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thorneloe_susan_epa_gov/Documents/$SAT Files/Projects-2020 and beyond/LEAF Manuscripts/SDM for manuscripts/"/>
    </mc:Choice>
  </mc:AlternateContent>
  <xr:revisionPtr revIDLastSave="0" documentId="8_{A487FFC5-961F-4860-80A7-FB2B9A6A1912}" xr6:coauthVersionLast="45" xr6:coauthVersionMax="45" xr10:uidLastSave="{00000000-0000-0000-0000-000000000000}"/>
  <bookViews>
    <workbookView xWindow="-120" yWindow="-120" windowWidth="20730" windowHeight="11160" tabRatio="589" xr2:uid="{00000000-000D-0000-FFFF-FFFF00000000}"/>
  </bookViews>
  <sheets>
    <sheet name="Data Dictionary" sheetId="10" r:id="rId1"/>
    <sheet name="Scenario_Info" sheetId="4" r:id="rId2"/>
    <sheet name="Screening_Assessment" sheetId="3" r:id="rId3"/>
    <sheet name="Screening_Tables" sheetId="9" r:id="rId4"/>
    <sheet name="Percolation" sheetId="5" r:id="rId5"/>
    <sheet name="Mass Transport" sheetId="6" r:id="rId6"/>
    <sheet name="Scenario_Tables" sheetId="8" r:id="rId7"/>
    <sheet name="Scenario_Graphs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3" l="1"/>
  <c r="P45" i="3" s="1"/>
  <c r="L45" i="3"/>
  <c r="M45" i="3" s="1"/>
  <c r="O44" i="3"/>
  <c r="P44" i="3" s="1"/>
  <c r="L44" i="3"/>
  <c r="M44" i="3" s="1"/>
  <c r="O43" i="3"/>
  <c r="P43" i="3" s="1"/>
  <c r="L43" i="3"/>
  <c r="M43" i="3" s="1"/>
  <c r="P42" i="3"/>
  <c r="O42" i="3"/>
  <c r="L42" i="3"/>
  <c r="M42" i="3" s="1"/>
  <c r="O39" i="3"/>
  <c r="P39" i="3" s="1"/>
  <c r="L39" i="3"/>
  <c r="M39" i="3" s="1"/>
  <c r="O38" i="3"/>
  <c r="P38" i="3" s="1"/>
  <c r="L38" i="3"/>
  <c r="M38" i="3" s="1"/>
  <c r="O37" i="3"/>
  <c r="P37" i="3" s="1"/>
  <c r="L37" i="3"/>
  <c r="M37" i="3" s="1"/>
  <c r="O35" i="3"/>
  <c r="P35" i="3" s="1"/>
  <c r="L35" i="3"/>
  <c r="M35" i="3" s="1"/>
  <c r="O33" i="3"/>
  <c r="P33" i="3" s="1"/>
  <c r="L33" i="3"/>
  <c r="M33" i="3" s="1"/>
  <c r="O32" i="3"/>
  <c r="P32" i="3" s="1"/>
  <c r="L32" i="3"/>
  <c r="M32" i="3" s="1"/>
  <c r="O31" i="3"/>
  <c r="P31" i="3" s="1"/>
  <c r="L31" i="3"/>
  <c r="M31" i="3" s="1"/>
  <c r="O30" i="3"/>
  <c r="P30" i="3" s="1"/>
  <c r="L30" i="3"/>
  <c r="M30" i="3" s="1"/>
  <c r="O29" i="3"/>
  <c r="P29" i="3" s="1"/>
  <c r="L29" i="3"/>
  <c r="M29" i="3" s="1"/>
  <c r="O24" i="3"/>
  <c r="P24" i="3" s="1"/>
  <c r="L24" i="3"/>
  <c r="M24" i="3" s="1"/>
  <c r="O21" i="3"/>
  <c r="P21" i="3" s="1"/>
  <c r="L21" i="3"/>
  <c r="M21" i="3" s="1"/>
  <c r="O20" i="3"/>
  <c r="P20" i="3" s="1"/>
  <c r="L20" i="3"/>
  <c r="M20" i="3" s="1"/>
  <c r="Y47" i="8" l="1"/>
  <c r="AA47" i="8"/>
  <c r="AC47" i="8"/>
  <c r="AE47" i="8"/>
  <c r="Y48" i="8"/>
  <c r="AA48" i="8"/>
  <c r="AC48" i="8"/>
  <c r="AE48" i="8"/>
  <c r="Y49" i="8"/>
  <c r="AA49" i="8"/>
  <c r="AC49" i="8"/>
  <c r="AE49" i="8"/>
  <c r="Y50" i="8"/>
  <c r="Z50" i="8"/>
  <c r="AA50" i="8"/>
  <c r="AB50" i="8"/>
  <c r="AC50" i="8"/>
  <c r="AE50" i="8"/>
  <c r="Y51" i="8"/>
  <c r="AA51" i="8"/>
  <c r="AC51" i="8"/>
  <c r="AE51" i="8"/>
  <c r="Y52" i="8"/>
  <c r="AA52" i="8"/>
  <c r="AC52" i="8"/>
  <c r="AE52" i="8"/>
  <c r="Y53" i="8"/>
  <c r="AA53" i="8"/>
  <c r="AC53" i="8"/>
  <c r="AE53" i="8"/>
  <c r="Y54" i="8"/>
  <c r="AA54" i="8"/>
  <c r="AC54" i="8"/>
  <c r="AE54" i="8"/>
  <c r="Y55" i="8"/>
  <c r="AA55" i="8"/>
  <c r="AC55" i="8"/>
  <c r="AE55" i="8"/>
  <c r="Y56" i="8"/>
  <c r="AA56" i="8"/>
  <c r="AC56" i="8"/>
  <c r="AE56" i="8"/>
  <c r="Y57" i="8"/>
  <c r="AA57" i="8"/>
  <c r="AC57" i="8"/>
  <c r="AE57" i="8"/>
  <c r="Y58" i="8"/>
  <c r="AA58" i="8"/>
  <c r="AC58" i="8"/>
  <c r="AE58" i="8"/>
  <c r="AE46" i="8"/>
  <c r="AC46" i="8"/>
  <c r="AA46" i="8"/>
  <c r="Y46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X45" i="8"/>
  <c r="W45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X26" i="8"/>
  <c r="W26" i="8"/>
  <c r="AC9" i="8"/>
  <c r="AC10" i="8"/>
  <c r="AC11" i="8"/>
  <c r="Z12" i="8"/>
  <c r="AA12" i="8"/>
  <c r="AB12" i="8"/>
  <c r="AC12" i="8"/>
  <c r="AD12" i="8"/>
  <c r="AC13" i="8"/>
  <c r="AC14" i="8"/>
  <c r="AC15" i="8"/>
  <c r="AC16" i="8"/>
  <c r="AC17" i="8"/>
  <c r="AC18" i="8"/>
  <c r="AC19" i="8"/>
  <c r="AC20" i="8"/>
  <c r="AC8" i="8"/>
  <c r="Y12" i="8"/>
  <c r="W10" i="8"/>
  <c r="W11" i="8"/>
  <c r="W12" i="8"/>
  <c r="W13" i="8"/>
  <c r="W14" i="8"/>
  <c r="W15" i="8"/>
  <c r="W16" i="8"/>
  <c r="W17" i="8"/>
  <c r="W18" i="8"/>
  <c r="W19" i="8"/>
  <c r="W20" i="8"/>
  <c r="W9" i="8"/>
  <c r="W8" i="8"/>
  <c r="X7" i="8"/>
  <c r="W7" i="8"/>
  <c r="N18" i="6"/>
  <c r="N72" i="6" s="1"/>
  <c r="U18" i="6"/>
  <c r="U72" i="6" s="1"/>
  <c r="AB18" i="6"/>
  <c r="AB72" i="6" s="1"/>
  <c r="AI18" i="6"/>
  <c r="AP18" i="6"/>
  <c r="AP72" i="6" s="1"/>
  <c r="AW18" i="6"/>
  <c r="AW72" i="6" s="1"/>
  <c r="BD18" i="6"/>
  <c r="BK18" i="6"/>
  <c r="BK72" i="6" s="1"/>
  <c r="BR18" i="6"/>
  <c r="BY18" i="6"/>
  <c r="BY72" i="6" s="1"/>
  <c r="CF18" i="6"/>
  <c r="CM18" i="6"/>
  <c r="G18" i="6"/>
  <c r="Q18" i="5"/>
  <c r="Q67" i="5" s="1"/>
  <c r="AA18" i="5"/>
  <c r="AA17" i="5"/>
  <c r="V18" i="5"/>
  <c r="V67" i="5" s="1"/>
  <c r="AF18" i="5"/>
  <c r="AK18" i="5"/>
  <c r="AP18" i="5"/>
  <c r="AP67" i="5" s="1"/>
  <c r="AU18" i="5"/>
  <c r="AU67" i="5" s="1"/>
  <c r="AZ18" i="5"/>
  <c r="BE18" i="5"/>
  <c r="BE67" i="5" s="1"/>
  <c r="BJ18" i="5"/>
  <c r="BJ67" i="5" s="1"/>
  <c r="BO18" i="5"/>
  <c r="BO67" i="5" s="1"/>
  <c r="AZ67" i="5"/>
  <c r="AK67" i="5"/>
  <c r="AF67" i="5"/>
  <c r="AA67" i="5"/>
  <c r="L67" i="5"/>
  <c r="G67" i="5"/>
  <c r="L18" i="5"/>
  <c r="G18" i="5"/>
  <c r="AA64" i="5"/>
  <c r="D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1" i="5" s="1"/>
  <c r="G29" i="5"/>
  <c r="L13" i="3"/>
  <c r="CF72" i="6" l="1"/>
  <c r="BD72" i="6"/>
  <c r="BR72" i="6"/>
  <c r="CM72" i="6"/>
  <c r="AI72" i="6"/>
  <c r="G72" i="6"/>
  <c r="AA72" i="5"/>
  <c r="AA70" i="5"/>
  <c r="G19" i="9"/>
  <c r="F14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G26" i="9"/>
  <c r="G25" i="9"/>
  <c r="G24" i="9"/>
  <c r="G23" i="9"/>
  <c r="G22" i="9"/>
  <c r="G21" i="9"/>
  <c r="G20" i="9"/>
  <c r="G18" i="9"/>
  <c r="G17" i="9"/>
  <c r="G16" i="9"/>
  <c r="G15" i="9"/>
  <c r="G14" i="9"/>
  <c r="G13" i="9"/>
  <c r="G12" i="9"/>
  <c r="G11" i="9"/>
  <c r="G10" i="9"/>
  <c r="F26" i="9"/>
  <c r="F25" i="9"/>
  <c r="F24" i="9"/>
  <c r="F23" i="9"/>
  <c r="F22" i="9"/>
  <c r="F21" i="9"/>
  <c r="F20" i="9"/>
  <c r="F19" i="9"/>
  <c r="F18" i="9"/>
  <c r="F17" i="9"/>
  <c r="F16" i="9"/>
  <c r="F15" i="9"/>
  <c r="F13" i="9"/>
  <c r="F12" i="9"/>
  <c r="F11" i="9"/>
  <c r="F10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D25" i="9"/>
  <c r="D24" i="9"/>
  <c r="D23" i="9"/>
  <c r="D22" i="9"/>
  <c r="D21" i="9"/>
  <c r="D20" i="9"/>
  <c r="D19" i="9"/>
  <c r="D18" i="9"/>
  <c r="D17" i="9"/>
  <c r="D26" i="9"/>
  <c r="C26" i="9"/>
  <c r="C25" i="9"/>
  <c r="C24" i="9"/>
  <c r="C23" i="9"/>
  <c r="C22" i="9"/>
  <c r="C19" i="9"/>
  <c r="C20" i="9"/>
  <c r="C21" i="9"/>
  <c r="C18" i="9"/>
  <c r="C17" i="9"/>
  <c r="D16" i="9"/>
  <c r="C16" i="9"/>
  <c r="D15" i="9"/>
  <c r="C15" i="9"/>
  <c r="C13" i="9"/>
  <c r="D13" i="9"/>
  <c r="C14" i="9"/>
  <c r="D14" i="9"/>
  <c r="D12" i="9"/>
  <c r="C12" i="9"/>
  <c r="D11" i="9"/>
  <c r="C11" i="9"/>
  <c r="D10" i="9"/>
  <c r="C10" i="9"/>
  <c r="M33" i="8" l="1"/>
  <c r="O33" i="8"/>
  <c r="C22" i="8" l="1"/>
  <c r="X20" i="8" s="1"/>
  <c r="C21" i="8"/>
  <c r="C20" i="8"/>
  <c r="X18" i="8" s="1"/>
  <c r="C19" i="8"/>
  <c r="C18" i="8"/>
  <c r="C17" i="8"/>
  <c r="C16" i="8"/>
  <c r="X14" i="8" s="1"/>
  <c r="C15" i="8"/>
  <c r="C14" i="8"/>
  <c r="C13" i="8"/>
  <c r="X11" i="8" s="1"/>
  <c r="C12" i="8"/>
  <c r="X10" i="8" s="1"/>
  <c r="C11" i="8"/>
  <c r="C10" i="8"/>
  <c r="E67" i="6"/>
  <c r="E66" i="6"/>
  <c r="E13" i="6"/>
  <c r="E12" i="6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29" i="5"/>
  <c r="CM16" i="6"/>
  <c r="CM70" i="6" s="1"/>
  <c r="CF16" i="6"/>
  <c r="CF70" i="6" s="1"/>
  <c r="BY16" i="6"/>
  <c r="BY70" i="6" s="1"/>
  <c r="BR16" i="6"/>
  <c r="BR70" i="6" s="1"/>
  <c r="BK16" i="6"/>
  <c r="BK70" i="6" s="1"/>
  <c r="BD16" i="6"/>
  <c r="BD70" i="6" s="1"/>
  <c r="AW16" i="6"/>
  <c r="AW70" i="6" s="1"/>
  <c r="AP16" i="6"/>
  <c r="AP70" i="6" s="1"/>
  <c r="AI16" i="6"/>
  <c r="AI70" i="6" s="1"/>
  <c r="AB16" i="6"/>
  <c r="AB70" i="6" s="1"/>
  <c r="U16" i="6"/>
  <c r="U70" i="6" s="1"/>
  <c r="N16" i="6"/>
  <c r="N70" i="6" s="1"/>
  <c r="G16" i="6"/>
  <c r="CM112" i="6" l="1"/>
  <c r="CM109" i="6"/>
  <c r="CP109" i="6" s="1"/>
  <c r="CM107" i="6"/>
  <c r="CP107" i="6" s="1"/>
  <c r="CM104" i="6"/>
  <c r="CP104" i="6" s="1"/>
  <c r="CM101" i="6"/>
  <c r="CP101" i="6" s="1"/>
  <c r="CM100" i="6"/>
  <c r="CP100" i="6" s="1"/>
  <c r="CM89" i="6"/>
  <c r="CP89" i="6" s="1"/>
  <c r="CM86" i="6"/>
  <c r="CP86" i="6" s="1"/>
  <c r="CM83" i="6"/>
  <c r="CF111" i="6"/>
  <c r="CI111" i="6" s="1"/>
  <c r="CF108" i="6"/>
  <c r="CI108" i="6" s="1"/>
  <c r="CF106" i="6"/>
  <c r="CF101" i="6"/>
  <c r="CI101" i="6" s="1"/>
  <c r="CF90" i="6"/>
  <c r="CI90" i="6" s="1"/>
  <c r="CF87" i="6"/>
  <c r="CI87" i="6" s="1"/>
  <c r="CF84" i="6"/>
  <c r="CI84" i="6" s="1"/>
  <c r="BY112" i="6"/>
  <c r="CB112" i="6" s="1"/>
  <c r="BY110" i="6"/>
  <c r="BY104" i="6"/>
  <c r="BY101" i="6"/>
  <c r="CB101" i="6" s="1"/>
  <c r="BY99" i="6"/>
  <c r="CB99" i="6" s="1"/>
  <c r="BY92" i="6"/>
  <c r="BY89" i="6"/>
  <c r="CB89" i="6" s="1"/>
  <c r="BY86" i="6"/>
  <c r="BY84" i="6"/>
  <c r="BR112" i="6"/>
  <c r="BU112" i="6" s="1"/>
  <c r="BR110" i="6"/>
  <c r="BU110" i="6" s="1"/>
  <c r="BR95" i="6"/>
  <c r="BU95" i="6" s="1"/>
  <c r="BR93" i="6"/>
  <c r="BU93" i="6" s="1"/>
  <c r="BR90" i="6"/>
  <c r="BU90" i="6" s="1"/>
  <c r="BR88" i="6"/>
  <c r="BR86" i="6"/>
  <c r="BU86" i="6" s="1"/>
  <c r="BR84" i="6"/>
  <c r="BU84" i="6" s="1"/>
  <c r="BK111" i="6"/>
  <c r="BN111" i="6" s="1"/>
  <c r="BK108" i="6"/>
  <c r="BK91" i="6"/>
  <c r="BN91" i="6" s="1"/>
  <c r="BK88" i="6"/>
  <c r="BD99" i="6"/>
  <c r="BG99" i="6" s="1"/>
  <c r="BD94" i="6"/>
  <c r="BG94" i="6" s="1"/>
  <c r="BD92" i="6"/>
  <c r="BG92" i="6" s="1"/>
  <c r="BD89" i="6"/>
  <c r="BG89" i="6" s="1"/>
  <c r="BD86" i="6"/>
  <c r="BG86" i="6" s="1"/>
  <c r="AW105" i="6"/>
  <c r="AZ105" i="6" s="1"/>
  <c r="AW100" i="6"/>
  <c r="AW97" i="6"/>
  <c r="AZ97" i="6" s="1"/>
  <c r="AW94" i="6"/>
  <c r="AW92" i="6"/>
  <c r="AW90" i="6"/>
  <c r="AZ90" i="6" s="1"/>
  <c r="AP110" i="6"/>
  <c r="AS110" i="6" s="1"/>
  <c r="AP108" i="6"/>
  <c r="AS108" i="6" s="1"/>
  <c r="AP106" i="6"/>
  <c r="AS106" i="6" s="1"/>
  <c r="AP104" i="6"/>
  <c r="AS104" i="6" s="1"/>
  <c r="AP102" i="6"/>
  <c r="AS102" i="6" s="1"/>
  <c r="AP100" i="6"/>
  <c r="AS100" i="6" s="1"/>
  <c r="AP98" i="6"/>
  <c r="AS98" i="6" s="1"/>
  <c r="AP96" i="6"/>
  <c r="AS96" i="6" s="1"/>
  <c r="CM105" i="6"/>
  <c r="CP105" i="6" s="1"/>
  <c r="CM102" i="6"/>
  <c r="CP102" i="6" s="1"/>
  <c r="CM98" i="6"/>
  <c r="CP98" i="6" s="1"/>
  <c r="CM96" i="6"/>
  <c r="CM94" i="6"/>
  <c r="CP94" i="6" s="1"/>
  <c r="CM92" i="6"/>
  <c r="CP92" i="6" s="1"/>
  <c r="CM90" i="6"/>
  <c r="CP90" i="6" s="1"/>
  <c r="CM84" i="6"/>
  <c r="CF109" i="6"/>
  <c r="CI109" i="6" s="1"/>
  <c r="CF104" i="6"/>
  <c r="CF102" i="6"/>
  <c r="CI102" i="6" s="1"/>
  <c r="CF99" i="6"/>
  <c r="CI99" i="6" s="1"/>
  <c r="CF97" i="6"/>
  <c r="CI97" i="6" s="1"/>
  <c r="CF95" i="6"/>
  <c r="CI95" i="6" s="1"/>
  <c r="CF93" i="6"/>
  <c r="CI93" i="6" s="1"/>
  <c r="CF85" i="6"/>
  <c r="CI85" i="6" s="1"/>
  <c r="BY107" i="6"/>
  <c r="CB107" i="6" s="1"/>
  <c r="BY97" i="6"/>
  <c r="CB97" i="6" s="1"/>
  <c r="BY95" i="6"/>
  <c r="CB95" i="6" s="1"/>
  <c r="BY93" i="6"/>
  <c r="CB93" i="6" s="1"/>
  <c r="BY90" i="6"/>
  <c r="CB90" i="6" s="1"/>
  <c r="BY87" i="6"/>
  <c r="CB87" i="6" s="1"/>
  <c r="BR107" i="6"/>
  <c r="BR105" i="6"/>
  <c r="BU105" i="6" s="1"/>
  <c r="BR103" i="6"/>
  <c r="BU103" i="6" s="1"/>
  <c r="BR101" i="6"/>
  <c r="BU101" i="6" s="1"/>
  <c r="BR99" i="6"/>
  <c r="BU99" i="6" s="1"/>
  <c r="BR96" i="6"/>
  <c r="BU96" i="6" s="1"/>
  <c r="BK112" i="6"/>
  <c r="BK109" i="6"/>
  <c r="BN109" i="6" s="1"/>
  <c r="BK106" i="6"/>
  <c r="BN106" i="6" s="1"/>
  <c r="BK103" i="6"/>
  <c r="BK101" i="6"/>
  <c r="BN101" i="6" s="1"/>
  <c r="BK99" i="6"/>
  <c r="BN99" i="6" s="1"/>
  <c r="BK97" i="6"/>
  <c r="BN97" i="6" s="1"/>
  <c r="BK95" i="6"/>
  <c r="BN95" i="6" s="1"/>
  <c r="BK92" i="6"/>
  <c r="BK89" i="6"/>
  <c r="BN89" i="6" s="1"/>
  <c r="BK86" i="6"/>
  <c r="BN86" i="6" s="1"/>
  <c r="BK84" i="6"/>
  <c r="BD109" i="6"/>
  <c r="BG109" i="6" s="1"/>
  <c r="BD96" i="6"/>
  <c r="BD83" i="6"/>
  <c r="BG83" i="6" s="1"/>
  <c r="AW110" i="6"/>
  <c r="AW108" i="6"/>
  <c r="AW106" i="6"/>
  <c r="AZ106" i="6" s="1"/>
  <c r="AW103" i="6"/>
  <c r="AZ103" i="6" s="1"/>
  <c r="AW101" i="6"/>
  <c r="AZ101" i="6" s="1"/>
  <c r="AW98" i="6"/>
  <c r="AZ98" i="6" s="1"/>
  <c r="AW95" i="6"/>
  <c r="AZ95" i="6" s="1"/>
  <c r="AW88" i="6"/>
  <c r="AZ88" i="6" s="1"/>
  <c r="AW86" i="6"/>
  <c r="AW83" i="6"/>
  <c r="AZ83" i="6" s="1"/>
  <c r="CM110" i="6"/>
  <c r="CP110" i="6" s="1"/>
  <c r="CM103" i="6"/>
  <c r="CP103" i="6" s="1"/>
  <c r="CM97" i="6"/>
  <c r="CP97" i="6" s="1"/>
  <c r="CM93" i="6"/>
  <c r="CP93" i="6" s="1"/>
  <c r="CF103" i="6"/>
  <c r="CI103" i="6" s="1"/>
  <c r="CF100" i="6"/>
  <c r="CI100" i="6" s="1"/>
  <c r="CF96" i="6"/>
  <c r="CF92" i="6"/>
  <c r="CF89" i="6"/>
  <c r="CI89" i="6" s="1"/>
  <c r="BY109" i="6"/>
  <c r="CB109" i="6" s="1"/>
  <c r="BY106" i="6"/>
  <c r="CB106" i="6" s="1"/>
  <c r="BY103" i="6"/>
  <c r="CB103" i="6" s="1"/>
  <c r="BY96" i="6"/>
  <c r="CB96" i="6" s="1"/>
  <c r="BR109" i="6"/>
  <c r="BU109" i="6" s="1"/>
  <c r="BR106" i="6"/>
  <c r="BU106" i="6" s="1"/>
  <c r="BR102" i="6"/>
  <c r="BU102" i="6" s="1"/>
  <c r="BR98" i="6"/>
  <c r="BU98" i="6" s="1"/>
  <c r="BR92" i="6"/>
  <c r="BU92" i="6" s="1"/>
  <c r="BK105" i="6"/>
  <c r="BN105" i="6" s="1"/>
  <c r="BK102" i="6"/>
  <c r="BN102" i="6" s="1"/>
  <c r="BK98" i="6"/>
  <c r="BN98" i="6" s="1"/>
  <c r="BK94" i="6"/>
  <c r="BN94" i="6" s="1"/>
  <c r="BK85" i="6"/>
  <c r="BN85" i="6" s="1"/>
  <c r="BD110" i="6"/>
  <c r="BD105" i="6"/>
  <c r="BG105" i="6" s="1"/>
  <c r="BD90" i="6"/>
  <c r="BG90" i="6" s="1"/>
  <c r="BD84" i="6"/>
  <c r="AW107" i="6"/>
  <c r="AZ107" i="6" s="1"/>
  <c r="AW104" i="6"/>
  <c r="AZ104" i="6" s="1"/>
  <c r="AW87" i="6"/>
  <c r="AZ87" i="6" s="1"/>
  <c r="AI111" i="6"/>
  <c r="AL111" i="6" s="1"/>
  <c r="AI103" i="6"/>
  <c r="AL103" i="6" s="1"/>
  <c r="AI101" i="6"/>
  <c r="AL101" i="6" s="1"/>
  <c r="AI98" i="6"/>
  <c r="AL98" i="6" s="1"/>
  <c r="AI89" i="6"/>
  <c r="AL89" i="6" s="1"/>
  <c r="AI86" i="6"/>
  <c r="AL86" i="6" s="1"/>
  <c r="AI83" i="6"/>
  <c r="AB111" i="6"/>
  <c r="AE111" i="6" s="1"/>
  <c r="AB108" i="6"/>
  <c r="AE108" i="6" s="1"/>
  <c r="AB106" i="6"/>
  <c r="AE106" i="6" s="1"/>
  <c r="AB104" i="6"/>
  <c r="AB102" i="6"/>
  <c r="AE102" i="6" s="1"/>
  <c r="AB100" i="6"/>
  <c r="AB94" i="6"/>
  <c r="AE94" i="6" s="1"/>
  <c r="AB91" i="6"/>
  <c r="AB89" i="6"/>
  <c r="AE89" i="6" s="1"/>
  <c r="AB87" i="6"/>
  <c r="AE87" i="6" s="1"/>
  <c r="AB85" i="6"/>
  <c r="AE85" i="6" s="1"/>
  <c r="U107" i="6"/>
  <c r="X107" i="6" s="1"/>
  <c r="U105" i="6"/>
  <c r="X105" i="6" s="1"/>
  <c r="U95" i="6"/>
  <c r="X95" i="6" s="1"/>
  <c r="U91" i="6"/>
  <c r="U89" i="6"/>
  <c r="X89" i="6" s="1"/>
  <c r="N107" i="6"/>
  <c r="Q107" i="6" s="1"/>
  <c r="N105" i="6"/>
  <c r="Q105" i="6" s="1"/>
  <c r="N97" i="6"/>
  <c r="Q97" i="6" s="1"/>
  <c r="N90" i="6"/>
  <c r="Q90" i="6" s="1"/>
  <c r="N88" i="6"/>
  <c r="N85" i="6"/>
  <c r="Q85" i="6" s="1"/>
  <c r="N83" i="6"/>
  <c r="Q83" i="6" s="1"/>
  <c r="CM108" i="6"/>
  <c r="CP108" i="6" s="1"/>
  <c r="CM85" i="6"/>
  <c r="CP85" i="6" s="1"/>
  <c r="CF112" i="6"/>
  <c r="CF105" i="6"/>
  <c r="CI105" i="6" s="1"/>
  <c r="CF91" i="6"/>
  <c r="CI91" i="6" s="1"/>
  <c r="CF88" i="6"/>
  <c r="BY111" i="6"/>
  <c r="CB111" i="6" s="1"/>
  <c r="BY108" i="6"/>
  <c r="CB108" i="6" s="1"/>
  <c r="BY105" i="6"/>
  <c r="CB105" i="6" s="1"/>
  <c r="BY102" i="6"/>
  <c r="BY98" i="6"/>
  <c r="BY88" i="6"/>
  <c r="CB88" i="6" s="1"/>
  <c r="BY85" i="6"/>
  <c r="CB85" i="6" s="1"/>
  <c r="BR111" i="6"/>
  <c r="BU111" i="6" s="1"/>
  <c r="BR108" i="6"/>
  <c r="BR97" i="6"/>
  <c r="BU97" i="6" s="1"/>
  <c r="BR94" i="6"/>
  <c r="BU94" i="6" s="1"/>
  <c r="BR91" i="6"/>
  <c r="BR87" i="6"/>
  <c r="BU87" i="6" s="1"/>
  <c r="BR83" i="6"/>
  <c r="BU83" i="6" s="1"/>
  <c r="BK110" i="6"/>
  <c r="BN110" i="6" s="1"/>
  <c r="BK104" i="6"/>
  <c r="BK93" i="6"/>
  <c r="BN93" i="6" s="1"/>
  <c r="BK90" i="6"/>
  <c r="BN90" i="6" s="1"/>
  <c r="BD103" i="6"/>
  <c r="BG103" i="6" s="1"/>
  <c r="BD93" i="6"/>
  <c r="BG93" i="6" s="1"/>
  <c r="AW96" i="6"/>
  <c r="AZ96" i="6" s="1"/>
  <c r="AW93" i="6"/>
  <c r="AZ93" i="6" s="1"/>
  <c r="AP109" i="6"/>
  <c r="AS109" i="6" s="1"/>
  <c r="AP105" i="6"/>
  <c r="AS105" i="6" s="1"/>
  <c r="AP101" i="6"/>
  <c r="AS101" i="6" s="1"/>
  <c r="AP97" i="6"/>
  <c r="AS97" i="6" s="1"/>
  <c r="AP94" i="6"/>
  <c r="AS94" i="6" s="1"/>
  <c r="AP92" i="6"/>
  <c r="AS92" i="6" s="1"/>
  <c r="AP90" i="6"/>
  <c r="AS90" i="6" s="1"/>
  <c r="AP88" i="6"/>
  <c r="AS88" i="6" s="1"/>
  <c r="AP86" i="6"/>
  <c r="AS86" i="6" s="1"/>
  <c r="AP84" i="6"/>
  <c r="AS84" i="6" s="1"/>
  <c r="AI112" i="6"/>
  <c r="AI109" i="6"/>
  <c r="AL109" i="6" s="1"/>
  <c r="AI107" i="6"/>
  <c r="AL107" i="6" s="1"/>
  <c r="AI104" i="6"/>
  <c r="AI96" i="6"/>
  <c r="AI94" i="6"/>
  <c r="AL94" i="6" s="1"/>
  <c r="AI92" i="6"/>
  <c r="AL92" i="6" s="1"/>
  <c r="AI90" i="6"/>
  <c r="AL90" i="6" s="1"/>
  <c r="AI84" i="6"/>
  <c r="AL84" i="6" s="1"/>
  <c r="AB109" i="6"/>
  <c r="AE109" i="6" s="1"/>
  <c r="AB98" i="6"/>
  <c r="AE98" i="6" s="1"/>
  <c r="AB92" i="6"/>
  <c r="AB83" i="6"/>
  <c r="AE83" i="6" s="1"/>
  <c r="U111" i="6"/>
  <c r="X111" i="6" s="1"/>
  <c r="U108" i="6"/>
  <c r="X108" i="6" s="1"/>
  <c r="U103" i="6"/>
  <c r="X103" i="6" s="1"/>
  <c r="U101" i="6"/>
  <c r="X101" i="6" s="1"/>
  <c r="U99" i="6"/>
  <c r="X99" i="6" s="1"/>
  <c r="U96" i="6"/>
  <c r="X96" i="6" s="1"/>
  <c r="U93" i="6"/>
  <c r="X93" i="6" s="1"/>
  <c r="U92" i="6"/>
  <c r="U87" i="6"/>
  <c r="X87" i="6" s="1"/>
  <c r="U85" i="6"/>
  <c r="X85" i="6" s="1"/>
  <c r="U83" i="6"/>
  <c r="X83" i="6" s="1"/>
  <c r="N111" i="6"/>
  <c r="Q111" i="6" s="1"/>
  <c r="N108" i="6"/>
  <c r="Q108" i="6" s="1"/>
  <c r="N102" i="6"/>
  <c r="Q102" i="6" s="1"/>
  <c r="N100" i="6"/>
  <c r="N98" i="6"/>
  <c r="N95" i="6"/>
  <c r="Q95" i="6" s="1"/>
  <c r="N92" i="6"/>
  <c r="Q92" i="6" s="1"/>
  <c r="N91" i="6"/>
  <c r="Q91" i="6" s="1"/>
  <c r="CM99" i="6"/>
  <c r="CM95" i="6"/>
  <c r="CP95" i="6" s="1"/>
  <c r="CM91" i="6"/>
  <c r="CP91" i="6" s="1"/>
  <c r="CM88" i="6"/>
  <c r="CF98" i="6"/>
  <c r="CI98" i="6" s="1"/>
  <c r="CF94" i="6"/>
  <c r="CI94" i="6" s="1"/>
  <c r="BY94" i="6"/>
  <c r="BY91" i="6"/>
  <c r="CB91" i="6" s="1"/>
  <c r="BR104" i="6"/>
  <c r="BR100" i="6"/>
  <c r="BU100" i="6" s="1"/>
  <c r="BK107" i="6"/>
  <c r="BN107" i="6" s="1"/>
  <c r="BK100" i="6"/>
  <c r="BK96" i="6"/>
  <c r="BN96" i="6" s="1"/>
  <c r="BK87" i="6"/>
  <c r="BK83" i="6"/>
  <c r="BN83" i="6" s="1"/>
  <c r="BD108" i="6"/>
  <c r="BG108" i="6" s="1"/>
  <c r="BD102" i="6"/>
  <c r="BG102" i="6" s="1"/>
  <c r="BD97" i="6"/>
  <c r="BG97" i="6" s="1"/>
  <c r="BD87" i="6"/>
  <c r="BG87" i="6" s="1"/>
  <c r="AW112" i="6"/>
  <c r="CM111" i="6"/>
  <c r="CP111" i="6" s="1"/>
  <c r="CF86" i="6"/>
  <c r="CI86" i="6" s="1"/>
  <c r="AP111" i="6"/>
  <c r="AS111" i="6" s="1"/>
  <c r="AP103" i="6"/>
  <c r="AS103" i="6" s="1"/>
  <c r="AP95" i="6"/>
  <c r="AS95" i="6" s="1"/>
  <c r="AP91" i="6"/>
  <c r="AS91" i="6" s="1"/>
  <c r="AP87" i="6"/>
  <c r="AS87" i="6" s="1"/>
  <c r="AP83" i="6"/>
  <c r="AS83" i="6" s="1"/>
  <c r="AI110" i="6"/>
  <c r="AI106" i="6"/>
  <c r="AL106" i="6" s="1"/>
  <c r="AI100" i="6"/>
  <c r="AL100" i="6" s="1"/>
  <c r="AI97" i="6"/>
  <c r="AL97" i="6" s="1"/>
  <c r="AI93" i="6"/>
  <c r="AL93" i="6" s="1"/>
  <c r="AB99" i="6"/>
  <c r="AE99" i="6" s="1"/>
  <c r="U112" i="6"/>
  <c r="X112" i="6" s="1"/>
  <c r="U102" i="6"/>
  <c r="X102" i="6" s="1"/>
  <c r="U98" i="6"/>
  <c r="X98" i="6" s="1"/>
  <c r="U86" i="6"/>
  <c r="X86" i="6" s="1"/>
  <c r="N112" i="6"/>
  <c r="Q112" i="6" s="1"/>
  <c r="N99" i="6"/>
  <c r="Q99" i="6" s="1"/>
  <c r="N96" i="6"/>
  <c r="Q96" i="6" s="1"/>
  <c r="N87" i="6"/>
  <c r="Q87" i="6" s="1"/>
  <c r="U100" i="6"/>
  <c r="X100" i="6" s="1"/>
  <c r="U84" i="6"/>
  <c r="X84" i="6" s="1"/>
  <c r="N101" i="6"/>
  <c r="Q101" i="6" s="1"/>
  <c r="N94" i="6"/>
  <c r="CM87" i="6"/>
  <c r="CP87" i="6" s="1"/>
  <c r="AW109" i="6"/>
  <c r="AZ109" i="6" s="1"/>
  <c r="AB107" i="6"/>
  <c r="AE107" i="6" s="1"/>
  <c r="AB90" i="6"/>
  <c r="AE90" i="6" s="1"/>
  <c r="U106" i="6"/>
  <c r="X106" i="6" s="1"/>
  <c r="U90" i="6"/>
  <c r="X90" i="6" s="1"/>
  <c r="N106" i="6"/>
  <c r="Q106" i="6" s="1"/>
  <c r="N84" i="6"/>
  <c r="CM106" i="6"/>
  <c r="CP106" i="6" s="1"/>
  <c r="CF110" i="6"/>
  <c r="CF83" i="6"/>
  <c r="CI83" i="6" s="1"/>
  <c r="BY100" i="6"/>
  <c r="BR89" i="6"/>
  <c r="BU89" i="6" s="1"/>
  <c r="BD106" i="6"/>
  <c r="BG106" i="6" s="1"/>
  <c r="AW99" i="6"/>
  <c r="AZ99" i="6" s="1"/>
  <c r="AW85" i="6"/>
  <c r="AZ85" i="6" s="1"/>
  <c r="AI105" i="6"/>
  <c r="AL105" i="6" s="1"/>
  <c r="AI102" i="6"/>
  <c r="AL102" i="6" s="1"/>
  <c r="AI99" i="6"/>
  <c r="AI85" i="6"/>
  <c r="AL85" i="6" s="1"/>
  <c r="AB112" i="6"/>
  <c r="AB105" i="6"/>
  <c r="AE105" i="6" s="1"/>
  <c r="AB101" i="6"/>
  <c r="AE101" i="6" s="1"/>
  <c r="AB95" i="6"/>
  <c r="AE95" i="6" s="1"/>
  <c r="AB88" i="6"/>
  <c r="U97" i="6"/>
  <c r="X97" i="6" s="1"/>
  <c r="U94" i="6"/>
  <c r="X94" i="6" s="1"/>
  <c r="N89" i="6"/>
  <c r="Q89" i="6" s="1"/>
  <c r="N86" i="6"/>
  <c r="AI95" i="6"/>
  <c r="AL95" i="6" s="1"/>
  <c r="AB97" i="6"/>
  <c r="AE97" i="6" s="1"/>
  <c r="AB84" i="6"/>
  <c r="AE84" i="6" s="1"/>
  <c r="U110" i="6"/>
  <c r="U104" i="6"/>
  <c r="N110" i="6"/>
  <c r="N104" i="6"/>
  <c r="BD95" i="6"/>
  <c r="BG95" i="6" s="1"/>
  <c r="AW102" i="6"/>
  <c r="AW89" i="6"/>
  <c r="AZ89" i="6" s="1"/>
  <c r="AI87" i="6"/>
  <c r="AL87" i="6" s="1"/>
  <c r="AB110" i="6"/>
  <c r="AB103" i="6"/>
  <c r="AE103" i="6" s="1"/>
  <c r="AB96" i="6"/>
  <c r="AB86" i="6"/>
  <c r="AE86" i="6" s="1"/>
  <c r="U109" i="6"/>
  <c r="X109" i="6" s="1"/>
  <c r="N109" i="6"/>
  <c r="Q109" i="6" s="1"/>
  <c r="N103" i="6"/>
  <c r="Q103" i="6" s="1"/>
  <c r="N93" i="6"/>
  <c r="Q93" i="6" s="1"/>
  <c r="CF107" i="6"/>
  <c r="CI107" i="6" s="1"/>
  <c r="BY83" i="6"/>
  <c r="CB83" i="6" s="1"/>
  <c r="BR85" i="6"/>
  <c r="BU85" i="6" s="1"/>
  <c r="BD100" i="6"/>
  <c r="AW111" i="6"/>
  <c r="AZ111" i="6" s="1"/>
  <c r="AW91" i="6"/>
  <c r="AZ91" i="6" s="1"/>
  <c r="AW84" i="6"/>
  <c r="AP107" i="6"/>
  <c r="AS107" i="6" s="1"/>
  <c r="AP99" i="6"/>
  <c r="AS99" i="6" s="1"/>
  <c r="AP93" i="6"/>
  <c r="AS93" i="6" s="1"/>
  <c r="AP89" i="6"/>
  <c r="AS89" i="6" s="1"/>
  <c r="AP85" i="6"/>
  <c r="AS85" i="6" s="1"/>
  <c r="AI108" i="6"/>
  <c r="AL108" i="6" s="1"/>
  <c r="AI91" i="6"/>
  <c r="AL91" i="6" s="1"/>
  <c r="AI88" i="6"/>
  <c r="U88" i="6"/>
  <c r="AP112" i="6"/>
  <c r="AB93" i="6"/>
  <c r="AE93" i="6" s="1"/>
  <c r="BD88" i="6"/>
  <c r="BG88" i="6" s="1"/>
  <c r="BD101" i="6"/>
  <c r="BG101" i="6" s="1"/>
  <c r="BD107" i="6"/>
  <c r="BG107" i="6" s="1"/>
  <c r="BD98" i="6"/>
  <c r="BG98" i="6" s="1"/>
  <c r="BD91" i="6"/>
  <c r="BG91" i="6" s="1"/>
  <c r="BD104" i="6"/>
  <c r="BG104" i="6" s="1"/>
  <c r="BD85" i="6"/>
  <c r="BG85" i="6" s="1"/>
  <c r="BD111" i="6"/>
  <c r="BG111" i="6" s="1"/>
  <c r="V29" i="6"/>
  <c r="Y29" i="6" s="1"/>
  <c r="O29" i="6"/>
  <c r="R29" i="6" s="1"/>
  <c r="CN105" i="6"/>
  <c r="CQ105" i="6" s="1"/>
  <c r="CN102" i="6"/>
  <c r="CQ102" i="6" s="1"/>
  <c r="CN98" i="6"/>
  <c r="CQ98" i="6" s="1"/>
  <c r="CN96" i="6"/>
  <c r="CQ96" i="6" s="1"/>
  <c r="CN94" i="6"/>
  <c r="CQ94" i="6" s="1"/>
  <c r="CN92" i="6"/>
  <c r="CQ92" i="6" s="1"/>
  <c r="CN90" i="6"/>
  <c r="CQ90" i="6" s="1"/>
  <c r="CN84" i="6"/>
  <c r="CQ84" i="6" s="1"/>
  <c r="CG109" i="6"/>
  <c r="CJ109" i="6" s="1"/>
  <c r="CG104" i="6"/>
  <c r="CJ104" i="6" s="1"/>
  <c r="CG102" i="6"/>
  <c r="CJ102" i="6" s="1"/>
  <c r="CG99" i="6"/>
  <c r="CJ99" i="6" s="1"/>
  <c r="CG97" i="6"/>
  <c r="CJ97" i="6" s="1"/>
  <c r="CG95" i="6"/>
  <c r="CJ95" i="6" s="1"/>
  <c r="CG93" i="6"/>
  <c r="CJ93" i="6" s="1"/>
  <c r="CG85" i="6"/>
  <c r="CJ85" i="6" s="1"/>
  <c r="BZ107" i="6"/>
  <c r="CC107" i="6" s="1"/>
  <c r="BZ97" i="6"/>
  <c r="CC97" i="6" s="1"/>
  <c r="BZ95" i="6"/>
  <c r="CC95" i="6" s="1"/>
  <c r="BZ93" i="6"/>
  <c r="CC93" i="6" s="1"/>
  <c r="BZ90" i="6"/>
  <c r="CC90" i="6" s="1"/>
  <c r="BZ87" i="6"/>
  <c r="CC87" i="6" s="1"/>
  <c r="BS107" i="6"/>
  <c r="BV107" i="6" s="1"/>
  <c r="BS105" i="6"/>
  <c r="BV105" i="6" s="1"/>
  <c r="BS103" i="6"/>
  <c r="BV103" i="6" s="1"/>
  <c r="BS101" i="6"/>
  <c r="BV101" i="6" s="1"/>
  <c r="BS99" i="6"/>
  <c r="BV99" i="6" s="1"/>
  <c r="BS96" i="6"/>
  <c r="BV96" i="6" s="1"/>
  <c r="BL112" i="6"/>
  <c r="BO112" i="6" s="1"/>
  <c r="BL109" i="6"/>
  <c r="BO109" i="6" s="1"/>
  <c r="BL106" i="6"/>
  <c r="BO106" i="6" s="1"/>
  <c r="BL103" i="6"/>
  <c r="BO103" i="6" s="1"/>
  <c r="BL101" i="6"/>
  <c r="BO101" i="6" s="1"/>
  <c r="BL99" i="6"/>
  <c r="BO99" i="6" s="1"/>
  <c r="BL97" i="6"/>
  <c r="BO97" i="6" s="1"/>
  <c r="BL95" i="6"/>
  <c r="BO95" i="6" s="1"/>
  <c r="BL92" i="6"/>
  <c r="BO92" i="6" s="1"/>
  <c r="BL89" i="6"/>
  <c r="BO89" i="6" s="1"/>
  <c r="BL86" i="6"/>
  <c r="BO86" i="6" s="1"/>
  <c r="BL84" i="6"/>
  <c r="BO84" i="6" s="1"/>
  <c r="BE112" i="6"/>
  <c r="BH112" i="6" s="1"/>
  <c r="BE109" i="6"/>
  <c r="BH109" i="6" s="1"/>
  <c r="BE107" i="6"/>
  <c r="BH107" i="6" s="1"/>
  <c r="BE104" i="6"/>
  <c r="BH104" i="6" s="1"/>
  <c r="BE101" i="6"/>
  <c r="BH101" i="6" s="1"/>
  <c r="BE96" i="6"/>
  <c r="BH96" i="6" s="1"/>
  <c r="BE83" i="6"/>
  <c r="BH83" i="6" s="1"/>
  <c r="AX110" i="6"/>
  <c r="BA110" i="6" s="1"/>
  <c r="AX108" i="6"/>
  <c r="BA108" i="6" s="1"/>
  <c r="AX106" i="6"/>
  <c r="BA106" i="6" s="1"/>
  <c r="AX103" i="6"/>
  <c r="BA103" i="6" s="1"/>
  <c r="AX101" i="6"/>
  <c r="BA101" i="6" s="1"/>
  <c r="AX98" i="6"/>
  <c r="BA98" i="6" s="1"/>
  <c r="AX95" i="6"/>
  <c r="BA95" i="6" s="1"/>
  <c r="AX88" i="6"/>
  <c r="BA88" i="6" s="1"/>
  <c r="AX86" i="6"/>
  <c r="BA86" i="6" s="1"/>
  <c r="AX83" i="6"/>
  <c r="BA83" i="6" s="1"/>
  <c r="CN110" i="6"/>
  <c r="CQ110" i="6" s="1"/>
  <c r="CN108" i="6"/>
  <c r="CQ108" i="6" s="1"/>
  <c r="CN106" i="6"/>
  <c r="CQ106" i="6" s="1"/>
  <c r="CN87" i="6"/>
  <c r="CQ87" i="6" s="1"/>
  <c r="CN85" i="6"/>
  <c r="CQ85" i="6" s="1"/>
  <c r="CG112" i="6"/>
  <c r="CJ112" i="6" s="1"/>
  <c r="CG110" i="6"/>
  <c r="CJ110" i="6" s="1"/>
  <c r="CG107" i="6"/>
  <c r="CJ107" i="6" s="1"/>
  <c r="CG105" i="6"/>
  <c r="CJ105" i="6" s="1"/>
  <c r="CG91" i="6"/>
  <c r="CJ91" i="6" s="1"/>
  <c r="CG88" i="6"/>
  <c r="CJ88" i="6" s="1"/>
  <c r="CG86" i="6"/>
  <c r="CJ86" i="6" s="1"/>
  <c r="CG83" i="6"/>
  <c r="CJ83" i="6" s="1"/>
  <c r="BZ111" i="6"/>
  <c r="CC111" i="6" s="1"/>
  <c r="BZ108" i="6"/>
  <c r="CC108" i="6" s="1"/>
  <c r="BZ105" i="6"/>
  <c r="CC105" i="6" s="1"/>
  <c r="BZ102" i="6"/>
  <c r="CC102" i="6" s="1"/>
  <c r="BZ100" i="6"/>
  <c r="CC100" i="6" s="1"/>
  <c r="BZ98" i="6"/>
  <c r="CC98" i="6" s="1"/>
  <c r="BZ88" i="6"/>
  <c r="CC88" i="6" s="1"/>
  <c r="BZ85" i="6"/>
  <c r="CC85" i="6" s="1"/>
  <c r="BZ83" i="6"/>
  <c r="CC83" i="6" s="1"/>
  <c r="BS111" i="6"/>
  <c r="BV111" i="6" s="1"/>
  <c r="BS108" i="6"/>
  <c r="BV108" i="6" s="1"/>
  <c r="BS97" i="6"/>
  <c r="BV97" i="6" s="1"/>
  <c r="BS94" i="6"/>
  <c r="BV94" i="6" s="1"/>
  <c r="BS91" i="6"/>
  <c r="BV91" i="6" s="1"/>
  <c r="BS89" i="6"/>
  <c r="BV89" i="6" s="1"/>
  <c r="BS87" i="6"/>
  <c r="BV87" i="6" s="1"/>
  <c r="BS85" i="6"/>
  <c r="BV85" i="6" s="1"/>
  <c r="BS83" i="6"/>
  <c r="BV83" i="6" s="1"/>
  <c r="BL110" i="6"/>
  <c r="BO110" i="6" s="1"/>
  <c r="BL104" i="6"/>
  <c r="BO104" i="6" s="1"/>
  <c r="BL93" i="6"/>
  <c r="BO93" i="6" s="1"/>
  <c r="BL90" i="6"/>
  <c r="BO90" i="6" s="1"/>
  <c r="BE111" i="6"/>
  <c r="BH111" i="6" s="1"/>
  <c r="BE106" i="6"/>
  <c r="BH106" i="6" s="1"/>
  <c r="BE103" i="6"/>
  <c r="BH103" i="6" s="1"/>
  <c r="BE100" i="6"/>
  <c r="BH100" i="6" s="1"/>
  <c r="BE98" i="6"/>
  <c r="BH98" i="6" s="1"/>
  <c r="BE93" i="6"/>
  <c r="BH93" i="6" s="1"/>
  <c r="BE91" i="6"/>
  <c r="BH91" i="6" s="1"/>
  <c r="BE88" i="6"/>
  <c r="BH88" i="6" s="1"/>
  <c r="BE85" i="6"/>
  <c r="BH85" i="6" s="1"/>
  <c r="AX111" i="6"/>
  <c r="BA111" i="6" s="1"/>
  <c r="AX96" i="6"/>
  <c r="BA96" i="6" s="1"/>
  <c r="AX93" i="6"/>
  <c r="BA93" i="6" s="1"/>
  <c r="AX91" i="6"/>
  <c r="BA91" i="6" s="1"/>
  <c r="AX84" i="6"/>
  <c r="BA84" i="6" s="1"/>
  <c r="AQ111" i="6"/>
  <c r="AT111" i="6" s="1"/>
  <c r="AQ109" i="6"/>
  <c r="AT109" i="6" s="1"/>
  <c r="AQ107" i="6"/>
  <c r="AT107" i="6" s="1"/>
  <c r="AQ105" i="6"/>
  <c r="AT105" i="6" s="1"/>
  <c r="AQ103" i="6"/>
  <c r="AT103" i="6" s="1"/>
  <c r="AQ101" i="6"/>
  <c r="AT101" i="6" s="1"/>
  <c r="AQ99" i="6"/>
  <c r="AT99" i="6" s="1"/>
  <c r="AQ97" i="6"/>
  <c r="AT97" i="6" s="1"/>
  <c r="AQ95" i="6"/>
  <c r="AT95" i="6" s="1"/>
  <c r="CN111" i="6"/>
  <c r="CN109" i="6"/>
  <c r="CQ109" i="6" s="1"/>
  <c r="CN100" i="6"/>
  <c r="CQ100" i="6" s="1"/>
  <c r="CN89" i="6"/>
  <c r="CQ89" i="6" s="1"/>
  <c r="CN86" i="6"/>
  <c r="CQ86" i="6" s="1"/>
  <c r="CN83" i="6"/>
  <c r="CQ83" i="6" s="1"/>
  <c r="CG106" i="6"/>
  <c r="CJ106" i="6" s="1"/>
  <c r="BZ112" i="6"/>
  <c r="CC112" i="6" s="1"/>
  <c r="BZ99" i="6"/>
  <c r="CC99" i="6" s="1"/>
  <c r="BZ92" i="6"/>
  <c r="CC92" i="6" s="1"/>
  <c r="BZ89" i="6"/>
  <c r="CC89" i="6" s="1"/>
  <c r="BZ86" i="6"/>
  <c r="CC86" i="6" s="1"/>
  <c r="BS112" i="6"/>
  <c r="BV112" i="6" s="1"/>
  <c r="BS95" i="6"/>
  <c r="BV95" i="6" s="1"/>
  <c r="BS88" i="6"/>
  <c r="BV88" i="6" s="1"/>
  <c r="BS84" i="6"/>
  <c r="BV84" i="6" s="1"/>
  <c r="BL111" i="6"/>
  <c r="BO111" i="6" s="1"/>
  <c r="BL108" i="6"/>
  <c r="BO108" i="6" s="1"/>
  <c r="BL91" i="6"/>
  <c r="BO91" i="6" s="1"/>
  <c r="BL88" i="6"/>
  <c r="BO88" i="6" s="1"/>
  <c r="BE99" i="6"/>
  <c r="BH99" i="6" s="1"/>
  <c r="BE94" i="6"/>
  <c r="BH94" i="6" s="1"/>
  <c r="AX100" i="6"/>
  <c r="BA100" i="6" s="1"/>
  <c r="AX97" i="6"/>
  <c r="BA97" i="6" s="1"/>
  <c r="AX94" i="6"/>
  <c r="BA94" i="6" s="1"/>
  <c r="AX90" i="6"/>
  <c r="BA90" i="6" s="1"/>
  <c r="AQ110" i="6"/>
  <c r="AT110" i="6" s="1"/>
  <c r="AQ106" i="6"/>
  <c r="AT106" i="6" s="1"/>
  <c r="AQ102" i="6"/>
  <c r="AT102" i="6" s="1"/>
  <c r="AQ98" i="6"/>
  <c r="AT98" i="6" s="1"/>
  <c r="AQ94" i="6"/>
  <c r="AT94" i="6" s="1"/>
  <c r="AQ92" i="6"/>
  <c r="AT92" i="6" s="1"/>
  <c r="AQ90" i="6"/>
  <c r="AT90" i="6" s="1"/>
  <c r="AQ88" i="6"/>
  <c r="AT88" i="6" s="1"/>
  <c r="AQ86" i="6"/>
  <c r="AT86" i="6" s="1"/>
  <c r="AQ84" i="6"/>
  <c r="AT84" i="6" s="1"/>
  <c r="AJ112" i="6"/>
  <c r="AM112" i="6" s="1"/>
  <c r="AJ109" i="6"/>
  <c r="AM109" i="6" s="1"/>
  <c r="AJ107" i="6"/>
  <c r="AM107" i="6" s="1"/>
  <c r="AJ104" i="6"/>
  <c r="AM104" i="6" s="1"/>
  <c r="AJ96" i="6"/>
  <c r="AM96" i="6" s="1"/>
  <c r="AJ94" i="6"/>
  <c r="AM94" i="6" s="1"/>
  <c r="AJ92" i="6"/>
  <c r="AM92" i="6" s="1"/>
  <c r="AJ90" i="6"/>
  <c r="AM90" i="6" s="1"/>
  <c r="AJ84" i="6"/>
  <c r="AM84" i="6" s="1"/>
  <c r="AC109" i="6"/>
  <c r="AF109" i="6" s="1"/>
  <c r="AC98" i="6"/>
  <c r="AF98" i="6" s="1"/>
  <c r="AC92" i="6"/>
  <c r="AF92" i="6" s="1"/>
  <c r="AC83" i="6"/>
  <c r="AF83" i="6" s="1"/>
  <c r="V111" i="6"/>
  <c r="Y111" i="6" s="1"/>
  <c r="V108" i="6"/>
  <c r="Y108" i="6" s="1"/>
  <c r="V103" i="6"/>
  <c r="Y103" i="6" s="1"/>
  <c r="V101" i="6"/>
  <c r="Y101" i="6" s="1"/>
  <c r="V99" i="6"/>
  <c r="Y99" i="6" s="1"/>
  <c r="V96" i="6"/>
  <c r="Y96" i="6" s="1"/>
  <c r="V93" i="6"/>
  <c r="Y93" i="6" s="1"/>
  <c r="V92" i="6"/>
  <c r="Y92" i="6" s="1"/>
  <c r="V87" i="6"/>
  <c r="Y87" i="6" s="1"/>
  <c r="V85" i="6"/>
  <c r="Y85" i="6" s="1"/>
  <c r="V83" i="6"/>
  <c r="Y83" i="6" s="1"/>
  <c r="O111" i="6"/>
  <c r="R111" i="6" s="1"/>
  <c r="O108" i="6"/>
  <c r="R108" i="6" s="1"/>
  <c r="O102" i="6"/>
  <c r="R102" i="6" s="1"/>
  <c r="O100" i="6"/>
  <c r="R100" i="6" s="1"/>
  <c r="O98" i="6"/>
  <c r="R98" i="6" s="1"/>
  <c r="O95" i="6"/>
  <c r="R95" i="6" s="1"/>
  <c r="O92" i="6"/>
  <c r="R92" i="6" s="1"/>
  <c r="O91" i="6"/>
  <c r="R91" i="6" s="1"/>
  <c r="CN99" i="6"/>
  <c r="CQ99" i="6" s="1"/>
  <c r="CN95" i="6"/>
  <c r="CQ95" i="6" s="1"/>
  <c r="CN91" i="6"/>
  <c r="CQ91" i="6" s="1"/>
  <c r="CN88" i="6"/>
  <c r="CQ88" i="6" s="1"/>
  <c r="CG98" i="6"/>
  <c r="CJ98" i="6" s="1"/>
  <c r="CG94" i="6"/>
  <c r="CJ94" i="6" s="1"/>
  <c r="BZ94" i="6"/>
  <c r="CC94" i="6" s="1"/>
  <c r="BZ91" i="6"/>
  <c r="CC91" i="6" s="1"/>
  <c r="BS104" i="6"/>
  <c r="BV104" i="6" s="1"/>
  <c r="BS100" i="6"/>
  <c r="BV100" i="6" s="1"/>
  <c r="BL107" i="6"/>
  <c r="BO107" i="6" s="1"/>
  <c r="BL100" i="6"/>
  <c r="BO100" i="6" s="1"/>
  <c r="BL96" i="6"/>
  <c r="BO96" i="6" s="1"/>
  <c r="BL87" i="6"/>
  <c r="BO87" i="6" s="1"/>
  <c r="BL83" i="6"/>
  <c r="BO83" i="6" s="1"/>
  <c r="BE97" i="6"/>
  <c r="BH97" i="6" s="1"/>
  <c r="BE87" i="6"/>
  <c r="BH87" i="6" s="1"/>
  <c r="AX112" i="6"/>
  <c r="BA112" i="6" s="1"/>
  <c r="AX109" i="6"/>
  <c r="BA109" i="6" s="1"/>
  <c r="AX102" i="6"/>
  <c r="BA102" i="6" s="1"/>
  <c r="AX99" i="6"/>
  <c r="BA99" i="6" s="1"/>
  <c r="AX89" i="6"/>
  <c r="BA89" i="6" s="1"/>
  <c r="AX85" i="6"/>
  <c r="BA85" i="6" s="1"/>
  <c r="AQ112" i="6"/>
  <c r="AT112" i="6" s="1"/>
  <c r="AJ105" i="6"/>
  <c r="AM105" i="6" s="1"/>
  <c r="AJ102" i="6"/>
  <c r="AM102" i="6" s="1"/>
  <c r="AJ99" i="6"/>
  <c r="AM99" i="6" s="1"/>
  <c r="AJ87" i="6"/>
  <c r="AM87" i="6" s="1"/>
  <c r="AJ85" i="6"/>
  <c r="AM85" i="6" s="1"/>
  <c r="AC112" i="6"/>
  <c r="AF112" i="6" s="1"/>
  <c r="AC110" i="6"/>
  <c r="AF110" i="6" s="1"/>
  <c r="AC107" i="6"/>
  <c r="AF107" i="6" s="1"/>
  <c r="AC105" i="6"/>
  <c r="AF105" i="6" s="1"/>
  <c r="AC103" i="6"/>
  <c r="AF103" i="6" s="1"/>
  <c r="AC101" i="6"/>
  <c r="AF101" i="6" s="1"/>
  <c r="AC96" i="6"/>
  <c r="AF96" i="6" s="1"/>
  <c r="AC95" i="6"/>
  <c r="AF95" i="6" s="1"/>
  <c r="AC93" i="6"/>
  <c r="AF93" i="6" s="1"/>
  <c r="AC90" i="6"/>
  <c r="AF90" i="6" s="1"/>
  <c r="AC88" i="6"/>
  <c r="AF88" i="6" s="1"/>
  <c r="AC86" i="6"/>
  <c r="AF86" i="6" s="1"/>
  <c r="V109" i="6"/>
  <c r="Y109" i="6" s="1"/>
  <c r="V106" i="6"/>
  <c r="Y106" i="6" s="1"/>
  <c r="V97" i="6"/>
  <c r="Y97" i="6" s="1"/>
  <c r="V94" i="6"/>
  <c r="Y94" i="6" s="1"/>
  <c r="V90" i="6"/>
  <c r="Y90" i="6" s="1"/>
  <c r="O109" i="6"/>
  <c r="R109" i="6" s="1"/>
  <c r="O106" i="6"/>
  <c r="R106" i="6" s="1"/>
  <c r="O103" i="6"/>
  <c r="R103" i="6" s="1"/>
  <c r="O93" i="6"/>
  <c r="R93" i="6" s="1"/>
  <c r="O89" i="6"/>
  <c r="R89" i="6" s="1"/>
  <c r="O86" i="6"/>
  <c r="R86" i="6" s="1"/>
  <c r="O84" i="6"/>
  <c r="R84" i="6" s="1"/>
  <c r="CN112" i="6"/>
  <c r="CQ112" i="6" s="1"/>
  <c r="CN107" i="6"/>
  <c r="CQ107" i="6" s="1"/>
  <c r="CN104" i="6"/>
  <c r="CQ104" i="6" s="1"/>
  <c r="CN101" i="6"/>
  <c r="CQ101" i="6" s="1"/>
  <c r="CG111" i="6"/>
  <c r="CJ111" i="6" s="1"/>
  <c r="CG108" i="6"/>
  <c r="CJ108" i="6" s="1"/>
  <c r="CG101" i="6"/>
  <c r="CJ101" i="6" s="1"/>
  <c r="CG90" i="6"/>
  <c r="CJ90" i="6" s="1"/>
  <c r="CG87" i="6"/>
  <c r="CJ87" i="6" s="1"/>
  <c r="CG84" i="6"/>
  <c r="CJ84" i="6" s="1"/>
  <c r="BZ110" i="6"/>
  <c r="CC110" i="6" s="1"/>
  <c r="BZ104" i="6"/>
  <c r="CC104" i="6" s="1"/>
  <c r="BZ101" i="6"/>
  <c r="CC101" i="6" s="1"/>
  <c r="BZ84" i="6"/>
  <c r="CC84" i="6" s="1"/>
  <c r="BS110" i="6"/>
  <c r="BV110" i="6" s="1"/>
  <c r="BS93" i="6"/>
  <c r="BV93" i="6" s="1"/>
  <c r="BS90" i="6"/>
  <c r="BV90" i="6" s="1"/>
  <c r="BS86" i="6"/>
  <c r="BV86" i="6" s="1"/>
  <c r="CN97" i="6"/>
  <c r="CQ97" i="6" s="1"/>
  <c r="CG100" i="6"/>
  <c r="CJ100" i="6" s="1"/>
  <c r="BZ103" i="6"/>
  <c r="CC103" i="6" s="1"/>
  <c r="BS106" i="6"/>
  <c r="BV106" i="6" s="1"/>
  <c r="BS92" i="6"/>
  <c r="BV92" i="6" s="1"/>
  <c r="BL94" i="6"/>
  <c r="BO94" i="6" s="1"/>
  <c r="BE110" i="6"/>
  <c r="BH110" i="6" s="1"/>
  <c r="BE90" i="6"/>
  <c r="BH90" i="6" s="1"/>
  <c r="AX107" i="6"/>
  <c r="BA107" i="6" s="1"/>
  <c r="AX87" i="6"/>
  <c r="BA87" i="6" s="1"/>
  <c r="AJ103" i="6"/>
  <c r="AM103" i="6" s="1"/>
  <c r="AJ89" i="6"/>
  <c r="AM89" i="6" s="1"/>
  <c r="AJ86" i="6"/>
  <c r="AM86" i="6" s="1"/>
  <c r="AJ83" i="6"/>
  <c r="AM83" i="6" s="1"/>
  <c r="AC106" i="6"/>
  <c r="AF106" i="6" s="1"/>
  <c r="AC102" i="6"/>
  <c r="AF102" i="6" s="1"/>
  <c r="AC89" i="6"/>
  <c r="AF89" i="6" s="1"/>
  <c r="AC85" i="6"/>
  <c r="AF85" i="6" s="1"/>
  <c r="V105" i="6"/>
  <c r="Y105" i="6" s="1"/>
  <c r="V95" i="6"/>
  <c r="Y95" i="6" s="1"/>
  <c r="V89" i="6"/>
  <c r="Y89" i="6" s="1"/>
  <c r="O105" i="6"/>
  <c r="R105" i="6" s="1"/>
  <c r="O90" i="6"/>
  <c r="R90" i="6" s="1"/>
  <c r="O83" i="6"/>
  <c r="R83" i="6" s="1"/>
  <c r="AC111" i="6"/>
  <c r="AF111" i="6" s="1"/>
  <c r="AC87" i="6"/>
  <c r="AF87" i="6" s="1"/>
  <c r="V107" i="6"/>
  <c r="Y107" i="6" s="1"/>
  <c r="O107" i="6"/>
  <c r="R107" i="6" s="1"/>
  <c r="O85" i="6"/>
  <c r="R85" i="6" s="1"/>
  <c r="CG103" i="6"/>
  <c r="CJ103" i="6" s="1"/>
  <c r="CG89" i="6"/>
  <c r="CJ89" i="6" s="1"/>
  <c r="BZ106" i="6"/>
  <c r="CC106" i="6" s="1"/>
  <c r="BL85" i="6"/>
  <c r="BO85" i="6" s="1"/>
  <c r="AQ104" i="6"/>
  <c r="AT104" i="6" s="1"/>
  <c r="AQ91" i="6"/>
  <c r="AT91" i="6" s="1"/>
  <c r="AQ83" i="6"/>
  <c r="AT83" i="6" s="1"/>
  <c r="AJ106" i="6"/>
  <c r="AM106" i="6" s="1"/>
  <c r="AJ100" i="6"/>
  <c r="AM100" i="6" s="1"/>
  <c r="AC99" i="6"/>
  <c r="AF99" i="6" s="1"/>
  <c r="V112" i="6"/>
  <c r="Y112" i="6" s="1"/>
  <c r="V98" i="6"/>
  <c r="Y98" i="6" s="1"/>
  <c r="O112" i="6"/>
  <c r="R112" i="6" s="1"/>
  <c r="O96" i="6"/>
  <c r="R96" i="6" s="1"/>
  <c r="CN93" i="6"/>
  <c r="CQ93" i="6" s="1"/>
  <c r="CG96" i="6"/>
  <c r="CJ96" i="6" s="1"/>
  <c r="BS102" i="6"/>
  <c r="BV102" i="6" s="1"/>
  <c r="BL105" i="6"/>
  <c r="BO105" i="6" s="1"/>
  <c r="BE84" i="6"/>
  <c r="BH84" i="6" s="1"/>
  <c r="AX105" i="6"/>
  <c r="BA105" i="6" s="1"/>
  <c r="AX92" i="6"/>
  <c r="BA92" i="6" s="1"/>
  <c r="AQ108" i="6"/>
  <c r="AT108" i="6" s="1"/>
  <c r="AQ100" i="6"/>
  <c r="AT100" i="6" s="1"/>
  <c r="AQ93" i="6"/>
  <c r="AT93" i="6" s="1"/>
  <c r="AQ89" i="6"/>
  <c r="AT89" i="6" s="1"/>
  <c r="AQ85" i="6"/>
  <c r="AT85" i="6" s="1"/>
  <c r="AJ108" i="6"/>
  <c r="AM108" i="6" s="1"/>
  <c r="AJ95" i="6"/>
  <c r="AM95" i="6" s="1"/>
  <c r="AJ91" i="6"/>
  <c r="AM91" i="6" s="1"/>
  <c r="AJ88" i="6"/>
  <c r="AM88" i="6" s="1"/>
  <c r="AC97" i="6"/>
  <c r="AF97" i="6" s="1"/>
  <c r="AC84" i="6"/>
  <c r="AF84" i="6" s="1"/>
  <c r="V110" i="6"/>
  <c r="Y110" i="6" s="1"/>
  <c r="V104" i="6"/>
  <c r="Y104" i="6" s="1"/>
  <c r="V100" i="6"/>
  <c r="Y100" i="6" s="1"/>
  <c r="V88" i="6"/>
  <c r="Y88" i="6" s="1"/>
  <c r="V84" i="6"/>
  <c r="Y84" i="6" s="1"/>
  <c r="O110" i="6"/>
  <c r="R110" i="6" s="1"/>
  <c r="O104" i="6"/>
  <c r="R104" i="6" s="1"/>
  <c r="O101" i="6"/>
  <c r="R101" i="6" s="1"/>
  <c r="O94" i="6"/>
  <c r="R94" i="6" s="1"/>
  <c r="AC104" i="6"/>
  <c r="AF104" i="6" s="1"/>
  <c r="AC100" i="6"/>
  <c r="AF100" i="6" s="1"/>
  <c r="AC94" i="6"/>
  <c r="AF94" i="6" s="1"/>
  <c r="V91" i="6"/>
  <c r="Y91" i="6" s="1"/>
  <c r="O97" i="6"/>
  <c r="R97" i="6" s="1"/>
  <c r="O88" i="6"/>
  <c r="R88" i="6" s="1"/>
  <c r="BS109" i="6"/>
  <c r="BV109" i="6" s="1"/>
  <c r="BL98" i="6"/>
  <c r="BO98" i="6" s="1"/>
  <c r="AQ96" i="6"/>
  <c r="AT96" i="6" s="1"/>
  <c r="AQ87" i="6"/>
  <c r="AT87" i="6" s="1"/>
  <c r="AJ110" i="6"/>
  <c r="AM110" i="6" s="1"/>
  <c r="AJ97" i="6"/>
  <c r="AM97" i="6" s="1"/>
  <c r="V102" i="6"/>
  <c r="Y102" i="6" s="1"/>
  <c r="V86" i="6"/>
  <c r="Y86" i="6" s="1"/>
  <c r="O87" i="6"/>
  <c r="R87" i="6" s="1"/>
  <c r="CN103" i="6"/>
  <c r="CQ103" i="6" s="1"/>
  <c r="CG92" i="6"/>
  <c r="CJ92" i="6" s="1"/>
  <c r="BZ109" i="6"/>
  <c r="CC109" i="6" s="1"/>
  <c r="BZ96" i="6"/>
  <c r="CC96" i="6" s="1"/>
  <c r="BS98" i="6"/>
  <c r="BV98" i="6" s="1"/>
  <c r="BL102" i="6"/>
  <c r="BO102" i="6" s="1"/>
  <c r="AX104" i="6"/>
  <c r="BA104" i="6" s="1"/>
  <c r="AJ111" i="6"/>
  <c r="AM111" i="6" s="1"/>
  <c r="AJ101" i="6"/>
  <c r="AM101" i="6" s="1"/>
  <c r="AJ98" i="6"/>
  <c r="AM98" i="6" s="1"/>
  <c r="AC108" i="6"/>
  <c r="AF108" i="6" s="1"/>
  <c r="AC91" i="6"/>
  <c r="AF91" i="6" s="1"/>
  <c r="AJ93" i="6"/>
  <c r="AM93" i="6" s="1"/>
  <c r="O99" i="6"/>
  <c r="R99" i="6" s="1"/>
  <c r="BE86" i="6"/>
  <c r="BH86" i="6" s="1"/>
  <c r="BE92" i="6"/>
  <c r="BH92" i="6" s="1"/>
  <c r="BE105" i="6"/>
  <c r="BH105" i="6" s="1"/>
  <c r="BE95" i="6"/>
  <c r="BH95" i="6" s="1"/>
  <c r="BE89" i="6"/>
  <c r="BH89" i="6" s="1"/>
  <c r="BE102" i="6"/>
  <c r="BH102" i="6" s="1"/>
  <c r="BE108" i="6"/>
  <c r="BH108" i="6" s="1"/>
  <c r="BD112" i="6"/>
  <c r="BG112" i="6" s="1"/>
  <c r="U29" i="6"/>
  <c r="AB29" i="6"/>
  <c r="C30" i="8"/>
  <c r="X9" i="8"/>
  <c r="C38" i="8"/>
  <c r="X17" i="8"/>
  <c r="C36" i="8"/>
  <c r="X15" i="8"/>
  <c r="C40" i="8"/>
  <c r="X19" i="8"/>
  <c r="C34" i="8"/>
  <c r="X13" i="8"/>
  <c r="C29" i="8"/>
  <c r="X8" i="8"/>
  <c r="C33" i="8"/>
  <c r="X12" i="8"/>
  <c r="C37" i="8"/>
  <c r="X16" i="8"/>
  <c r="G29" i="6"/>
  <c r="J29" i="6" s="1"/>
  <c r="AC48" i="6"/>
  <c r="AF48" i="6" s="1"/>
  <c r="BE49" i="6"/>
  <c r="BH49" i="6" s="1"/>
  <c r="CG42" i="6"/>
  <c r="CJ42" i="6" s="1"/>
  <c r="BL47" i="6"/>
  <c r="BO47" i="6" s="1"/>
  <c r="CN45" i="6"/>
  <c r="CQ45" i="6" s="1"/>
  <c r="AJ57" i="6"/>
  <c r="AM57" i="6" s="1"/>
  <c r="O58" i="6"/>
  <c r="R58" i="6" s="1"/>
  <c r="AQ57" i="6"/>
  <c r="AT57" i="6" s="1"/>
  <c r="BS52" i="6"/>
  <c r="BV52" i="6" s="1"/>
  <c r="V55" i="6"/>
  <c r="Y55" i="6" s="1"/>
  <c r="AX52" i="6"/>
  <c r="BA52" i="6" s="1"/>
  <c r="BZ55" i="6"/>
  <c r="CC55" i="6" s="1"/>
  <c r="CN48" i="6"/>
  <c r="CQ48" i="6" s="1"/>
  <c r="AJ39" i="6"/>
  <c r="AM39" i="6" s="1"/>
  <c r="BL29" i="6"/>
  <c r="BO29" i="6" s="1"/>
  <c r="H52" i="6"/>
  <c r="K52" i="6" s="1"/>
  <c r="BS40" i="6"/>
  <c r="BV40" i="6" s="1"/>
  <c r="O35" i="6"/>
  <c r="R35" i="6" s="1"/>
  <c r="BS41" i="6"/>
  <c r="BV41" i="6" s="1"/>
  <c r="AX56" i="6"/>
  <c r="BA56" i="6" s="1"/>
  <c r="H36" i="6"/>
  <c r="K36" i="6" s="1"/>
  <c r="O47" i="6"/>
  <c r="R47" i="6" s="1"/>
  <c r="AJ55" i="6"/>
  <c r="AM55" i="6" s="1"/>
  <c r="BL38" i="6"/>
  <c r="BO38" i="6" s="1"/>
  <c r="BS56" i="6"/>
  <c r="BV56" i="6" s="1"/>
  <c r="V51" i="6"/>
  <c r="Y51" i="6" s="1"/>
  <c r="H44" i="6"/>
  <c r="K44" i="6" s="1"/>
  <c r="V43" i="6"/>
  <c r="Y43" i="6" s="1"/>
  <c r="AX48" i="6"/>
  <c r="BA48" i="6" s="1"/>
  <c r="BL54" i="6"/>
  <c r="BO54" i="6" s="1"/>
  <c r="BS57" i="6"/>
  <c r="BV57" i="6" s="1"/>
  <c r="AC37" i="6"/>
  <c r="AF37" i="6" s="1"/>
  <c r="CG51" i="6"/>
  <c r="CJ51" i="6" s="1"/>
  <c r="H31" i="6"/>
  <c r="K31" i="6" s="1"/>
  <c r="H47" i="6"/>
  <c r="K47" i="6" s="1"/>
  <c r="AC56" i="6"/>
  <c r="AF56" i="6" s="1"/>
  <c r="AJ58" i="6"/>
  <c r="AM58" i="6" s="1"/>
  <c r="BL30" i="6"/>
  <c r="BO30" i="6" s="1"/>
  <c r="BL55" i="6"/>
  <c r="BO55" i="6" s="1"/>
  <c r="H32" i="6"/>
  <c r="K32" i="6" s="1"/>
  <c r="H40" i="6"/>
  <c r="K40" i="6" s="1"/>
  <c r="H48" i="6"/>
  <c r="K48" i="6" s="1"/>
  <c r="H56" i="6"/>
  <c r="K56" i="6" s="1"/>
  <c r="O51" i="6"/>
  <c r="R51" i="6" s="1"/>
  <c r="AC29" i="6"/>
  <c r="AF29" i="6" s="1"/>
  <c r="AC45" i="6"/>
  <c r="AF45" i="6" s="1"/>
  <c r="AJ31" i="6"/>
  <c r="AM31" i="6" s="1"/>
  <c r="AJ47" i="6"/>
  <c r="AM47" i="6" s="1"/>
  <c r="AX32" i="6"/>
  <c r="BA32" i="6" s="1"/>
  <c r="BE29" i="6"/>
  <c r="BH29" i="6" s="1"/>
  <c r="BL33" i="6"/>
  <c r="BO33" i="6" s="1"/>
  <c r="BL46" i="6"/>
  <c r="BO46" i="6" s="1"/>
  <c r="BS32" i="6"/>
  <c r="BV32" i="6" s="1"/>
  <c r="BS48" i="6"/>
  <c r="BV48" i="6" s="1"/>
  <c r="CG35" i="6"/>
  <c r="CJ35" i="6" s="1"/>
  <c r="CN32" i="6"/>
  <c r="CQ32" i="6" s="1"/>
  <c r="AC53" i="6"/>
  <c r="AF53" i="6" s="1"/>
  <c r="H39" i="6"/>
  <c r="K39" i="6" s="1"/>
  <c r="H55" i="6"/>
  <c r="K55" i="6" s="1"/>
  <c r="AC40" i="6"/>
  <c r="AF40" i="6" s="1"/>
  <c r="AJ42" i="6"/>
  <c r="AM42" i="6" s="1"/>
  <c r="BL39" i="6"/>
  <c r="BO39" i="6" s="1"/>
  <c r="CG58" i="6"/>
  <c r="CJ58" i="6" s="1"/>
  <c r="H35" i="6"/>
  <c r="K35" i="6" s="1"/>
  <c r="H43" i="6"/>
  <c r="K43" i="6" s="1"/>
  <c r="H51" i="6"/>
  <c r="K51" i="6" s="1"/>
  <c r="O31" i="6"/>
  <c r="R31" i="6" s="1"/>
  <c r="V35" i="6"/>
  <c r="Y35" i="6" s="1"/>
  <c r="AC32" i="6"/>
  <c r="AF32" i="6" s="1"/>
  <c r="AJ34" i="6"/>
  <c r="AM34" i="6" s="1"/>
  <c r="AJ50" i="6"/>
  <c r="AM50" i="6" s="1"/>
  <c r="AX40" i="6"/>
  <c r="BA40" i="6" s="1"/>
  <c r="BL34" i="6"/>
  <c r="BO34" i="6" s="1"/>
  <c r="BS33" i="6"/>
  <c r="BV33" i="6" s="1"/>
  <c r="BS49" i="6"/>
  <c r="BV49" i="6" s="1"/>
  <c r="V30" i="6"/>
  <c r="Y30" i="6" s="1"/>
  <c r="V46" i="6"/>
  <c r="Y46" i="6" s="1"/>
  <c r="V54" i="6"/>
  <c r="Y54" i="6" s="1"/>
  <c r="AX35" i="6"/>
  <c r="BA35" i="6" s="1"/>
  <c r="AX51" i="6"/>
  <c r="BA51" i="6" s="1"/>
  <c r="AC55" i="6"/>
  <c r="AF55" i="6" s="1"/>
  <c r="AC51" i="6"/>
  <c r="AF51" i="6" s="1"/>
  <c r="AC47" i="6"/>
  <c r="AF47" i="6" s="1"/>
  <c r="AC43" i="6"/>
  <c r="AF43" i="6" s="1"/>
  <c r="AC39" i="6"/>
  <c r="AF39" i="6" s="1"/>
  <c r="AC35" i="6"/>
  <c r="AF35" i="6" s="1"/>
  <c r="AC31" i="6"/>
  <c r="AF31" i="6" s="1"/>
  <c r="AC58" i="6"/>
  <c r="AF58" i="6" s="1"/>
  <c r="AC54" i="6"/>
  <c r="AF54" i="6" s="1"/>
  <c r="AC50" i="6"/>
  <c r="AF50" i="6" s="1"/>
  <c r="AC46" i="6"/>
  <c r="AF46" i="6" s="1"/>
  <c r="AC42" i="6"/>
  <c r="AF42" i="6" s="1"/>
  <c r="AC38" i="6"/>
  <c r="AF38" i="6" s="1"/>
  <c r="AC34" i="6"/>
  <c r="AF34" i="6" s="1"/>
  <c r="AC30" i="6"/>
  <c r="AF30" i="6" s="1"/>
  <c r="BE56" i="6"/>
  <c r="BH56" i="6" s="1"/>
  <c r="BE57" i="6"/>
  <c r="BH57" i="6" s="1"/>
  <c r="BE41" i="6"/>
  <c r="BH41" i="6" s="1"/>
  <c r="BE53" i="6"/>
  <c r="BH53" i="6" s="1"/>
  <c r="BE37" i="6"/>
  <c r="BH37" i="6" s="1"/>
  <c r="CG57" i="6"/>
  <c r="CJ57" i="6" s="1"/>
  <c r="CG53" i="6"/>
  <c r="CJ53" i="6" s="1"/>
  <c r="CG49" i="6"/>
  <c r="CJ49" i="6" s="1"/>
  <c r="CG45" i="6"/>
  <c r="CJ45" i="6" s="1"/>
  <c r="CG41" i="6"/>
  <c r="CJ41" i="6" s="1"/>
  <c r="CG37" i="6"/>
  <c r="CJ37" i="6" s="1"/>
  <c r="CG33" i="6"/>
  <c r="CJ33" i="6" s="1"/>
  <c r="CG29" i="6"/>
  <c r="CJ29" i="6" s="1"/>
  <c r="CG56" i="6"/>
  <c r="CJ56" i="6" s="1"/>
  <c r="CG52" i="6"/>
  <c r="CJ52" i="6" s="1"/>
  <c r="CG48" i="6"/>
  <c r="CJ48" i="6" s="1"/>
  <c r="CG44" i="6"/>
  <c r="CJ44" i="6" s="1"/>
  <c r="CG40" i="6"/>
  <c r="CJ40" i="6" s="1"/>
  <c r="CG36" i="6"/>
  <c r="CJ36" i="6" s="1"/>
  <c r="CG32" i="6"/>
  <c r="CJ32" i="6" s="1"/>
  <c r="CG55" i="6"/>
  <c r="CJ55" i="6" s="1"/>
  <c r="CG47" i="6"/>
  <c r="CJ47" i="6" s="1"/>
  <c r="CG39" i="6"/>
  <c r="CJ39" i="6" s="1"/>
  <c r="CG31" i="6"/>
  <c r="CJ31" i="6" s="1"/>
  <c r="CG54" i="6"/>
  <c r="CJ54" i="6" s="1"/>
  <c r="CG46" i="6"/>
  <c r="CJ46" i="6" s="1"/>
  <c r="CG38" i="6"/>
  <c r="CJ38" i="6" s="1"/>
  <c r="CG30" i="6"/>
  <c r="CJ30" i="6" s="1"/>
  <c r="V31" i="6"/>
  <c r="Y31" i="6" s="1"/>
  <c r="V39" i="6"/>
  <c r="Y39" i="6" s="1"/>
  <c r="V47" i="6"/>
  <c r="Y47" i="6" s="1"/>
  <c r="AC33" i="6"/>
  <c r="AF33" i="6" s="1"/>
  <c r="AC41" i="6"/>
  <c r="AF41" i="6" s="1"/>
  <c r="AC49" i="6"/>
  <c r="AF49" i="6" s="1"/>
  <c r="AC57" i="6"/>
  <c r="AF57" i="6" s="1"/>
  <c r="AX36" i="6"/>
  <c r="BA36" i="6" s="1"/>
  <c r="AX44" i="6"/>
  <c r="BA44" i="6" s="1"/>
  <c r="BE33" i="6"/>
  <c r="BH33" i="6" s="1"/>
  <c r="CG43" i="6"/>
  <c r="CJ43" i="6" s="1"/>
  <c r="V57" i="6"/>
  <c r="Y57" i="6" s="1"/>
  <c r="V53" i="6"/>
  <c r="Y53" i="6" s="1"/>
  <c r="V49" i="6"/>
  <c r="Y49" i="6" s="1"/>
  <c r="V45" i="6"/>
  <c r="Y45" i="6" s="1"/>
  <c r="V41" i="6"/>
  <c r="Y41" i="6" s="1"/>
  <c r="V37" i="6"/>
  <c r="Y37" i="6" s="1"/>
  <c r="V33" i="6"/>
  <c r="Y33" i="6" s="1"/>
  <c r="V56" i="6"/>
  <c r="Y56" i="6" s="1"/>
  <c r="V52" i="6"/>
  <c r="Y52" i="6" s="1"/>
  <c r="V48" i="6"/>
  <c r="Y48" i="6" s="1"/>
  <c r="V44" i="6"/>
  <c r="Y44" i="6" s="1"/>
  <c r="V40" i="6"/>
  <c r="Y40" i="6" s="1"/>
  <c r="V36" i="6"/>
  <c r="Y36" i="6" s="1"/>
  <c r="V32" i="6"/>
  <c r="Y32" i="6" s="1"/>
  <c r="AX58" i="6"/>
  <c r="BA58" i="6" s="1"/>
  <c r="AX54" i="6"/>
  <c r="BA54" i="6" s="1"/>
  <c r="AX50" i="6"/>
  <c r="BA50" i="6" s="1"/>
  <c r="AX46" i="6"/>
  <c r="BA46" i="6" s="1"/>
  <c r="AX42" i="6"/>
  <c r="BA42" i="6" s="1"/>
  <c r="AX38" i="6"/>
  <c r="BA38" i="6" s="1"/>
  <c r="AX34" i="6"/>
  <c r="BA34" i="6" s="1"/>
  <c r="AX30" i="6"/>
  <c r="BA30" i="6" s="1"/>
  <c r="AX57" i="6"/>
  <c r="BA57" i="6" s="1"/>
  <c r="AX53" i="6"/>
  <c r="BA53" i="6" s="1"/>
  <c r="AX49" i="6"/>
  <c r="BA49" i="6" s="1"/>
  <c r="AX45" i="6"/>
  <c r="BA45" i="6" s="1"/>
  <c r="AX41" i="6"/>
  <c r="BA41" i="6" s="1"/>
  <c r="AX37" i="6"/>
  <c r="BA37" i="6" s="1"/>
  <c r="AX33" i="6"/>
  <c r="BA33" i="6" s="1"/>
  <c r="AX29" i="6"/>
  <c r="BA29" i="6" s="1"/>
  <c r="V38" i="6"/>
  <c r="Y38" i="6" s="1"/>
  <c r="AX43" i="6"/>
  <c r="BA43" i="6" s="1"/>
  <c r="V34" i="6"/>
  <c r="Y34" i="6" s="1"/>
  <c r="V42" i="6"/>
  <c r="Y42" i="6" s="1"/>
  <c r="V50" i="6"/>
  <c r="Y50" i="6" s="1"/>
  <c r="V58" i="6"/>
  <c r="Y58" i="6" s="1"/>
  <c r="AC36" i="6"/>
  <c r="AF36" i="6" s="1"/>
  <c r="AC44" i="6"/>
  <c r="AF44" i="6" s="1"/>
  <c r="AC52" i="6"/>
  <c r="AF52" i="6" s="1"/>
  <c r="AX31" i="6"/>
  <c r="BA31" i="6" s="1"/>
  <c r="AX39" i="6"/>
  <c r="BA39" i="6" s="1"/>
  <c r="AX47" i="6"/>
  <c r="BA47" i="6" s="1"/>
  <c r="AX55" i="6"/>
  <c r="BA55" i="6" s="1"/>
  <c r="BE45" i="6"/>
  <c r="BH45" i="6" s="1"/>
  <c r="CG34" i="6"/>
  <c r="CJ34" i="6" s="1"/>
  <c r="CG50" i="6"/>
  <c r="CJ50" i="6" s="1"/>
  <c r="BL57" i="6"/>
  <c r="BO57" i="6" s="1"/>
  <c r="BL53" i="6"/>
  <c r="BO53" i="6" s="1"/>
  <c r="BL49" i="6"/>
  <c r="BO49" i="6" s="1"/>
  <c r="BL45" i="6"/>
  <c r="BO45" i="6" s="1"/>
  <c r="BL41" i="6"/>
  <c r="BO41" i="6" s="1"/>
  <c r="BL37" i="6"/>
  <c r="BO37" i="6" s="1"/>
  <c r="BL56" i="6"/>
  <c r="BO56" i="6" s="1"/>
  <c r="BL52" i="6"/>
  <c r="BO52" i="6" s="1"/>
  <c r="BL48" i="6"/>
  <c r="BO48" i="6" s="1"/>
  <c r="BL44" i="6"/>
  <c r="BO44" i="6" s="1"/>
  <c r="BL40" i="6"/>
  <c r="BO40" i="6" s="1"/>
  <c r="CN29" i="6"/>
  <c r="CQ29" i="6" s="1"/>
  <c r="CN52" i="6"/>
  <c r="CQ52" i="6" s="1"/>
  <c r="CN44" i="6"/>
  <c r="CQ44" i="6" s="1"/>
  <c r="CN36" i="6"/>
  <c r="CQ36" i="6" s="1"/>
  <c r="CN57" i="6"/>
  <c r="CQ57" i="6" s="1"/>
  <c r="CN49" i="6"/>
  <c r="CQ49" i="6" s="1"/>
  <c r="CN41" i="6"/>
  <c r="CQ41" i="6" s="1"/>
  <c r="CN33" i="6"/>
  <c r="CQ33" i="6" s="1"/>
  <c r="H29" i="6"/>
  <c r="K29" i="6" s="1"/>
  <c r="H33" i="6"/>
  <c r="K33" i="6" s="1"/>
  <c r="H37" i="6"/>
  <c r="K37" i="6" s="1"/>
  <c r="H41" i="6"/>
  <c r="K41" i="6" s="1"/>
  <c r="H45" i="6"/>
  <c r="K45" i="6" s="1"/>
  <c r="H49" i="6"/>
  <c r="K49" i="6" s="1"/>
  <c r="H53" i="6"/>
  <c r="K53" i="6" s="1"/>
  <c r="H57" i="6"/>
  <c r="K57" i="6" s="1"/>
  <c r="O39" i="6"/>
  <c r="R39" i="6" s="1"/>
  <c r="O55" i="6"/>
  <c r="R55" i="6" s="1"/>
  <c r="AJ35" i="6"/>
  <c r="AM35" i="6" s="1"/>
  <c r="AJ43" i="6"/>
  <c r="AM43" i="6" s="1"/>
  <c r="AJ51" i="6"/>
  <c r="AM51" i="6" s="1"/>
  <c r="BL31" i="6"/>
  <c r="BO31" i="6" s="1"/>
  <c r="BL35" i="6"/>
  <c r="BO35" i="6" s="1"/>
  <c r="BL42" i="6"/>
  <c r="BO42" i="6" s="1"/>
  <c r="BL50" i="6"/>
  <c r="BO50" i="6" s="1"/>
  <c r="BL58" i="6"/>
  <c r="BO58" i="6" s="1"/>
  <c r="BS36" i="6"/>
  <c r="BV36" i="6" s="1"/>
  <c r="BS44" i="6"/>
  <c r="BV44" i="6" s="1"/>
  <c r="CN37" i="6"/>
  <c r="CQ37" i="6" s="1"/>
  <c r="CN53" i="6"/>
  <c r="CQ53" i="6" s="1"/>
  <c r="BS55" i="6"/>
  <c r="BV55" i="6" s="1"/>
  <c r="BS51" i="6"/>
  <c r="BV51" i="6" s="1"/>
  <c r="BS47" i="6"/>
  <c r="BV47" i="6" s="1"/>
  <c r="BS43" i="6"/>
  <c r="BV43" i="6" s="1"/>
  <c r="BS39" i="6"/>
  <c r="BV39" i="6" s="1"/>
  <c r="BS35" i="6"/>
  <c r="BV35" i="6" s="1"/>
  <c r="BS31" i="6"/>
  <c r="BV31" i="6" s="1"/>
  <c r="BS58" i="6"/>
  <c r="BV58" i="6" s="1"/>
  <c r="BS54" i="6"/>
  <c r="BV54" i="6" s="1"/>
  <c r="BS50" i="6"/>
  <c r="BV50" i="6" s="1"/>
  <c r="BS46" i="6"/>
  <c r="BV46" i="6" s="1"/>
  <c r="BS42" i="6"/>
  <c r="BV42" i="6" s="1"/>
  <c r="BS38" i="6"/>
  <c r="BV38" i="6" s="1"/>
  <c r="BS34" i="6"/>
  <c r="BV34" i="6" s="1"/>
  <c r="BS30" i="6"/>
  <c r="BV30" i="6" s="1"/>
  <c r="H30" i="6"/>
  <c r="K30" i="6" s="1"/>
  <c r="H34" i="6"/>
  <c r="K34" i="6" s="1"/>
  <c r="H38" i="6"/>
  <c r="K38" i="6" s="1"/>
  <c r="H42" i="6"/>
  <c r="K42" i="6" s="1"/>
  <c r="H46" i="6"/>
  <c r="K46" i="6" s="1"/>
  <c r="H50" i="6"/>
  <c r="K50" i="6" s="1"/>
  <c r="H54" i="6"/>
  <c r="K54" i="6" s="1"/>
  <c r="H58" i="6"/>
  <c r="K58" i="6" s="1"/>
  <c r="O43" i="6"/>
  <c r="R43" i="6" s="1"/>
  <c r="AJ30" i="6"/>
  <c r="AM30" i="6" s="1"/>
  <c r="AJ38" i="6"/>
  <c r="AM38" i="6" s="1"/>
  <c r="AJ46" i="6"/>
  <c r="AM46" i="6" s="1"/>
  <c r="AJ54" i="6"/>
  <c r="AM54" i="6" s="1"/>
  <c r="BL32" i="6"/>
  <c r="BO32" i="6" s="1"/>
  <c r="BL36" i="6"/>
  <c r="BO36" i="6" s="1"/>
  <c r="BL43" i="6"/>
  <c r="BO43" i="6" s="1"/>
  <c r="BL51" i="6"/>
  <c r="BO51" i="6" s="1"/>
  <c r="BS29" i="6"/>
  <c r="BV29" i="6" s="1"/>
  <c r="BS37" i="6"/>
  <c r="BV37" i="6" s="1"/>
  <c r="BS45" i="6"/>
  <c r="BV45" i="6" s="1"/>
  <c r="BS53" i="6"/>
  <c r="BV53" i="6" s="1"/>
  <c r="CN40" i="6"/>
  <c r="CQ40" i="6" s="1"/>
  <c r="CN56" i="6"/>
  <c r="CQ56" i="6" s="1"/>
  <c r="CN30" i="6"/>
  <c r="CQ30" i="6" s="1"/>
  <c r="CN34" i="6"/>
  <c r="CQ34" i="6" s="1"/>
  <c r="CN38" i="6"/>
  <c r="CQ38" i="6" s="1"/>
  <c r="CN42" i="6"/>
  <c r="CQ42" i="6" s="1"/>
  <c r="CN46" i="6"/>
  <c r="CQ46" i="6" s="1"/>
  <c r="CN50" i="6"/>
  <c r="CQ50" i="6" s="1"/>
  <c r="CN54" i="6"/>
  <c r="CQ54" i="6" s="1"/>
  <c r="CN58" i="6"/>
  <c r="CQ58" i="6" s="1"/>
  <c r="CN31" i="6"/>
  <c r="CQ31" i="6" s="1"/>
  <c r="CN35" i="6"/>
  <c r="CQ35" i="6" s="1"/>
  <c r="CN39" i="6"/>
  <c r="CQ39" i="6" s="1"/>
  <c r="CN43" i="6"/>
  <c r="CQ43" i="6" s="1"/>
  <c r="CN47" i="6"/>
  <c r="CQ47" i="6" s="1"/>
  <c r="CN51" i="6"/>
  <c r="CQ51" i="6" s="1"/>
  <c r="CN55" i="6"/>
  <c r="CQ55" i="6" s="1"/>
  <c r="BZ40" i="6"/>
  <c r="CC40" i="6" s="1"/>
  <c r="BZ56" i="6"/>
  <c r="CC56" i="6" s="1"/>
  <c r="BZ44" i="6"/>
  <c r="CC44" i="6" s="1"/>
  <c r="BZ32" i="6"/>
  <c r="CC32" i="6" s="1"/>
  <c r="BZ48" i="6"/>
  <c r="CC48" i="6" s="1"/>
  <c r="BZ36" i="6"/>
  <c r="CC36" i="6" s="1"/>
  <c r="BZ52" i="6"/>
  <c r="CC52" i="6" s="1"/>
  <c r="BZ30" i="6"/>
  <c r="CC30" i="6" s="1"/>
  <c r="BZ34" i="6"/>
  <c r="CC34" i="6" s="1"/>
  <c r="BZ38" i="6"/>
  <c r="CC38" i="6" s="1"/>
  <c r="BZ42" i="6"/>
  <c r="CC42" i="6" s="1"/>
  <c r="BZ46" i="6"/>
  <c r="CC46" i="6" s="1"/>
  <c r="BZ50" i="6"/>
  <c r="CC50" i="6" s="1"/>
  <c r="BZ54" i="6"/>
  <c r="CC54" i="6" s="1"/>
  <c r="BZ58" i="6"/>
  <c r="CC58" i="6" s="1"/>
  <c r="BZ29" i="6"/>
  <c r="CC29" i="6" s="1"/>
  <c r="BZ33" i="6"/>
  <c r="CC33" i="6" s="1"/>
  <c r="BZ37" i="6"/>
  <c r="CC37" i="6" s="1"/>
  <c r="BZ41" i="6"/>
  <c r="CC41" i="6" s="1"/>
  <c r="BZ45" i="6"/>
  <c r="CC45" i="6" s="1"/>
  <c r="BZ49" i="6"/>
  <c r="CC49" i="6" s="1"/>
  <c r="BZ53" i="6"/>
  <c r="CC53" i="6" s="1"/>
  <c r="BZ57" i="6"/>
  <c r="CC57" i="6" s="1"/>
  <c r="BZ31" i="6"/>
  <c r="CC31" i="6" s="1"/>
  <c r="BZ35" i="6"/>
  <c r="CC35" i="6" s="1"/>
  <c r="BZ39" i="6"/>
  <c r="CC39" i="6" s="1"/>
  <c r="BZ43" i="6"/>
  <c r="CC43" i="6" s="1"/>
  <c r="BZ47" i="6"/>
  <c r="CC47" i="6" s="1"/>
  <c r="BZ51" i="6"/>
  <c r="CC51" i="6" s="1"/>
  <c r="BE30" i="6"/>
  <c r="BH30" i="6" s="1"/>
  <c r="BE34" i="6"/>
  <c r="BH34" i="6" s="1"/>
  <c r="BE38" i="6"/>
  <c r="BH38" i="6" s="1"/>
  <c r="BE42" i="6"/>
  <c r="BH42" i="6" s="1"/>
  <c r="BE46" i="6"/>
  <c r="BH46" i="6" s="1"/>
  <c r="BE50" i="6"/>
  <c r="BH50" i="6" s="1"/>
  <c r="BE54" i="6"/>
  <c r="BH54" i="6" s="1"/>
  <c r="BE58" i="6"/>
  <c r="BH58" i="6" s="1"/>
  <c r="BE31" i="6"/>
  <c r="BH31" i="6" s="1"/>
  <c r="BE35" i="6"/>
  <c r="BH35" i="6" s="1"/>
  <c r="BE39" i="6"/>
  <c r="BH39" i="6" s="1"/>
  <c r="BE43" i="6"/>
  <c r="BH43" i="6" s="1"/>
  <c r="BE47" i="6"/>
  <c r="BH47" i="6" s="1"/>
  <c r="BE51" i="6"/>
  <c r="BH51" i="6" s="1"/>
  <c r="BE55" i="6"/>
  <c r="BH55" i="6" s="1"/>
  <c r="BE32" i="6"/>
  <c r="BH32" i="6" s="1"/>
  <c r="BE36" i="6"/>
  <c r="BH36" i="6" s="1"/>
  <c r="BE40" i="6"/>
  <c r="BH40" i="6" s="1"/>
  <c r="BE44" i="6"/>
  <c r="BH44" i="6" s="1"/>
  <c r="BE48" i="6"/>
  <c r="BH48" i="6" s="1"/>
  <c r="BE52" i="6"/>
  <c r="BH52" i="6" s="1"/>
  <c r="AQ30" i="6"/>
  <c r="AT30" i="6" s="1"/>
  <c r="AQ34" i="6"/>
  <c r="AT34" i="6" s="1"/>
  <c r="AQ38" i="6"/>
  <c r="AT38" i="6" s="1"/>
  <c r="AQ42" i="6"/>
  <c r="AT42" i="6" s="1"/>
  <c r="AQ46" i="6"/>
  <c r="AT46" i="6" s="1"/>
  <c r="AQ50" i="6"/>
  <c r="AT50" i="6" s="1"/>
  <c r="AQ54" i="6"/>
  <c r="AT54" i="6" s="1"/>
  <c r="AQ58" i="6"/>
  <c r="AT58" i="6" s="1"/>
  <c r="AQ31" i="6"/>
  <c r="AT31" i="6" s="1"/>
  <c r="AQ35" i="6"/>
  <c r="AT35" i="6" s="1"/>
  <c r="AQ39" i="6"/>
  <c r="AT39" i="6" s="1"/>
  <c r="AQ43" i="6"/>
  <c r="AT43" i="6" s="1"/>
  <c r="AQ47" i="6"/>
  <c r="AT47" i="6" s="1"/>
  <c r="AQ51" i="6"/>
  <c r="AT51" i="6" s="1"/>
  <c r="AQ55" i="6"/>
  <c r="AT55" i="6" s="1"/>
  <c r="AQ32" i="6"/>
  <c r="AT32" i="6" s="1"/>
  <c r="AQ36" i="6"/>
  <c r="AT36" i="6" s="1"/>
  <c r="AQ40" i="6"/>
  <c r="AT40" i="6" s="1"/>
  <c r="AQ44" i="6"/>
  <c r="AT44" i="6" s="1"/>
  <c r="AQ48" i="6"/>
  <c r="AT48" i="6" s="1"/>
  <c r="AQ52" i="6"/>
  <c r="AT52" i="6" s="1"/>
  <c r="AQ56" i="6"/>
  <c r="AT56" i="6" s="1"/>
  <c r="AQ29" i="6"/>
  <c r="AT29" i="6" s="1"/>
  <c r="AQ33" i="6"/>
  <c r="AT33" i="6" s="1"/>
  <c r="AQ37" i="6"/>
  <c r="AT37" i="6" s="1"/>
  <c r="AQ41" i="6"/>
  <c r="AT41" i="6" s="1"/>
  <c r="AQ45" i="6"/>
  <c r="AT45" i="6" s="1"/>
  <c r="AQ49" i="6"/>
  <c r="AT49" i="6" s="1"/>
  <c r="AQ53" i="6"/>
  <c r="AT53" i="6" s="1"/>
  <c r="AJ32" i="6"/>
  <c r="AM32" i="6" s="1"/>
  <c r="AJ36" i="6"/>
  <c r="AM36" i="6" s="1"/>
  <c r="AJ40" i="6"/>
  <c r="AM40" i="6" s="1"/>
  <c r="AJ44" i="6"/>
  <c r="AM44" i="6" s="1"/>
  <c r="AJ48" i="6"/>
  <c r="AM48" i="6" s="1"/>
  <c r="AJ52" i="6"/>
  <c r="AM52" i="6" s="1"/>
  <c r="AJ56" i="6"/>
  <c r="AM56" i="6" s="1"/>
  <c r="AJ29" i="6"/>
  <c r="AM29" i="6" s="1"/>
  <c r="AJ33" i="6"/>
  <c r="AM33" i="6" s="1"/>
  <c r="AJ37" i="6"/>
  <c r="AM37" i="6" s="1"/>
  <c r="AJ41" i="6"/>
  <c r="AM41" i="6" s="1"/>
  <c r="AJ45" i="6"/>
  <c r="AM45" i="6" s="1"/>
  <c r="AJ49" i="6"/>
  <c r="AM49" i="6" s="1"/>
  <c r="AJ53" i="6"/>
  <c r="AM53" i="6" s="1"/>
  <c r="O32" i="6"/>
  <c r="R32" i="6" s="1"/>
  <c r="O36" i="6"/>
  <c r="R36" i="6" s="1"/>
  <c r="O40" i="6"/>
  <c r="R40" i="6" s="1"/>
  <c r="O44" i="6"/>
  <c r="R44" i="6" s="1"/>
  <c r="O48" i="6"/>
  <c r="R48" i="6" s="1"/>
  <c r="O52" i="6"/>
  <c r="R52" i="6" s="1"/>
  <c r="O56" i="6"/>
  <c r="R56" i="6" s="1"/>
  <c r="O33" i="6"/>
  <c r="R33" i="6" s="1"/>
  <c r="O37" i="6"/>
  <c r="R37" i="6" s="1"/>
  <c r="O41" i="6"/>
  <c r="R41" i="6" s="1"/>
  <c r="O45" i="6"/>
  <c r="R45" i="6" s="1"/>
  <c r="O49" i="6"/>
  <c r="R49" i="6" s="1"/>
  <c r="O53" i="6"/>
  <c r="R53" i="6" s="1"/>
  <c r="O57" i="6"/>
  <c r="R57" i="6" s="1"/>
  <c r="O30" i="6"/>
  <c r="R30" i="6" s="1"/>
  <c r="O34" i="6"/>
  <c r="R34" i="6" s="1"/>
  <c r="O38" i="6"/>
  <c r="R38" i="6" s="1"/>
  <c r="O42" i="6"/>
  <c r="R42" i="6" s="1"/>
  <c r="O46" i="6"/>
  <c r="R46" i="6" s="1"/>
  <c r="O50" i="6"/>
  <c r="R50" i="6" s="1"/>
  <c r="O54" i="6"/>
  <c r="R54" i="6" s="1"/>
  <c r="C32" i="8"/>
  <c r="C39" i="8"/>
  <c r="C35" i="8"/>
  <c r="C31" i="8"/>
  <c r="C41" i="8"/>
  <c r="CB86" i="6" l="1"/>
  <c r="CI106" i="6"/>
  <c r="CI110" i="6"/>
  <c r="Q98" i="6"/>
  <c r="AL96" i="6"/>
  <c r="AZ110" i="6"/>
  <c r="AS112" i="6"/>
  <c r="AE110" i="6"/>
  <c r="X110" i="6"/>
  <c r="Q86" i="6"/>
  <c r="AE88" i="6"/>
  <c r="AE112" i="6"/>
  <c r="AZ112" i="6"/>
  <c r="BN100" i="6"/>
  <c r="CP88" i="6"/>
  <c r="Q100" i="6"/>
  <c r="AE92" i="6"/>
  <c r="AL104" i="6"/>
  <c r="BN104" i="6"/>
  <c r="BU91" i="6"/>
  <c r="CB102" i="6"/>
  <c r="CI88" i="6"/>
  <c r="Q88" i="6"/>
  <c r="BU107" i="6"/>
  <c r="AZ92" i="6"/>
  <c r="BN108" i="6"/>
  <c r="BU88" i="6"/>
  <c r="CB104" i="6"/>
  <c r="AZ102" i="6"/>
  <c r="AL110" i="6"/>
  <c r="CI112" i="6"/>
  <c r="BG84" i="6"/>
  <c r="BN84" i="6"/>
  <c r="CP96" i="6"/>
  <c r="AZ100" i="6"/>
  <c r="CQ111" i="6"/>
  <c r="X88" i="6"/>
  <c r="BG100" i="6"/>
  <c r="Q104" i="6"/>
  <c r="CB100" i="6"/>
  <c r="Q84" i="6"/>
  <c r="Q94" i="6"/>
  <c r="CB94" i="6"/>
  <c r="AE91" i="6"/>
  <c r="AE104" i="6"/>
  <c r="AL83" i="6"/>
  <c r="BG96" i="6"/>
  <c r="CI104" i="6"/>
  <c r="AZ94" i="6"/>
  <c r="CB92" i="6"/>
  <c r="CB110" i="6"/>
  <c r="X104" i="6"/>
  <c r="BU104" i="6"/>
  <c r="CP99" i="6"/>
  <c r="X92" i="6"/>
  <c r="AL112" i="6"/>
  <c r="BU108" i="6"/>
  <c r="CB98" i="6"/>
  <c r="AE100" i="6"/>
  <c r="CI96" i="6"/>
  <c r="AZ86" i="6"/>
  <c r="BN103" i="6"/>
  <c r="CP84" i="6"/>
  <c r="AL88" i="6"/>
  <c r="AZ84" i="6"/>
  <c r="AE96" i="6"/>
  <c r="Q110" i="6"/>
  <c r="AL99" i="6"/>
  <c r="BN87" i="6"/>
  <c r="X91" i="6"/>
  <c r="BG110" i="6"/>
  <c r="CI92" i="6"/>
  <c r="AZ108" i="6"/>
  <c r="BN92" i="6"/>
  <c r="BN112" i="6"/>
  <c r="BN88" i="6"/>
  <c r="CB84" i="6"/>
  <c r="CP83" i="6"/>
  <c r="CP112" i="6"/>
  <c r="C60" i="8"/>
  <c r="X58" i="8" s="1"/>
  <c r="X39" i="8"/>
  <c r="C50" i="8"/>
  <c r="X48" i="8" s="1"/>
  <c r="X29" i="8"/>
  <c r="C56" i="8"/>
  <c r="X54" i="8" s="1"/>
  <c r="X35" i="8"/>
  <c r="C48" i="8"/>
  <c r="X46" i="8" s="1"/>
  <c r="X27" i="8"/>
  <c r="C59" i="8"/>
  <c r="X57" i="8" s="1"/>
  <c r="X38" i="8"/>
  <c r="C57" i="8"/>
  <c r="X55" i="8" s="1"/>
  <c r="X36" i="8"/>
  <c r="C51" i="8"/>
  <c r="X49" i="8" s="1"/>
  <c r="X30" i="8"/>
  <c r="C54" i="8"/>
  <c r="X33" i="8"/>
  <c r="C58" i="8"/>
  <c r="X56" i="8" s="1"/>
  <c r="X37" i="8"/>
  <c r="C52" i="8"/>
  <c r="X50" i="8" s="1"/>
  <c r="X31" i="8"/>
  <c r="C53" i="8"/>
  <c r="X51" i="8" s="1"/>
  <c r="X32" i="8"/>
  <c r="C55" i="8"/>
  <c r="X53" i="8" s="1"/>
  <c r="X34" i="8"/>
  <c r="C49" i="8"/>
  <c r="X47" i="8" s="1"/>
  <c r="X28" i="8"/>
  <c r="I51" i="8"/>
  <c r="H51" i="8"/>
  <c r="Z49" i="8" s="1"/>
  <c r="K51" i="8"/>
  <c r="AF49" i="8" s="1"/>
  <c r="J51" i="8"/>
  <c r="AB49" i="8" s="1"/>
  <c r="I50" i="8"/>
  <c r="H50" i="8"/>
  <c r="Z48" i="8" s="1"/>
  <c r="K50" i="8"/>
  <c r="AF48" i="8" s="1"/>
  <c r="J50" i="8"/>
  <c r="AB48" i="8" s="1"/>
  <c r="K60" i="8"/>
  <c r="AF58" i="8" s="1"/>
  <c r="J60" i="8"/>
  <c r="AB58" i="8" s="1"/>
  <c r="I60" i="8"/>
  <c r="H60" i="8"/>
  <c r="Z58" i="8" s="1"/>
  <c r="K54" i="8"/>
  <c r="AF52" i="8" s="1"/>
  <c r="J54" i="8"/>
  <c r="AB52" i="8" s="1"/>
  <c r="K58" i="8"/>
  <c r="AF56" i="8" s="1"/>
  <c r="J58" i="8"/>
  <c r="AB56" i="8" s="1"/>
  <c r="I58" i="8"/>
  <c r="H58" i="8"/>
  <c r="Z56" i="8" s="1"/>
  <c r="AD39" i="8" l="1"/>
  <c r="AD58" i="8"/>
  <c r="AD37" i="8"/>
  <c r="AD56" i="8"/>
  <c r="AD29" i="8"/>
  <c r="AD48" i="8"/>
  <c r="AD49" i="8"/>
  <c r="AD30" i="8"/>
  <c r="I54" i="8"/>
  <c r="X52" i="8"/>
  <c r="H55" i="8"/>
  <c r="Z53" i="8" s="1"/>
  <c r="K55" i="8"/>
  <c r="AF53" i="8" s="1"/>
  <c r="I55" i="8"/>
  <c r="J55" i="8"/>
  <c r="AB53" i="8" s="1"/>
  <c r="K52" i="8"/>
  <c r="AF50" i="8" s="1"/>
  <c r="I52" i="8"/>
  <c r="H57" i="8"/>
  <c r="Z55" i="8" s="1"/>
  <c r="I57" i="8"/>
  <c r="K57" i="8"/>
  <c r="AF55" i="8" s="1"/>
  <c r="J57" i="8"/>
  <c r="AB55" i="8" s="1"/>
  <c r="J48" i="8"/>
  <c r="AB46" i="8" s="1"/>
  <c r="I48" i="8"/>
  <c r="K48" i="8"/>
  <c r="AF46" i="8" s="1"/>
  <c r="H48" i="8"/>
  <c r="Z46" i="8" s="1"/>
  <c r="AD10" i="8"/>
  <c r="AD18" i="8"/>
  <c r="H54" i="8"/>
  <c r="Z52" i="8" s="1"/>
  <c r="AD20" i="8"/>
  <c r="AD11" i="8"/>
  <c r="J49" i="8"/>
  <c r="AB47" i="8" s="1"/>
  <c r="I49" i="8"/>
  <c r="H49" i="8"/>
  <c r="Z47" i="8" s="1"/>
  <c r="K49" i="8"/>
  <c r="AF47" i="8" s="1"/>
  <c r="H53" i="8"/>
  <c r="Z51" i="8" s="1"/>
  <c r="K53" i="8"/>
  <c r="AF51" i="8" s="1"/>
  <c r="I53" i="8"/>
  <c r="J53" i="8"/>
  <c r="AB51" i="8" s="1"/>
  <c r="H59" i="8"/>
  <c r="Z57" i="8" s="1"/>
  <c r="K59" i="8"/>
  <c r="AF57" i="8" s="1"/>
  <c r="J59" i="8"/>
  <c r="AB57" i="8" s="1"/>
  <c r="I59" i="8"/>
  <c r="J56" i="8"/>
  <c r="AB54" i="8" s="1"/>
  <c r="I56" i="8"/>
  <c r="H56" i="8"/>
  <c r="Z54" i="8" s="1"/>
  <c r="K56" i="8"/>
  <c r="AF54" i="8" s="1"/>
  <c r="R9" i="4"/>
  <c r="R8" i="4"/>
  <c r="AD38" i="8" l="1"/>
  <c r="AD57" i="8"/>
  <c r="AD34" i="8"/>
  <c r="AD53" i="8"/>
  <c r="AD32" i="8"/>
  <c r="AD51" i="8"/>
  <c r="AD31" i="8"/>
  <c r="AD50" i="8"/>
  <c r="AD33" i="8"/>
  <c r="AD52" i="8"/>
  <c r="AD27" i="8"/>
  <c r="AD46" i="8"/>
  <c r="AD36" i="8"/>
  <c r="AD55" i="8"/>
  <c r="AD35" i="8"/>
  <c r="AD54" i="8"/>
  <c r="AD47" i="8"/>
  <c r="AD28" i="8"/>
  <c r="AD14" i="8"/>
  <c r="AD17" i="8"/>
  <c r="AD13" i="8"/>
  <c r="AD16" i="8"/>
  <c r="AD9" i="8"/>
  <c r="AD8" i="8"/>
  <c r="AD19" i="8"/>
  <c r="AD15" i="8"/>
  <c r="O10" i="4"/>
  <c r="N10" i="4"/>
  <c r="AA15" i="5" l="1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C71" i="5" l="1"/>
  <c r="AC72" i="5"/>
  <c r="AC70" i="5"/>
  <c r="AA23" i="5"/>
  <c r="AC23" i="5" s="1"/>
  <c r="AA22" i="5"/>
  <c r="AC22" i="5" s="1"/>
  <c r="AA21" i="5"/>
  <c r="AC21" i="5" s="1"/>
  <c r="AC14" i="5"/>
  <c r="AC63" i="5" s="1"/>
  <c r="AC13" i="5"/>
  <c r="AC62" i="5" s="1"/>
  <c r="BO58" i="5"/>
  <c r="BO57" i="5"/>
  <c r="BO56" i="5"/>
  <c r="BO55" i="5"/>
  <c r="BO54" i="5"/>
  <c r="BO53" i="5"/>
  <c r="BO52" i="5"/>
  <c r="BO51" i="5"/>
  <c r="BO50" i="5"/>
  <c r="BO49" i="5"/>
  <c r="BO48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J33" i="5"/>
  <c r="BJ32" i="5"/>
  <c r="BJ31" i="5"/>
  <c r="BJ30" i="5"/>
  <c r="BJ2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BO65" i="5" l="1"/>
  <c r="BJ65" i="5"/>
  <c r="BE65" i="5"/>
  <c r="AZ65" i="5"/>
  <c r="AU65" i="5"/>
  <c r="AP65" i="5"/>
  <c r="AK65" i="5"/>
  <c r="AF65" i="5"/>
  <c r="V65" i="5"/>
  <c r="Q65" i="5"/>
  <c r="L65" i="5"/>
  <c r="G65" i="5"/>
  <c r="AP105" i="5" l="1"/>
  <c r="AP101" i="5"/>
  <c r="AP97" i="5"/>
  <c r="AP93" i="5"/>
  <c r="AP89" i="5"/>
  <c r="AP85" i="5"/>
  <c r="AP81" i="5"/>
  <c r="AP98" i="5"/>
  <c r="AP86" i="5"/>
  <c r="AP104" i="5"/>
  <c r="AP100" i="5"/>
  <c r="AP96" i="5"/>
  <c r="AP92" i="5"/>
  <c r="AP88" i="5"/>
  <c r="AP84" i="5"/>
  <c r="AP80" i="5"/>
  <c r="AP106" i="5"/>
  <c r="AP90" i="5"/>
  <c r="AP78" i="5"/>
  <c r="AP107" i="5"/>
  <c r="AP103" i="5"/>
  <c r="AP99" i="5"/>
  <c r="AP95" i="5"/>
  <c r="AP91" i="5"/>
  <c r="AP87" i="5"/>
  <c r="AP83" i="5"/>
  <c r="AP79" i="5"/>
  <c r="AP102" i="5"/>
  <c r="AP94" i="5"/>
  <c r="AP82" i="5"/>
  <c r="BJ107" i="5"/>
  <c r="BJ103" i="5"/>
  <c r="BJ99" i="5"/>
  <c r="BJ95" i="5"/>
  <c r="BJ91" i="5"/>
  <c r="BJ87" i="5"/>
  <c r="BJ83" i="5"/>
  <c r="BJ79" i="5"/>
  <c r="BJ96" i="5"/>
  <c r="BJ84" i="5"/>
  <c r="BJ106" i="5"/>
  <c r="BJ102" i="5"/>
  <c r="BJ98" i="5"/>
  <c r="BJ94" i="5"/>
  <c r="BJ90" i="5"/>
  <c r="BJ86" i="5"/>
  <c r="BJ82" i="5"/>
  <c r="BJ78" i="5"/>
  <c r="BJ100" i="5"/>
  <c r="BJ88" i="5"/>
  <c r="BJ105" i="5"/>
  <c r="BJ101" i="5"/>
  <c r="BJ97" i="5"/>
  <c r="BJ93" i="5"/>
  <c r="BJ89" i="5"/>
  <c r="BJ85" i="5"/>
  <c r="BJ81" i="5"/>
  <c r="BJ104" i="5"/>
  <c r="BJ92" i="5"/>
  <c r="BJ80" i="5"/>
  <c r="G79" i="5"/>
  <c r="G83" i="5"/>
  <c r="G87" i="5"/>
  <c r="G91" i="5"/>
  <c r="G95" i="5"/>
  <c r="G99" i="5"/>
  <c r="G103" i="5"/>
  <c r="G107" i="5"/>
  <c r="G86" i="5"/>
  <c r="G98" i="5"/>
  <c r="G80" i="5"/>
  <c r="G84" i="5"/>
  <c r="G88" i="5"/>
  <c r="G92" i="5"/>
  <c r="G96" i="5"/>
  <c r="G100" i="5"/>
  <c r="G104" i="5"/>
  <c r="G78" i="5"/>
  <c r="G82" i="5"/>
  <c r="G94" i="5"/>
  <c r="G106" i="5"/>
  <c r="G81" i="5"/>
  <c r="G85" i="5"/>
  <c r="G89" i="5"/>
  <c r="G93" i="5"/>
  <c r="G97" i="5"/>
  <c r="G101" i="5"/>
  <c r="G105" i="5"/>
  <c r="G90" i="5"/>
  <c r="G102" i="5"/>
  <c r="L105" i="5"/>
  <c r="L101" i="5"/>
  <c r="L97" i="5"/>
  <c r="L93" i="5"/>
  <c r="L89" i="5"/>
  <c r="L85" i="5"/>
  <c r="L81" i="5"/>
  <c r="L102" i="5"/>
  <c r="L94" i="5"/>
  <c r="L82" i="5"/>
  <c r="L104" i="5"/>
  <c r="L100" i="5"/>
  <c r="L96" i="5"/>
  <c r="L92" i="5"/>
  <c r="L88" i="5"/>
  <c r="L84" i="5"/>
  <c r="L80" i="5"/>
  <c r="L106" i="5"/>
  <c r="L90" i="5"/>
  <c r="L107" i="5"/>
  <c r="L103" i="5"/>
  <c r="L99" i="5"/>
  <c r="L95" i="5"/>
  <c r="L91" i="5"/>
  <c r="L87" i="5"/>
  <c r="L83" i="5"/>
  <c r="L79" i="5"/>
  <c r="L98" i="5"/>
  <c r="L86" i="5"/>
  <c r="L78" i="5"/>
  <c r="AF105" i="5"/>
  <c r="AF101" i="5"/>
  <c r="AF97" i="5"/>
  <c r="AF93" i="5"/>
  <c r="AF89" i="5"/>
  <c r="AF85" i="5"/>
  <c r="AF81" i="5"/>
  <c r="AF106" i="5"/>
  <c r="AF94" i="5"/>
  <c r="AF82" i="5"/>
  <c r="AF104" i="5"/>
  <c r="AF100" i="5"/>
  <c r="AF96" i="5"/>
  <c r="AF92" i="5"/>
  <c r="AF88" i="5"/>
  <c r="AF84" i="5"/>
  <c r="AF80" i="5"/>
  <c r="AF102" i="5"/>
  <c r="AF90" i="5"/>
  <c r="AF78" i="5"/>
  <c r="AF107" i="5"/>
  <c r="AF103" i="5"/>
  <c r="AF99" i="5"/>
  <c r="AF95" i="5"/>
  <c r="AF91" i="5"/>
  <c r="AF87" i="5"/>
  <c r="AF83" i="5"/>
  <c r="AF79" i="5"/>
  <c r="AF98" i="5"/>
  <c r="AF86" i="5"/>
  <c r="Q107" i="5"/>
  <c r="Q103" i="5"/>
  <c r="Q99" i="5"/>
  <c r="Q95" i="5"/>
  <c r="Q91" i="5"/>
  <c r="Q87" i="5"/>
  <c r="Q83" i="5"/>
  <c r="Q79" i="5"/>
  <c r="Q96" i="5"/>
  <c r="Q84" i="5"/>
  <c r="Q106" i="5"/>
  <c r="Q102" i="5"/>
  <c r="Q98" i="5"/>
  <c r="Q94" i="5"/>
  <c r="Q90" i="5"/>
  <c r="Q86" i="5"/>
  <c r="Q82" i="5"/>
  <c r="Q78" i="5"/>
  <c r="Q100" i="5"/>
  <c r="Q88" i="5"/>
  <c r="Q105" i="5"/>
  <c r="Q101" i="5"/>
  <c r="Q97" i="5"/>
  <c r="Q93" i="5"/>
  <c r="Q89" i="5"/>
  <c r="Q85" i="5"/>
  <c r="Q81" i="5"/>
  <c r="Q104" i="5"/>
  <c r="Q92" i="5"/>
  <c r="Q80" i="5"/>
  <c r="AK107" i="5"/>
  <c r="AK103" i="5"/>
  <c r="AK99" i="5"/>
  <c r="AK95" i="5"/>
  <c r="AK91" i="5"/>
  <c r="AK87" i="5"/>
  <c r="AK83" i="5"/>
  <c r="AK79" i="5"/>
  <c r="AK104" i="5"/>
  <c r="AK96" i="5"/>
  <c r="AK84" i="5"/>
  <c r="AK106" i="5"/>
  <c r="AK102" i="5"/>
  <c r="AK98" i="5"/>
  <c r="AK94" i="5"/>
  <c r="AK90" i="5"/>
  <c r="AK86" i="5"/>
  <c r="AK82" i="5"/>
  <c r="AK78" i="5"/>
  <c r="AK88" i="5"/>
  <c r="AK105" i="5"/>
  <c r="AK101" i="5"/>
  <c r="AK97" i="5"/>
  <c r="AK93" i="5"/>
  <c r="AK89" i="5"/>
  <c r="AK85" i="5"/>
  <c r="AK81" i="5"/>
  <c r="AK100" i="5"/>
  <c r="AK92" i="5"/>
  <c r="AK80" i="5"/>
  <c r="BO105" i="5"/>
  <c r="BO101" i="5"/>
  <c r="BO97" i="5"/>
  <c r="BO93" i="5"/>
  <c r="BO89" i="5"/>
  <c r="BO85" i="5"/>
  <c r="BO81" i="5"/>
  <c r="BO106" i="5"/>
  <c r="BO98" i="5"/>
  <c r="BO94" i="5"/>
  <c r="BO90" i="5"/>
  <c r="BO82" i="5"/>
  <c r="BO78" i="5"/>
  <c r="BO104" i="5"/>
  <c r="BO100" i="5"/>
  <c r="BO96" i="5"/>
  <c r="BO92" i="5"/>
  <c r="BO88" i="5"/>
  <c r="BO84" i="5"/>
  <c r="BO80" i="5"/>
  <c r="BO102" i="5"/>
  <c r="BO107" i="5"/>
  <c r="BO103" i="5"/>
  <c r="BO99" i="5"/>
  <c r="BO95" i="5"/>
  <c r="BO91" i="5"/>
  <c r="BO87" i="5"/>
  <c r="BO83" i="5"/>
  <c r="BO79" i="5"/>
  <c r="BO86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V66" i="5"/>
  <c r="C79" i="5" l="1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78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D84" i="6"/>
  <c r="E84" i="6"/>
  <c r="D85" i="6"/>
  <c r="E85" i="6"/>
  <c r="D86" i="6"/>
  <c r="E86" i="6"/>
  <c r="D87" i="6"/>
  <c r="E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D110" i="6"/>
  <c r="E110" i="6"/>
  <c r="D111" i="6"/>
  <c r="E111" i="6"/>
  <c r="D112" i="6"/>
  <c r="E112" i="6"/>
  <c r="E83" i="6"/>
  <c r="D83" i="6"/>
  <c r="CM17" i="6"/>
  <c r="CM71" i="6" s="1"/>
  <c r="CF17" i="6"/>
  <c r="CF71" i="6" s="1"/>
  <c r="BY17" i="6"/>
  <c r="BY71" i="6" s="1"/>
  <c r="BR17" i="6"/>
  <c r="BK17" i="6"/>
  <c r="BK71" i="6" s="1"/>
  <c r="BD17" i="6"/>
  <c r="BD71" i="6" s="1"/>
  <c r="AW17" i="6"/>
  <c r="AW71" i="6" s="1"/>
  <c r="AP17" i="6"/>
  <c r="AP71" i="6" s="1"/>
  <c r="AI17" i="6"/>
  <c r="AI71" i="6" s="1"/>
  <c r="AB17" i="6"/>
  <c r="AB71" i="6" s="1"/>
  <c r="U17" i="6"/>
  <c r="U71" i="6" s="1"/>
  <c r="N17" i="6"/>
  <c r="G17" i="6"/>
  <c r="G70" i="6"/>
  <c r="G17" i="5"/>
  <c r="BO17" i="5"/>
  <c r="N71" i="6" l="1"/>
  <c r="BR71" i="6"/>
  <c r="AY83" i="6"/>
  <c r="L83" i="6"/>
  <c r="BT83" i="6"/>
  <c r="AR83" i="6"/>
  <c r="P83" i="6"/>
  <c r="CH83" i="6"/>
  <c r="CD83" i="6"/>
  <c r="CE83" i="6" s="1"/>
  <c r="BF83" i="6"/>
  <c r="BD75" i="6" s="1"/>
  <c r="BB83" i="6"/>
  <c r="BC83" i="6" s="1"/>
  <c r="W83" i="6"/>
  <c r="CA83" i="6"/>
  <c r="AG83" i="6"/>
  <c r="AH83" i="6" s="1"/>
  <c r="BM83" i="6"/>
  <c r="CR83" i="6"/>
  <c r="CS83" i="6" s="1"/>
  <c r="CK83" i="6"/>
  <c r="CL83" i="6" s="1"/>
  <c r="AD83" i="6"/>
  <c r="BI83" i="6"/>
  <c r="BJ83" i="6" s="1"/>
  <c r="BP83" i="6"/>
  <c r="BQ83" i="6" s="1"/>
  <c r="S83" i="6"/>
  <c r="T83" i="6" s="1"/>
  <c r="Z83" i="6"/>
  <c r="AA83" i="6" s="1"/>
  <c r="AK83" i="6"/>
  <c r="AI75" i="6" s="1"/>
  <c r="AU83" i="6"/>
  <c r="AV83" i="6" s="1"/>
  <c r="CO83" i="6"/>
  <c r="BW83" i="6"/>
  <c r="BX83" i="6" s="1"/>
  <c r="AN83" i="6"/>
  <c r="AO83" i="6" s="1"/>
  <c r="G66" i="5"/>
  <c r="BW109" i="6"/>
  <c r="BP109" i="6"/>
  <c r="BI109" i="6"/>
  <c r="BB109" i="6"/>
  <c r="AG109" i="6"/>
  <c r="AU109" i="6"/>
  <c r="AN109" i="6"/>
  <c r="CO109" i="6"/>
  <c r="BF109" i="6"/>
  <c r="AR109" i="6"/>
  <c r="AK109" i="6"/>
  <c r="CH109" i="6"/>
  <c r="CA109" i="6"/>
  <c r="BM109" i="6"/>
  <c r="AD109" i="6"/>
  <c r="W109" i="6"/>
  <c r="P109" i="6"/>
  <c r="AY109" i="6"/>
  <c r="CR109" i="6"/>
  <c r="CK109" i="6"/>
  <c r="BT109" i="6"/>
  <c r="S109" i="6"/>
  <c r="Z109" i="6"/>
  <c r="CD109" i="6"/>
  <c r="BP105" i="6"/>
  <c r="BI105" i="6"/>
  <c r="CK105" i="6"/>
  <c r="CR105" i="6"/>
  <c r="BB105" i="6"/>
  <c r="AU105" i="6"/>
  <c r="S105" i="6"/>
  <c r="CH105" i="6"/>
  <c r="CA105" i="6"/>
  <c r="BM105" i="6"/>
  <c r="AD105" i="6"/>
  <c r="W105" i="6"/>
  <c r="P105" i="6"/>
  <c r="BW105" i="6"/>
  <c r="BF105" i="6"/>
  <c r="Z105" i="6"/>
  <c r="BT105" i="6"/>
  <c r="AG105" i="6"/>
  <c r="CO105" i="6"/>
  <c r="AN105" i="6"/>
  <c r="AY105" i="6"/>
  <c r="AK105" i="6"/>
  <c r="AR105" i="6"/>
  <c r="CD105" i="6"/>
  <c r="BW101" i="6"/>
  <c r="BB101" i="6"/>
  <c r="AN101" i="6"/>
  <c r="Z101" i="6"/>
  <c r="CK101" i="6"/>
  <c r="AG101" i="6"/>
  <c r="BP101" i="6"/>
  <c r="BT101" i="6"/>
  <c r="CH101" i="6"/>
  <c r="P101" i="6"/>
  <c r="CD101" i="6"/>
  <c r="AU101" i="6"/>
  <c r="S101" i="6"/>
  <c r="AY101" i="6"/>
  <c r="AK101" i="6"/>
  <c r="BF101" i="6"/>
  <c r="AR101" i="6"/>
  <c r="CA101" i="6"/>
  <c r="BM101" i="6"/>
  <c r="W101" i="6"/>
  <c r="CR101" i="6"/>
  <c r="CO101" i="6"/>
  <c r="AD101" i="6"/>
  <c r="BI101" i="6"/>
  <c r="Z97" i="6"/>
  <c r="BP97" i="6"/>
  <c r="CR97" i="6"/>
  <c r="AU97" i="6"/>
  <c r="AG97" i="6"/>
  <c r="CK97" i="6"/>
  <c r="AY97" i="6"/>
  <c r="AK97" i="6"/>
  <c r="W97" i="6"/>
  <c r="P97" i="6"/>
  <c r="BT97" i="6"/>
  <c r="CD97" i="6"/>
  <c r="S97" i="6"/>
  <c r="CO97" i="6"/>
  <c r="BF97" i="6"/>
  <c r="AR97" i="6"/>
  <c r="AD97" i="6"/>
  <c r="BI97" i="6"/>
  <c r="BW97" i="6"/>
  <c r="CH97" i="6"/>
  <c r="CA97" i="6"/>
  <c r="BM97" i="6"/>
  <c r="BB97" i="6"/>
  <c r="AN97" i="6"/>
  <c r="CD93" i="6"/>
  <c r="BI93" i="6"/>
  <c r="AN93" i="6"/>
  <c r="BP93" i="6"/>
  <c r="BB93" i="6"/>
  <c r="AG93" i="6"/>
  <c r="BW93" i="6"/>
  <c r="AU93" i="6"/>
  <c r="CK93" i="6"/>
  <c r="CO93" i="6"/>
  <c r="BF93" i="6"/>
  <c r="AR93" i="6"/>
  <c r="AY93" i="6"/>
  <c r="CR93" i="6"/>
  <c r="CH93" i="6"/>
  <c r="CA93" i="6"/>
  <c r="BM93" i="6"/>
  <c r="AD93" i="6"/>
  <c r="W93" i="6"/>
  <c r="P93" i="6"/>
  <c r="AK93" i="6"/>
  <c r="Z93" i="6"/>
  <c r="BT93" i="6"/>
  <c r="S93" i="6"/>
  <c r="BB89" i="6"/>
  <c r="AN89" i="6"/>
  <c r="Z89" i="6"/>
  <c r="S89" i="6"/>
  <c r="AU89" i="6"/>
  <c r="CR89" i="6"/>
  <c r="CH89" i="6"/>
  <c r="CA89" i="6"/>
  <c r="BM89" i="6"/>
  <c r="AD89" i="6"/>
  <c r="W89" i="6"/>
  <c r="P89" i="6"/>
  <c r="BW89" i="6"/>
  <c r="BT89" i="6"/>
  <c r="AK89" i="6"/>
  <c r="CO89" i="6"/>
  <c r="BF89" i="6"/>
  <c r="AR89" i="6"/>
  <c r="AG89" i="6"/>
  <c r="AY89" i="6"/>
  <c r="CD89" i="6"/>
  <c r="CK89" i="6"/>
  <c r="BP89" i="6"/>
  <c r="BI89" i="6"/>
  <c r="CR85" i="6"/>
  <c r="BW85" i="6"/>
  <c r="AN85" i="6"/>
  <c r="Z85" i="6"/>
  <c r="BP85" i="6"/>
  <c r="AU85" i="6"/>
  <c r="CK85" i="6"/>
  <c r="BB85" i="6"/>
  <c r="BT85" i="6"/>
  <c r="AR85" i="6"/>
  <c r="CA85" i="6"/>
  <c r="BM85" i="6"/>
  <c r="AD85" i="6"/>
  <c r="W85" i="6"/>
  <c r="AG85" i="6"/>
  <c r="S85" i="6"/>
  <c r="AY85" i="6"/>
  <c r="AK85" i="6"/>
  <c r="CD85" i="6"/>
  <c r="CH85" i="6"/>
  <c r="P85" i="6"/>
  <c r="CO85" i="6"/>
  <c r="BF85" i="6"/>
  <c r="BI85" i="6"/>
  <c r="CK111" i="6"/>
  <c r="CH111" i="6"/>
  <c r="CA111" i="6"/>
  <c r="CD111" i="6"/>
  <c r="AU111" i="6"/>
  <c r="AG111" i="6"/>
  <c r="AK111" i="6"/>
  <c r="BT111" i="6"/>
  <c r="BM111" i="6"/>
  <c r="P111" i="6"/>
  <c r="AY111" i="6"/>
  <c r="AD111" i="6"/>
  <c r="W111" i="6"/>
  <c r="BW111" i="6"/>
  <c r="BB111" i="6"/>
  <c r="AN111" i="6"/>
  <c r="Z111" i="6"/>
  <c r="S111" i="6"/>
  <c r="AR111" i="6"/>
  <c r="BF111" i="6"/>
  <c r="BI111" i="6"/>
  <c r="BP111" i="6"/>
  <c r="CO111" i="6"/>
  <c r="CR111" i="6"/>
  <c r="BM107" i="6"/>
  <c r="CA107" i="6"/>
  <c r="W107" i="6"/>
  <c r="P107" i="6"/>
  <c r="CO107" i="6"/>
  <c r="AD107" i="6"/>
  <c r="Z107" i="6"/>
  <c r="BB107" i="6"/>
  <c r="CH107" i="6"/>
  <c r="CK107" i="6"/>
  <c r="AR107" i="6"/>
  <c r="AK107" i="6"/>
  <c r="AY107" i="6"/>
  <c r="BW107" i="6"/>
  <c r="S107" i="6"/>
  <c r="AN107" i="6"/>
  <c r="CD107" i="6"/>
  <c r="BF107" i="6"/>
  <c r="BI107" i="6"/>
  <c r="AG107" i="6"/>
  <c r="BP107" i="6"/>
  <c r="BT107" i="6"/>
  <c r="CR107" i="6"/>
  <c r="AU107" i="6"/>
  <c r="CO103" i="6"/>
  <c r="AK103" i="6"/>
  <c r="CH103" i="6"/>
  <c r="AD103" i="6"/>
  <c r="S103" i="6"/>
  <c r="CK103" i="6"/>
  <c r="CA103" i="6"/>
  <c r="BT103" i="6"/>
  <c r="AY103" i="6"/>
  <c r="AR103" i="6"/>
  <c r="CD103" i="6"/>
  <c r="BB103" i="6"/>
  <c r="W103" i="6"/>
  <c r="BP103" i="6"/>
  <c r="AN103" i="6"/>
  <c r="AG103" i="6"/>
  <c r="BF103" i="6"/>
  <c r="P103" i="6"/>
  <c r="CR103" i="6"/>
  <c r="BI103" i="6"/>
  <c r="Z103" i="6"/>
  <c r="BM103" i="6"/>
  <c r="BW103" i="6"/>
  <c r="AU103" i="6"/>
  <c r="AY99" i="6"/>
  <c r="AD99" i="6"/>
  <c r="CH99" i="6"/>
  <c r="BF99" i="6"/>
  <c r="BB99" i="6"/>
  <c r="AR99" i="6"/>
  <c r="W99" i="6"/>
  <c r="CD99" i="6"/>
  <c r="CA99" i="6"/>
  <c r="BM99" i="6"/>
  <c r="BT99" i="6"/>
  <c r="CR99" i="6"/>
  <c r="BP99" i="6"/>
  <c r="AG99" i="6"/>
  <c r="S99" i="6"/>
  <c r="P99" i="6"/>
  <c r="CK99" i="6"/>
  <c r="BI99" i="6"/>
  <c r="AU99" i="6"/>
  <c r="AK99" i="6"/>
  <c r="BW99" i="6"/>
  <c r="CO99" i="6"/>
  <c r="Z99" i="6"/>
  <c r="AN99" i="6"/>
  <c r="AD95" i="6"/>
  <c r="BT95" i="6"/>
  <c r="W95" i="6"/>
  <c r="CD95" i="6"/>
  <c r="CA95" i="6"/>
  <c r="AK95" i="6"/>
  <c r="CH95" i="6"/>
  <c r="BB95" i="6"/>
  <c r="P95" i="6"/>
  <c r="AR95" i="6"/>
  <c r="AG95" i="6"/>
  <c r="BM95" i="6"/>
  <c r="AY95" i="6"/>
  <c r="S95" i="6"/>
  <c r="BW95" i="6"/>
  <c r="CO95" i="6"/>
  <c r="BF95" i="6"/>
  <c r="Z95" i="6"/>
  <c r="BI95" i="6"/>
  <c r="BP95" i="6"/>
  <c r="CK95" i="6"/>
  <c r="CR95" i="6"/>
  <c r="AN95" i="6"/>
  <c r="AU95" i="6"/>
  <c r="CH91" i="6"/>
  <c r="CA91" i="6"/>
  <c r="P91" i="6"/>
  <c r="BM91" i="6"/>
  <c r="CO91" i="6"/>
  <c r="CD91" i="6"/>
  <c r="BB91" i="6"/>
  <c r="AY91" i="6"/>
  <c r="AR91" i="6"/>
  <c r="AK91" i="6"/>
  <c r="S91" i="6"/>
  <c r="Z91" i="6"/>
  <c r="AN91" i="6"/>
  <c r="CK91" i="6"/>
  <c r="BW91" i="6"/>
  <c r="BF91" i="6"/>
  <c r="AD91" i="6"/>
  <c r="AU91" i="6"/>
  <c r="W91" i="6"/>
  <c r="CR91" i="6"/>
  <c r="BP91" i="6"/>
  <c r="BT91" i="6"/>
  <c r="BI91" i="6"/>
  <c r="AG91" i="6"/>
  <c r="CO87" i="6"/>
  <c r="AK87" i="6"/>
  <c r="BT87" i="6"/>
  <c r="BF87" i="6"/>
  <c r="AY87" i="6"/>
  <c r="CA87" i="6"/>
  <c r="AR87" i="6"/>
  <c r="AD87" i="6"/>
  <c r="CH87" i="6"/>
  <c r="CD87" i="6"/>
  <c r="BB87" i="6"/>
  <c r="S87" i="6"/>
  <c r="BI87" i="6"/>
  <c r="Z87" i="6"/>
  <c r="W87" i="6"/>
  <c r="CR87" i="6"/>
  <c r="AN87" i="6"/>
  <c r="CK87" i="6"/>
  <c r="P87" i="6"/>
  <c r="BP87" i="6"/>
  <c r="AU87" i="6"/>
  <c r="AG87" i="6"/>
  <c r="BM87" i="6"/>
  <c r="BW87" i="6"/>
  <c r="G83" i="6"/>
  <c r="J83" i="6" s="1"/>
  <c r="H83" i="6"/>
  <c r="K83" i="6" s="1"/>
  <c r="CR112" i="6"/>
  <c r="BT112" i="6"/>
  <c r="CA112" i="6"/>
  <c r="BF112" i="6"/>
  <c r="W112" i="6"/>
  <c r="BW112" i="6"/>
  <c r="AG112" i="6"/>
  <c r="AU112" i="6"/>
  <c r="CK112" i="6"/>
  <c r="BI112" i="6"/>
  <c r="S112" i="6"/>
  <c r="P112" i="6"/>
  <c r="CD112" i="6"/>
  <c r="AY112" i="6"/>
  <c r="CH112" i="6"/>
  <c r="BM112" i="6"/>
  <c r="CO112" i="6"/>
  <c r="AR112" i="6"/>
  <c r="AD112" i="6"/>
  <c r="AK112" i="6"/>
  <c r="Z112" i="6"/>
  <c r="BB112" i="6"/>
  <c r="BP112" i="6"/>
  <c r="AN112" i="6"/>
  <c r="CR110" i="6"/>
  <c r="AN110" i="6"/>
  <c r="BW110" i="6"/>
  <c r="BP110" i="6"/>
  <c r="BB110" i="6"/>
  <c r="AG110" i="6"/>
  <c r="CD110" i="6"/>
  <c r="S110" i="6"/>
  <c r="CO110" i="6"/>
  <c r="AU110" i="6"/>
  <c r="AR110" i="6"/>
  <c r="BT110" i="6"/>
  <c r="BM110" i="6"/>
  <c r="W110" i="6"/>
  <c r="AK110" i="6"/>
  <c r="BF110" i="6"/>
  <c r="AY110" i="6"/>
  <c r="AD110" i="6"/>
  <c r="CA110" i="6"/>
  <c r="CH110" i="6"/>
  <c r="P110" i="6"/>
  <c r="CK110" i="6"/>
  <c r="Z110" i="6"/>
  <c r="BI110" i="6"/>
  <c r="CR108" i="6"/>
  <c r="CA108" i="6"/>
  <c r="AR108" i="6"/>
  <c r="CO108" i="6"/>
  <c r="BP108" i="6"/>
  <c r="AK108" i="6"/>
  <c r="AD108" i="6"/>
  <c r="BI108" i="6"/>
  <c r="BB108" i="6"/>
  <c r="AU108" i="6"/>
  <c r="S108" i="6"/>
  <c r="CH108" i="6"/>
  <c r="W108" i="6"/>
  <c r="CK108" i="6"/>
  <c r="CD108" i="6"/>
  <c r="AG108" i="6"/>
  <c r="P108" i="6"/>
  <c r="Z108" i="6"/>
  <c r="BF108" i="6"/>
  <c r="BM108" i="6"/>
  <c r="AY108" i="6"/>
  <c r="BT108" i="6"/>
  <c r="AN108" i="6"/>
  <c r="BW108" i="6"/>
  <c r="L106" i="6"/>
  <c r="BW106" i="6"/>
  <c r="AN106" i="6"/>
  <c r="CD106" i="6"/>
  <c r="AY106" i="6"/>
  <c r="Z106" i="6"/>
  <c r="P106" i="6"/>
  <c r="CR106" i="6"/>
  <c r="CO106" i="6"/>
  <c r="BI106" i="6"/>
  <c r="AR106" i="6"/>
  <c r="AK106" i="6"/>
  <c r="W106" i="6"/>
  <c r="BM106" i="6"/>
  <c r="AU106" i="6"/>
  <c r="AG106" i="6"/>
  <c r="BP106" i="6"/>
  <c r="AD106" i="6"/>
  <c r="CA106" i="6"/>
  <c r="S106" i="6"/>
  <c r="BT106" i="6"/>
  <c r="BF106" i="6"/>
  <c r="BB106" i="6"/>
  <c r="CH106" i="6"/>
  <c r="CK106" i="6"/>
  <c r="AR104" i="6"/>
  <c r="CO104" i="6"/>
  <c r="AN104" i="6"/>
  <c r="BB104" i="6"/>
  <c r="AY104" i="6"/>
  <c r="CR104" i="6"/>
  <c r="AU104" i="6"/>
  <c r="S104" i="6"/>
  <c r="CK104" i="6"/>
  <c r="CD104" i="6"/>
  <c r="BF104" i="6"/>
  <c r="BT104" i="6"/>
  <c r="W104" i="6"/>
  <c r="BM104" i="6"/>
  <c r="CA104" i="6"/>
  <c r="AD104" i="6"/>
  <c r="CH104" i="6"/>
  <c r="AK104" i="6"/>
  <c r="BI104" i="6"/>
  <c r="P104" i="6"/>
  <c r="BP104" i="6"/>
  <c r="BW104" i="6"/>
  <c r="AG104" i="6"/>
  <c r="Z104" i="6"/>
  <c r="CD102" i="6"/>
  <c r="BW102" i="6"/>
  <c r="BP102" i="6"/>
  <c r="P102" i="6"/>
  <c r="CO102" i="6"/>
  <c r="AR102" i="6"/>
  <c r="AK102" i="6"/>
  <c r="BT102" i="6"/>
  <c r="BM102" i="6"/>
  <c r="AU102" i="6"/>
  <c r="AD102" i="6"/>
  <c r="W102" i="6"/>
  <c r="Z102" i="6"/>
  <c r="AG102" i="6"/>
  <c r="S102" i="6"/>
  <c r="CH102" i="6"/>
  <c r="BF102" i="6"/>
  <c r="BI102" i="6"/>
  <c r="CR102" i="6"/>
  <c r="CA102" i="6"/>
  <c r="CK102" i="6"/>
  <c r="AN102" i="6"/>
  <c r="AY102" i="6"/>
  <c r="BB102" i="6"/>
  <c r="CH100" i="6"/>
  <c r="CR100" i="6"/>
  <c r="CO100" i="6"/>
  <c r="BT100" i="6"/>
  <c r="AK100" i="6"/>
  <c r="W100" i="6"/>
  <c r="AU100" i="6"/>
  <c r="CK100" i="6"/>
  <c r="AR100" i="6"/>
  <c r="Z100" i="6"/>
  <c r="AY100" i="6"/>
  <c r="BF100" i="6"/>
  <c r="AN100" i="6"/>
  <c r="BW100" i="6"/>
  <c r="CA100" i="6"/>
  <c r="BM100" i="6"/>
  <c r="P100" i="6"/>
  <c r="AD100" i="6"/>
  <c r="CD100" i="6"/>
  <c r="AG100" i="6"/>
  <c r="S100" i="6"/>
  <c r="BB100" i="6"/>
  <c r="BP100" i="6"/>
  <c r="BI100" i="6"/>
  <c r="CR98" i="6"/>
  <c r="CD98" i="6"/>
  <c r="BB98" i="6"/>
  <c r="AY98" i="6"/>
  <c r="CK98" i="6"/>
  <c r="BT98" i="6"/>
  <c r="BM98" i="6"/>
  <c r="AD98" i="6"/>
  <c r="Z98" i="6"/>
  <c r="W98" i="6"/>
  <c r="AK98" i="6"/>
  <c r="CH98" i="6"/>
  <c r="BF98" i="6"/>
  <c r="AN98" i="6"/>
  <c r="BW98" i="6"/>
  <c r="AU98" i="6"/>
  <c r="CO98" i="6"/>
  <c r="AR98" i="6"/>
  <c r="P98" i="6"/>
  <c r="BI98" i="6"/>
  <c r="AG98" i="6"/>
  <c r="BP98" i="6"/>
  <c r="CA98" i="6"/>
  <c r="S98" i="6"/>
  <c r="BM96" i="6"/>
  <c r="CA96" i="6"/>
  <c r="BW96" i="6"/>
  <c r="BT96" i="6"/>
  <c r="AR96" i="6"/>
  <c r="Z96" i="6"/>
  <c r="AY96" i="6"/>
  <c r="AG96" i="6"/>
  <c r="AU96" i="6"/>
  <c r="P96" i="6"/>
  <c r="CK96" i="6"/>
  <c r="S96" i="6"/>
  <c r="W96" i="6"/>
  <c r="BB96" i="6"/>
  <c r="CH96" i="6"/>
  <c r="AD96" i="6"/>
  <c r="AK96" i="6"/>
  <c r="CO96" i="6"/>
  <c r="BF96" i="6"/>
  <c r="BP96" i="6"/>
  <c r="CD96" i="6"/>
  <c r="BI96" i="6"/>
  <c r="AN96" i="6"/>
  <c r="CR96" i="6"/>
  <c r="L94" i="6"/>
  <c r="CK94" i="6"/>
  <c r="BB94" i="6"/>
  <c r="CH94" i="6"/>
  <c r="BF94" i="6"/>
  <c r="AN94" i="6"/>
  <c r="BW94" i="6"/>
  <c r="BT94" i="6"/>
  <c r="AU94" i="6"/>
  <c r="AR94" i="6"/>
  <c r="AK94" i="6"/>
  <c r="Z94" i="6"/>
  <c r="BM94" i="6"/>
  <c r="AD94" i="6"/>
  <c r="W94" i="6"/>
  <c r="CO94" i="6"/>
  <c r="BI94" i="6"/>
  <c r="AY94" i="6"/>
  <c r="P94" i="6"/>
  <c r="CR94" i="6"/>
  <c r="AG94" i="6"/>
  <c r="BP94" i="6"/>
  <c r="CA94" i="6"/>
  <c r="CD94" i="6"/>
  <c r="S94" i="6"/>
  <c r="CR92" i="6"/>
  <c r="BT92" i="6"/>
  <c r="BP92" i="6"/>
  <c r="BF92" i="6"/>
  <c r="AR92" i="6"/>
  <c r="AN92" i="6"/>
  <c r="CO92" i="6"/>
  <c r="Z92" i="6"/>
  <c r="P92" i="6"/>
  <c r="CD92" i="6"/>
  <c r="AU92" i="6"/>
  <c r="S92" i="6"/>
  <c r="BI92" i="6"/>
  <c r="AK92" i="6"/>
  <c r="BB92" i="6"/>
  <c r="BW92" i="6"/>
  <c r="CA92" i="6"/>
  <c r="W92" i="6"/>
  <c r="AD92" i="6"/>
  <c r="AY92" i="6"/>
  <c r="CH92" i="6"/>
  <c r="BM92" i="6"/>
  <c r="AG92" i="6"/>
  <c r="CK92" i="6"/>
  <c r="L90" i="6"/>
  <c r="AG90" i="6"/>
  <c r="BW90" i="6"/>
  <c r="AY90" i="6"/>
  <c r="BB90" i="6"/>
  <c r="AN90" i="6"/>
  <c r="CD90" i="6"/>
  <c r="CA90" i="6"/>
  <c r="AR90" i="6"/>
  <c r="AK90" i="6"/>
  <c r="AD90" i="6"/>
  <c r="Z90" i="6"/>
  <c r="BP90" i="6"/>
  <c r="BF90" i="6"/>
  <c r="AU90" i="6"/>
  <c r="P90" i="6"/>
  <c r="CO90" i="6"/>
  <c r="CK90" i="6"/>
  <c r="W90" i="6"/>
  <c r="CR90" i="6"/>
  <c r="BT90" i="6"/>
  <c r="BM90" i="6"/>
  <c r="BI90" i="6"/>
  <c r="CH90" i="6"/>
  <c r="S90" i="6"/>
  <c r="AR88" i="6"/>
  <c r="AN88" i="6"/>
  <c r="CR88" i="6"/>
  <c r="CK88" i="6"/>
  <c r="CL88" i="6" s="1"/>
  <c r="CL89" i="6" s="1"/>
  <c r="CL90" i="6" s="1"/>
  <c r="CL91" i="6" s="1"/>
  <c r="CL92" i="6" s="1"/>
  <c r="CL93" i="6" s="1"/>
  <c r="CL94" i="6" s="1"/>
  <c r="CL95" i="6" s="1"/>
  <c r="CL96" i="6" s="1"/>
  <c r="CL97" i="6" s="1"/>
  <c r="CL98" i="6" s="1"/>
  <c r="CL99" i="6" s="1"/>
  <c r="CL100" i="6" s="1"/>
  <c r="CL101" i="6" s="1"/>
  <c r="CL102" i="6" s="1"/>
  <c r="CL103" i="6" s="1"/>
  <c r="CL104" i="6" s="1"/>
  <c r="CL105" i="6" s="1"/>
  <c r="CL106" i="6" s="1"/>
  <c r="CL107" i="6" s="1"/>
  <c r="CL108" i="6" s="1"/>
  <c r="CL109" i="6" s="1"/>
  <c r="CL110" i="6" s="1"/>
  <c r="CL111" i="6" s="1"/>
  <c r="CL112" i="6" s="1"/>
  <c r="AY88" i="6"/>
  <c r="BB88" i="6"/>
  <c r="AU88" i="6"/>
  <c r="CA88" i="6"/>
  <c r="CD88" i="6"/>
  <c r="BF88" i="6"/>
  <c r="AD88" i="6"/>
  <c r="CO88" i="6"/>
  <c r="BI88" i="6"/>
  <c r="AK88" i="6"/>
  <c r="BM88" i="6"/>
  <c r="P88" i="6"/>
  <c r="W88" i="6"/>
  <c r="BT88" i="6"/>
  <c r="CH88" i="6"/>
  <c r="BW88" i="6"/>
  <c r="AG88" i="6"/>
  <c r="BP88" i="6"/>
  <c r="S88" i="6"/>
  <c r="Z88" i="6"/>
  <c r="CD86" i="6"/>
  <c r="Z86" i="6"/>
  <c r="BI86" i="6"/>
  <c r="BP86" i="6"/>
  <c r="CO86" i="6"/>
  <c r="BT86" i="6"/>
  <c r="AU86" i="6"/>
  <c r="AG86" i="6"/>
  <c r="AD86" i="6"/>
  <c r="W86" i="6"/>
  <c r="BB86" i="6"/>
  <c r="AR86" i="6"/>
  <c r="AK86" i="6"/>
  <c r="S86" i="6"/>
  <c r="CH86" i="6"/>
  <c r="BM86" i="6"/>
  <c r="BF86" i="6"/>
  <c r="CA86" i="6"/>
  <c r="CR86" i="6"/>
  <c r="BW86" i="6"/>
  <c r="CK86" i="6"/>
  <c r="AN86" i="6"/>
  <c r="P86" i="6"/>
  <c r="AY86" i="6"/>
  <c r="AG84" i="6"/>
  <c r="CK84" i="6"/>
  <c r="CL84" i="6" s="1"/>
  <c r="CL85" i="6" s="1"/>
  <c r="CL86" i="6" s="1"/>
  <c r="CL87" i="6" s="1"/>
  <c r="CH84" i="6"/>
  <c r="AD84" i="6"/>
  <c r="AU84" i="6"/>
  <c r="AK84" i="6"/>
  <c r="AI77" i="6" s="1"/>
  <c r="BT84" i="6"/>
  <c r="AR84" i="6"/>
  <c r="W84" i="6"/>
  <c r="BM84" i="6"/>
  <c r="CA84" i="6"/>
  <c r="AY84" i="6"/>
  <c r="Z84" i="6"/>
  <c r="AA84" i="6" s="1"/>
  <c r="AA85" i="6" s="1"/>
  <c r="CO84" i="6"/>
  <c r="AN84" i="6"/>
  <c r="AO84" i="6" s="1"/>
  <c r="AO85" i="6" s="1"/>
  <c r="AO86" i="6" s="1"/>
  <c r="BF84" i="6"/>
  <c r="P84" i="6"/>
  <c r="BW84" i="6"/>
  <c r="BX84" i="6" s="1"/>
  <c r="BX85" i="6" s="1"/>
  <c r="BX86" i="6" s="1"/>
  <c r="BX87" i="6" s="1"/>
  <c r="CR84" i="6"/>
  <c r="S84" i="6"/>
  <c r="T84" i="6" s="1"/>
  <c r="T85" i="6" s="1"/>
  <c r="BB84" i="6"/>
  <c r="BC84" i="6" s="1"/>
  <c r="BI84" i="6"/>
  <c r="BP84" i="6"/>
  <c r="BQ84" i="6" s="1"/>
  <c r="BQ85" i="6" s="1"/>
  <c r="CD84" i="6"/>
  <c r="CE84" i="6" s="1"/>
  <c r="G111" i="6"/>
  <c r="J111" i="6" s="1"/>
  <c r="L111" i="6" s="1"/>
  <c r="G95" i="6"/>
  <c r="J95" i="6" s="1"/>
  <c r="L95" i="6" s="1"/>
  <c r="G108" i="6"/>
  <c r="J108" i="6" s="1"/>
  <c r="L108" i="6" s="1"/>
  <c r="G106" i="6"/>
  <c r="J106" i="6" s="1"/>
  <c r="G90" i="6"/>
  <c r="J90" i="6" s="1"/>
  <c r="G88" i="6"/>
  <c r="J88" i="6" s="1"/>
  <c r="L88" i="6" s="1"/>
  <c r="G97" i="6"/>
  <c r="J97" i="6" s="1"/>
  <c r="L97" i="6" s="1"/>
  <c r="G104" i="6"/>
  <c r="J104" i="6" s="1"/>
  <c r="H101" i="6"/>
  <c r="K101" i="6" s="1"/>
  <c r="H85" i="6"/>
  <c r="K85" i="6" s="1"/>
  <c r="H112" i="6"/>
  <c r="K112" i="6" s="1"/>
  <c r="H96" i="6"/>
  <c r="K96" i="6" s="1"/>
  <c r="H110" i="6"/>
  <c r="K110" i="6" s="1"/>
  <c r="H107" i="6"/>
  <c r="K107" i="6" s="1"/>
  <c r="H91" i="6"/>
  <c r="K91" i="6" s="1"/>
  <c r="G87" i="6"/>
  <c r="J87" i="6" s="1"/>
  <c r="L87" i="6" s="1"/>
  <c r="G105" i="6"/>
  <c r="J105" i="6" s="1"/>
  <c r="L105" i="6" s="1"/>
  <c r="H109" i="6"/>
  <c r="K109" i="6" s="1"/>
  <c r="H98" i="6"/>
  <c r="K98" i="6" s="1"/>
  <c r="H88" i="6"/>
  <c r="K88" i="6" s="1"/>
  <c r="H99" i="6"/>
  <c r="K99" i="6" s="1"/>
  <c r="G99" i="6"/>
  <c r="J99" i="6" s="1"/>
  <c r="L99" i="6" s="1"/>
  <c r="G85" i="6"/>
  <c r="J85" i="6" s="1"/>
  <c r="L85" i="6" s="1"/>
  <c r="H89" i="6"/>
  <c r="K89" i="6" s="1"/>
  <c r="H100" i="6"/>
  <c r="K100" i="6" s="1"/>
  <c r="H111" i="6"/>
  <c r="K111" i="6" s="1"/>
  <c r="H102" i="6"/>
  <c r="K102" i="6" s="1"/>
  <c r="G107" i="6"/>
  <c r="J107" i="6" s="1"/>
  <c r="L107" i="6" s="1"/>
  <c r="G91" i="6"/>
  <c r="J91" i="6" s="1"/>
  <c r="L91" i="6" s="1"/>
  <c r="G96" i="6"/>
  <c r="J96" i="6" s="1"/>
  <c r="L96" i="6" s="1"/>
  <c r="G102" i="6"/>
  <c r="J102" i="6" s="1"/>
  <c r="L102" i="6" s="1"/>
  <c r="G86" i="6"/>
  <c r="J86" i="6" s="1"/>
  <c r="L86" i="6" s="1"/>
  <c r="G109" i="6"/>
  <c r="J109" i="6" s="1"/>
  <c r="L109" i="6" s="1"/>
  <c r="G93" i="6"/>
  <c r="J93" i="6" s="1"/>
  <c r="L93" i="6" s="1"/>
  <c r="G92" i="6"/>
  <c r="J92" i="6" s="1"/>
  <c r="H97" i="6"/>
  <c r="K97" i="6" s="1"/>
  <c r="H106" i="6"/>
  <c r="K106" i="6" s="1"/>
  <c r="H108" i="6"/>
  <c r="K108" i="6" s="1"/>
  <c r="H92" i="6"/>
  <c r="K92" i="6" s="1"/>
  <c r="H94" i="6"/>
  <c r="K94" i="6" s="1"/>
  <c r="H103" i="6"/>
  <c r="K103" i="6" s="1"/>
  <c r="H87" i="6"/>
  <c r="K87" i="6" s="1"/>
  <c r="G103" i="6"/>
  <c r="J103" i="6" s="1"/>
  <c r="L103" i="6" s="1"/>
  <c r="G84" i="6"/>
  <c r="J84" i="6" s="1"/>
  <c r="G98" i="6"/>
  <c r="J98" i="6" s="1"/>
  <c r="L98" i="6" s="1"/>
  <c r="G112" i="6"/>
  <c r="J112" i="6" s="1"/>
  <c r="G89" i="6"/>
  <c r="J89" i="6" s="1"/>
  <c r="L89" i="6" s="1"/>
  <c r="H93" i="6"/>
  <c r="K93" i="6" s="1"/>
  <c r="H104" i="6"/>
  <c r="K104" i="6" s="1"/>
  <c r="H90" i="6"/>
  <c r="K90" i="6" s="1"/>
  <c r="G110" i="6"/>
  <c r="J110" i="6" s="1"/>
  <c r="L110" i="6" s="1"/>
  <c r="G94" i="6"/>
  <c r="J94" i="6" s="1"/>
  <c r="G100" i="6"/>
  <c r="J100" i="6" s="1"/>
  <c r="L100" i="6" s="1"/>
  <c r="G101" i="6"/>
  <c r="J101" i="6" s="1"/>
  <c r="L101" i="6" s="1"/>
  <c r="H105" i="6"/>
  <c r="K105" i="6" s="1"/>
  <c r="H86" i="6"/>
  <c r="K86" i="6" s="1"/>
  <c r="H84" i="6"/>
  <c r="K84" i="6" s="1"/>
  <c r="H95" i="6"/>
  <c r="K95" i="6" s="1"/>
  <c r="G71" i="6"/>
  <c r="AF71" i="5"/>
  <c r="F34" i="8" s="1"/>
  <c r="AF72" i="5"/>
  <c r="AF70" i="5"/>
  <c r="F15" i="8" s="1"/>
  <c r="J15" i="8" s="1"/>
  <c r="T53" i="8" s="1"/>
  <c r="G71" i="5"/>
  <c r="F29" i="8" s="1"/>
  <c r="G72" i="5"/>
  <c r="G70" i="5"/>
  <c r="F10" i="8" s="1"/>
  <c r="J10" i="8" s="1"/>
  <c r="T48" i="8" s="1"/>
  <c r="AK70" i="5"/>
  <c r="F16" i="8" s="1"/>
  <c r="J16" i="8" s="1"/>
  <c r="T54" i="8" s="1"/>
  <c r="AK71" i="5"/>
  <c r="F35" i="8" s="1"/>
  <c r="AK72" i="5"/>
  <c r="L70" i="5"/>
  <c r="F11" i="8" s="1"/>
  <c r="J11" i="8" s="1"/>
  <c r="T49" i="8" s="1"/>
  <c r="L71" i="5"/>
  <c r="F30" i="8" s="1"/>
  <c r="L72" i="5"/>
  <c r="AP70" i="5"/>
  <c r="F17" i="8" s="1"/>
  <c r="J17" i="8" s="1"/>
  <c r="T55" i="8" s="1"/>
  <c r="AP72" i="5"/>
  <c r="AP71" i="5"/>
  <c r="F36" i="8" s="1"/>
  <c r="BO72" i="5"/>
  <c r="BO71" i="5"/>
  <c r="F41" i="8" s="1"/>
  <c r="BO70" i="5"/>
  <c r="F22" i="8" s="1"/>
  <c r="J22" i="8" s="1"/>
  <c r="T60" i="8" s="1"/>
  <c r="Q72" i="5"/>
  <c r="Q70" i="5"/>
  <c r="F12" i="8" s="1"/>
  <c r="J12" i="8" s="1"/>
  <c r="T50" i="8" s="1"/>
  <c r="Q71" i="5"/>
  <c r="F31" i="8" s="1"/>
  <c r="BJ72" i="5"/>
  <c r="BJ70" i="5"/>
  <c r="F21" i="8" s="1"/>
  <c r="J21" i="8" s="1"/>
  <c r="T59" i="8" s="1"/>
  <c r="BJ71" i="5"/>
  <c r="F40" i="8" s="1"/>
  <c r="BK15" i="6"/>
  <c r="BK69" i="6" s="1"/>
  <c r="L92" i="6" l="1"/>
  <c r="L112" i="6"/>
  <c r="U76" i="6"/>
  <c r="U75" i="6"/>
  <c r="U77" i="6"/>
  <c r="AA86" i="6"/>
  <c r="AA87" i="6" s="1"/>
  <c r="AA88" i="6" s="1"/>
  <c r="AA89" i="6" s="1"/>
  <c r="AA90" i="6" s="1"/>
  <c r="AA91" i="6" s="1"/>
  <c r="AA92" i="6" s="1"/>
  <c r="AA93" i="6" s="1"/>
  <c r="AA94" i="6" s="1"/>
  <c r="AA95" i="6" s="1"/>
  <c r="AA96" i="6" s="1"/>
  <c r="AA97" i="6" s="1"/>
  <c r="AA98" i="6" s="1"/>
  <c r="AA99" i="6" s="1"/>
  <c r="AA100" i="6" s="1"/>
  <c r="AA101" i="6" s="1"/>
  <c r="AA102" i="6" s="1"/>
  <c r="AA103" i="6" s="1"/>
  <c r="AA104" i="6" s="1"/>
  <c r="AA105" i="6" s="1"/>
  <c r="AA106" i="6" s="1"/>
  <c r="AA107" i="6" s="1"/>
  <c r="AA108" i="6" s="1"/>
  <c r="AA109" i="6" s="1"/>
  <c r="AA110" i="6" s="1"/>
  <c r="AA111" i="6" s="1"/>
  <c r="AA112" i="6" s="1"/>
  <c r="AV84" i="6"/>
  <c r="AV85" i="6" s="1"/>
  <c r="AV86" i="6" s="1"/>
  <c r="AV87" i="6" s="1"/>
  <c r="AV88" i="6" s="1"/>
  <c r="AV89" i="6" s="1"/>
  <c r="AV90" i="6" s="1"/>
  <c r="AV91" i="6" s="1"/>
  <c r="AV92" i="6" s="1"/>
  <c r="AV93" i="6" s="1"/>
  <c r="AV94" i="6" s="1"/>
  <c r="AV95" i="6" s="1"/>
  <c r="AV96" i="6" s="1"/>
  <c r="AV97" i="6" s="1"/>
  <c r="AV98" i="6" s="1"/>
  <c r="AV99" i="6" s="1"/>
  <c r="AV100" i="6" s="1"/>
  <c r="AV101" i="6" s="1"/>
  <c r="AV102" i="6" s="1"/>
  <c r="AV103" i="6" s="1"/>
  <c r="AV104" i="6" s="1"/>
  <c r="AV105" i="6" s="1"/>
  <c r="AV106" i="6" s="1"/>
  <c r="AV107" i="6" s="1"/>
  <c r="AV108" i="6" s="1"/>
  <c r="AV109" i="6" s="1"/>
  <c r="AV110" i="6" s="1"/>
  <c r="AV111" i="6" s="1"/>
  <c r="AV112" i="6" s="1"/>
  <c r="AI76" i="6"/>
  <c r="BJ84" i="6"/>
  <c r="BJ85" i="6" s="1"/>
  <c r="BJ86" i="6" s="1"/>
  <c r="BK77" i="6"/>
  <c r="BK76" i="6"/>
  <c r="BK75" i="6"/>
  <c r="N75" i="6"/>
  <c r="N77" i="6"/>
  <c r="N76" i="6"/>
  <c r="I83" i="6"/>
  <c r="BX88" i="6"/>
  <c r="BX89" i="6" s="1"/>
  <c r="BX90" i="6" s="1"/>
  <c r="CS87" i="6"/>
  <c r="CS88" i="6" s="1"/>
  <c r="CS89" i="6" s="1"/>
  <c r="CS90" i="6" s="1"/>
  <c r="CS91" i="6" s="1"/>
  <c r="CS92" i="6" s="1"/>
  <c r="CS93" i="6" s="1"/>
  <c r="CS94" i="6" s="1"/>
  <c r="CS95" i="6" s="1"/>
  <c r="CS96" i="6" s="1"/>
  <c r="CS97" i="6" s="1"/>
  <c r="CS98" i="6" s="1"/>
  <c r="CS99" i="6" s="1"/>
  <c r="CS100" i="6" s="1"/>
  <c r="CS101" i="6" s="1"/>
  <c r="CS102" i="6" s="1"/>
  <c r="CS103" i="6" s="1"/>
  <c r="CS104" i="6" s="1"/>
  <c r="CS105" i="6" s="1"/>
  <c r="CS106" i="6" s="1"/>
  <c r="CS107" i="6" s="1"/>
  <c r="CS108" i="6" s="1"/>
  <c r="CS109" i="6" s="1"/>
  <c r="CS110" i="6" s="1"/>
  <c r="CS111" i="6" s="1"/>
  <c r="CS112" i="6" s="1"/>
  <c r="CM77" i="6"/>
  <c r="CS84" i="6"/>
  <c r="CF77" i="6"/>
  <c r="CF76" i="6"/>
  <c r="CF75" i="6"/>
  <c r="L84" i="6"/>
  <c r="L104" i="6"/>
  <c r="T86" i="6"/>
  <c r="T87" i="6" s="1"/>
  <c r="T88" i="6" s="1"/>
  <c r="T89" i="6" s="1"/>
  <c r="T90" i="6" s="1"/>
  <c r="T91" i="6" s="1"/>
  <c r="T92" i="6" s="1"/>
  <c r="T93" i="6" s="1"/>
  <c r="T94" i="6" s="1"/>
  <c r="T95" i="6" s="1"/>
  <c r="T96" i="6" s="1"/>
  <c r="T97" i="6" s="1"/>
  <c r="T98" i="6" s="1"/>
  <c r="T99" i="6" s="1"/>
  <c r="T100" i="6" s="1"/>
  <c r="T101" i="6" s="1"/>
  <c r="T102" i="6" s="1"/>
  <c r="T103" i="6" s="1"/>
  <c r="T104" i="6" s="1"/>
  <c r="T105" i="6" s="1"/>
  <c r="T106" i="6" s="1"/>
  <c r="T107" i="6" s="1"/>
  <c r="T108" i="6" s="1"/>
  <c r="T109" i="6" s="1"/>
  <c r="T110" i="6" s="1"/>
  <c r="T111" i="6" s="1"/>
  <c r="T112" i="6" s="1"/>
  <c r="AH86" i="6"/>
  <c r="AH87" i="6" s="1"/>
  <c r="AH88" i="6" s="1"/>
  <c r="AH89" i="6" s="1"/>
  <c r="AH90" i="6" s="1"/>
  <c r="AH91" i="6" s="1"/>
  <c r="AH92" i="6" s="1"/>
  <c r="AH93" i="6" s="1"/>
  <c r="AH94" i="6" s="1"/>
  <c r="AH95" i="6" s="1"/>
  <c r="AH96" i="6" s="1"/>
  <c r="AH97" i="6" s="1"/>
  <c r="AH98" i="6" s="1"/>
  <c r="AH99" i="6" s="1"/>
  <c r="AH100" i="6" s="1"/>
  <c r="AH101" i="6" s="1"/>
  <c r="AH102" i="6" s="1"/>
  <c r="AH103" i="6" s="1"/>
  <c r="AH104" i="6" s="1"/>
  <c r="AH105" i="6" s="1"/>
  <c r="AH106" i="6" s="1"/>
  <c r="AH107" i="6" s="1"/>
  <c r="AH108" i="6" s="1"/>
  <c r="AH109" i="6" s="1"/>
  <c r="AH110" i="6" s="1"/>
  <c r="AH111" i="6" s="1"/>
  <c r="AH112" i="6" s="1"/>
  <c r="BQ86" i="6"/>
  <c r="BQ87" i="6" s="1"/>
  <c r="BQ88" i="6" s="1"/>
  <c r="BQ89" i="6" s="1"/>
  <c r="BQ90" i="6" s="1"/>
  <c r="BQ91" i="6" s="1"/>
  <c r="BQ92" i="6" s="1"/>
  <c r="BQ93" i="6" s="1"/>
  <c r="BQ94" i="6" s="1"/>
  <c r="BQ95" i="6" s="1"/>
  <c r="BQ96" i="6" s="1"/>
  <c r="BQ97" i="6" s="1"/>
  <c r="BQ98" i="6" s="1"/>
  <c r="BQ99" i="6" s="1"/>
  <c r="BQ100" i="6" s="1"/>
  <c r="BQ101" i="6" s="1"/>
  <c r="BQ102" i="6" s="1"/>
  <c r="BQ103" i="6" s="1"/>
  <c r="BQ104" i="6" s="1"/>
  <c r="BQ105" i="6" s="1"/>
  <c r="BQ106" i="6" s="1"/>
  <c r="BQ107" i="6" s="1"/>
  <c r="BQ108" i="6" s="1"/>
  <c r="BQ109" i="6" s="1"/>
  <c r="BQ110" i="6" s="1"/>
  <c r="BQ111" i="6" s="1"/>
  <c r="BQ112" i="6" s="1"/>
  <c r="BX91" i="6"/>
  <c r="BX92" i="6" s="1"/>
  <c r="BX93" i="6" s="1"/>
  <c r="BX94" i="6" s="1"/>
  <c r="BX95" i="6" s="1"/>
  <c r="BX96" i="6" s="1"/>
  <c r="BX97" i="6" s="1"/>
  <c r="BX98" i="6" s="1"/>
  <c r="BX99" i="6" s="1"/>
  <c r="BX100" i="6" s="1"/>
  <c r="BX101" i="6" s="1"/>
  <c r="BX102" i="6" s="1"/>
  <c r="BX103" i="6" s="1"/>
  <c r="BX104" i="6" s="1"/>
  <c r="BX105" i="6" s="1"/>
  <c r="BX106" i="6" s="1"/>
  <c r="BX107" i="6" s="1"/>
  <c r="BX108" i="6" s="1"/>
  <c r="BX109" i="6" s="1"/>
  <c r="BX110" i="6" s="1"/>
  <c r="BX111" i="6" s="1"/>
  <c r="BX112" i="6" s="1"/>
  <c r="AW77" i="6"/>
  <c r="CS85" i="6"/>
  <c r="CS86" i="6" s="1"/>
  <c r="AB77" i="6"/>
  <c r="AB76" i="6"/>
  <c r="AB75" i="6"/>
  <c r="AH84" i="6"/>
  <c r="AH85" i="6" s="1"/>
  <c r="AP77" i="6"/>
  <c r="AP76" i="6"/>
  <c r="AP75" i="6"/>
  <c r="AW75" i="6"/>
  <c r="AW76" i="6"/>
  <c r="AO87" i="6"/>
  <c r="AO88" i="6" s="1"/>
  <c r="AO89" i="6" s="1"/>
  <c r="AO90" i="6" s="1"/>
  <c r="AO91" i="6" s="1"/>
  <c r="AO92" i="6" s="1"/>
  <c r="AO93" i="6" s="1"/>
  <c r="AO94" i="6" s="1"/>
  <c r="AO95" i="6" s="1"/>
  <c r="AO96" i="6" s="1"/>
  <c r="AO97" i="6" s="1"/>
  <c r="AO98" i="6" s="1"/>
  <c r="AO99" i="6" s="1"/>
  <c r="AO100" i="6" s="1"/>
  <c r="AO101" i="6" s="1"/>
  <c r="AO102" i="6" s="1"/>
  <c r="AO103" i="6" s="1"/>
  <c r="AO104" i="6" s="1"/>
  <c r="AO105" i="6" s="1"/>
  <c r="AO106" i="6" s="1"/>
  <c r="AO107" i="6" s="1"/>
  <c r="AO108" i="6" s="1"/>
  <c r="AO109" i="6" s="1"/>
  <c r="AO110" i="6" s="1"/>
  <c r="AO111" i="6" s="1"/>
  <c r="AO112" i="6" s="1"/>
  <c r="BJ87" i="6"/>
  <c r="BJ88" i="6" s="1"/>
  <c r="BJ89" i="6" s="1"/>
  <c r="BJ90" i="6" s="1"/>
  <c r="BJ91" i="6" s="1"/>
  <c r="BJ92" i="6" s="1"/>
  <c r="BJ93" i="6" s="1"/>
  <c r="BJ94" i="6" s="1"/>
  <c r="BJ95" i="6" s="1"/>
  <c r="BJ96" i="6" s="1"/>
  <c r="BJ97" i="6" s="1"/>
  <c r="BJ98" i="6" s="1"/>
  <c r="BJ99" i="6" s="1"/>
  <c r="BJ100" i="6" s="1"/>
  <c r="BJ101" i="6" s="1"/>
  <c r="BJ102" i="6" s="1"/>
  <c r="BJ103" i="6" s="1"/>
  <c r="BJ104" i="6" s="1"/>
  <c r="BJ105" i="6" s="1"/>
  <c r="BJ106" i="6" s="1"/>
  <c r="BJ107" i="6" s="1"/>
  <c r="BJ108" i="6" s="1"/>
  <c r="BJ109" i="6" s="1"/>
  <c r="BJ110" i="6" s="1"/>
  <c r="BJ111" i="6" s="1"/>
  <c r="BJ112" i="6" s="1"/>
  <c r="BD77" i="6"/>
  <c r="BD76" i="6"/>
  <c r="CE85" i="6"/>
  <c r="CE86" i="6" s="1"/>
  <c r="CE87" i="6" s="1"/>
  <c r="CE88" i="6" s="1"/>
  <c r="CE89" i="6" s="1"/>
  <c r="CE90" i="6" s="1"/>
  <c r="CE91" i="6" s="1"/>
  <c r="CE92" i="6" s="1"/>
  <c r="CE93" i="6" s="1"/>
  <c r="CE94" i="6" s="1"/>
  <c r="CE95" i="6" s="1"/>
  <c r="CE96" i="6" s="1"/>
  <c r="CE97" i="6" s="1"/>
  <c r="CE98" i="6" s="1"/>
  <c r="CE99" i="6" s="1"/>
  <c r="CE100" i="6" s="1"/>
  <c r="CE101" i="6" s="1"/>
  <c r="CE102" i="6" s="1"/>
  <c r="CE103" i="6" s="1"/>
  <c r="CE104" i="6" s="1"/>
  <c r="CE105" i="6" s="1"/>
  <c r="CE106" i="6" s="1"/>
  <c r="CE107" i="6" s="1"/>
  <c r="CE108" i="6" s="1"/>
  <c r="CE109" i="6" s="1"/>
  <c r="CE110" i="6" s="1"/>
  <c r="CE111" i="6" s="1"/>
  <c r="CE112" i="6" s="1"/>
  <c r="BC85" i="6"/>
  <c r="BC86" i="6" s="1"/>
  <c r="BC87" i="6" s="1"/>
  <c r="BC88" i="6" s="1"/>
  <c r="BC89" i="6" s="1"/>
  <c r="BC90" i="6" s="1"/>
  <c r="BC91" i="6" s="1"/>
  <c r="BC92" i="6" s="1"/>
  <c r="BC93" i="6" s="1"/>
  <c r="BC94" i="6" s="1"/>
  <c r="BC95" i="6" s="1"/>
  <c r="BC96" i="6" s="1"/>
  <c r="BC97" i="6" s="1"/>
  <c r="BC98" i="6" s="1"/>
  <c r="BC99" i="6" s="1"/>
  <c r="BC100" i="6" s="1"/>
  <c r="BC101" i="6" s="1"/>
  <c r="BC102" i="6" s="1"/>
  <c r="BC103" i="6" s="1"/>
  <c r="BC104" i="6" s="1"/>
  <c r="BC105" i="6" s="1"/>
  <c r="BC106" i="6" s="1"/>
  <c r="BC107" i="6" s="1"/>
  <c r="BC108" i="6" s="1"/>
  <c r="BC109" i="6" s="1"/>
  <c r="BC110" i="6" s="1"/>
  <c r="BC111" i="6" s="1"/>
  <c r="BC112" i="6" s="1"/>
  <c r="CM75" i="6"/>
  <c r="CM76" i="6"/>
  <c r="BY76" i="6"/>
  <c r="BY75" i="6"/>
  <c r="BY77" i="6"/>
  <c r="BR75" i="6"/>
  <c r="BR77" i="6"/>
  <c r="BR76" i="6"/>
  <c r="O31" i="8"/>
  <c r="J31" i="8"/>
  <c r="O50" i="8" s="1"/>
  <c r="O41" i="8"/>
  <c r="J41" i="8"/>
  <c r="O60" i="8" s="1"/>
  <c r="J34" i="8"/>
  <c r="O53" i="8" s="1"/>
  <c r="O34" i="8"/>
  <c r="O40" i="8"/>
  <c r="J40" i="8"/>
  <c r="O59" i="8" s="1"/>
  <c r="O35" i="8"/>
  <c r="J35" i="8"/>
  <c r="O54" i="8" s="1"/>
  <c r="J29" i="8"/>
  <c r="O48" i="8" s="1"/>
  <c r="O29" i="8"/>
  <c r="J36" i="8"/>
  <c r="O55" i="8" s="1"/>
  <c r="O36" i="8"/>
  <c r="O30" i="8"/>
  <c r="J30" i="8"/>
  <c r="O49" i="8" s="1"/>
  <c r="BU13" i="6"/>
  <c r="BU67" i="6" s="1"/>
  <c r="CB13" i="6" l="1"/>
  <c r="CB67" i="6" s="1"/>
  <c r="CB14" i="6"/>
  <c r="CB68" i="6" s="1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D56" i="6"/>
  <c r="E56" i="6"/>
  <c r="D57" i="6"/>
  <c r="E57" i="6"/>
  <c r="D58" i="6"/>
  <c r="E58" i="6"/>
  <c r="E29" i="6"/>
  <c r="D29" i="6"/>
  <c r="D79" i="5" l="1"/>
  <c r="D83" i="5"/>
  <c r="D87" i="5"/>
  <c r="D91" i="5"/>
  <c r="D95" i="5"/>
  <c r="D99" i="5"/>
  <c r="D103" i="5"/>
  <c r="D107" i="5"/>
  <c r="F86" i="6"/>
  <c r="F90" i="6"/>
  <c r="F94" i="6"/>
  <c r="F98" i="6"/>
  <c r="F102" i="6"/>
  <c r="F106" i="6"/>
  <c r="F110" i="6"/>
  <c r="D85" i="5"/>
  <c r="D105" i="5"/>
  <c r="F88" i="6"/>
  <c r="F96" i="6"/>
  <c r="F104" i="6"/>
  <c r="F112" i="6"/>
  <c r="D82" i="5"/>
  <c r="D90" i="5"/>
  <c r="D98" i="5"/>
  <c r="D102" i="5"/>
  <c r="F89" i="6"/>
  <c r="F97" i="6"/>
  <c r="F105" i="6"/>
  <c r="F83" i="6"/>
  <c r="D80" i="5"/>
  <c r="D84" i="5"/>
  <c r="D88" i="5"/>
  <c r="D92" i="5"/>
  <c r="D96" i="5"/>
  <c r="D100" i="5"/>
  <c r="D104" i="5"/>
  <c r="D78" i="5"/>
  <c r="F87" i="6"/>
  <c r="F91" i="6"/>
  <c r="F95" i="6"/>
  <c r="F99" i="6"/>
  <c r="F103" i="6"/>
  <c r="F107" i="6"/>
  <c r="F111" i="6"/>
  <c r="D81" i="5"/>
  <c r="D89" i="5"/>
  <c r="D93" i="5"/>
  <c r="D97" i="5"/>
  <c r="D101" i="5"/>
  <c r="F84" i="6"/>
  <c r="F92" i="6"/>
  <c r="F100" i="6"/>
  <c r="F108" i="6"/>
  <c r="D86" i="5"/>
  <c r="D94" i="5"/>
  <c r="D106" i="5"/>
  <c r="F85" i="6"/>
  <c r="F93" i="6"/>
  <c r="F101" i="6"/>
  <c r="F109" i="6"/>
  <c r="D15" i="4"/>
  <c r="F58" i="6" l="1"/>
  <c r="F33" i="6"/>
  <c r="F37" i="6"/>
  <c r="F41" i="6"/>
  <c r="F45" i="6"/>
  <c r="F49" i="6"/>
  <c r="F53" i="6"/>
  <c r="F57" i="6"/>
  <c r="F30" i="6"/>
  <c r="F38" i="6"/>
  <c r="F42" i="6"/>
  <c r="F46" i="6"/>
  <c r="F54" i="6"/>
  <c r="F29" i="6"/>
  <c r="F34" i="6"/>
  <c r="F50" i="6"/>
  <c r="F31" i="6"/>
  <c r="F35" i="6"/>
  <c r="F39" i="6"/>
  <c r="F43" i="6"/>
  <c r="F47" i="6"/>
  <c r="F51" i="6"/>
  <c r="F55" i="6"/>
  <c r="F36" i="6"/>
  <c r="F52" i="6"/>
  <c r="F40" i="6"/>
  <c r="F56" i="6"/>
  <c r="F32" i="6"/>
  <c r="F48" i="6"/>
  <c r="F44" i="6"/>
  <c r="AB50" i="6" l="1"/>
  <c r="AB52" i="6"/>
  <c r="AD52" i="6" s="1"/>
  <c r="AB54" i="6"/>
  <c r="AB56" i="6"/>
  <c r="AD56" i="6" s="1"/>
  <c r="AB58" i="6"/>
  <c r="AE58" i="6" s="1"/>
  <c r="AB55" i="6"/>
  <c r="AD55" i="6" s="1"/>
  <c r="AB51" i="6"/>
  <c r="AE51" i="6" s="1"/>
  <c r="AB53" i="6"/>
  <c r="AD53" i="6" s="1"/>
  <c r="AB57" i="6"/>
  <c r="AE57" i="6" s="1"/>
  <c r="AB40" i="6"/>
  <c r="AB42" i="6"/>
  <c r="AB44" i="6"/>
  <c r="AB46" i="6"/>
  <c r="AE46" i="6" s="1"/>
  <c r="AB48" i="6"/>
  <c r="AE48" i="6" s="1"/>
  <c r="AB41" i="6"/>
  <c r="AD41" i="6" s="1"/>
  <c r="AB45" i="6"/>
  <c r="AD45" i="6" s="1"/>
  <c r="AB49" i="6"/>
  <c r="AD49" i="6" s="1"/>
  <c r="AB43" i="6"/>
  <c r="AD43" i="6" s="1"/>
  <c r="AB47" i="6"/>
  <c r="AD47" i="6" s="1"/>
  <c r="I94" i="6"/>
  <c r="I108" i="6"/>
  <c r="M83" i="6"/>
  <c r="I107" i="6"/>
  <c r="I88" i="6"/>
  <c r="I93" i="6"/>
  <c r="I97" i="6"/>
  <c r="I105" i="6"/>
  <c r="I106" i="6"/>
  <c r="I102" i="6"/>
  <c r="I92" i="6"/>
  <c r="I101" i="6"/>
  <c r="I85" i="6"/>
  <c r="I98" i="6"/>
  <c r="I89" i="6"/>
  <c r="I91" i="6"/>
  <c r="I103" i="6"/>
  <c r="I111" i="6"/>
  <c r="I104" i="6"/>
  <c r="I100" i="6"/>
  <c r="I110" i="6"/>
  <c r="I99" i="6"/>
  <c r="I86" i="6"/>
  <c r="I90" i="6"/>
  <c r="I112" i="6"/>
  <c r="I84" i="6"/>
  <c r="I95" i="6"/>
  <c r="I109" i="6"/>
  <c r="I96" i="6"/>
  <c r="I87" i="6"/>
  <c r="CM55" i="6"/>
  <c r="CM47" i="6"/>
  <c r="CM39" i="6"/>
  <c r="CM31" i="6"/>
  <c r="CF53" i="6"/>
  <c r="CF45" i="6"/>
  <c r="CF37" i="6"/>
  <c r="CF29" i="6"/>
  <c r="BY51" i="6"/>
  <c r="BY43" i="6"/>
  <c r="BY35" i="6"/>
  <c r="BR57" i="6"/>
  <c r="BR49" i="6"/>
  <c r="BR41" i="6"/>
  <c r="BR33" i="6"/>
  <c r="BK55" i="6"/>
  <c r="BK47" i="6"/>
  <c r="BK39" i="6"/>
  <c r="BK31" i="6"/>
  <c r="BD53" i="6"/>
  <c r="BD45" i="6"/>
  <c r="BD37" i="6"/>
  <c r="BD29" i="6"/>
  <c r="AW51" i="6"/>
  <c r="AW43" i="6"/>
  <c r="AW35" i="6"/>
  <c r="AP57" i="6"/>
  <c r="AP49" i="6"/>
  <c r="AP41" i="6"/>
  <c r="AP33" i="6"/>
  <c r="AI55" i="6"/>
  <c r="AI47" i="6"/>
  <c r="AI39" i="6"/>
  <c r="AI31" i="6"/>
  <c r="AB39" i="6"/>
  <c r="AB31" i="6"/>
  <c r="U53" i="6"/>
  <c r="U45" i="6"/>
  <c r="CM53" i="6"/>
  <c r="CM45" i="6"/>
  <c r="CM37" i="6"/>
  <c r="CM29" i="6"/>
  <c r="CF51" i="6"/>
  <c r="CF43" i="6"/>
  <c r="CF35" i="6"/>
  <c r="BY57" i="6"/>
  <c r="BY49" i="6"/>
  <c r="BY41" i="6"/>
  <c r="BY33" i="6"/>
  <c r="BR55" i="6"/>
  <c r="BR47" i="6"/>
  <c r="BR39" i="6"/>
  <c r="BR31" i="6"/>
  <c r="BK53" i="6"/>
  <c r="BK45" i="6"/>
  <c r="BK37" i="6"/>
  <c r="BK29" i="6"/>
  <c r="BD51" i="6"/>
  <c r="BD43" i="6"/>
  <c r="BD35" i="6"/>
  <c r="AW57" i="6"/>
  <c r="AW49" i="6"/>
  <c r="AW41" i="6"/>
  <c r="AW33" i="6"/>
  <c r="AP55" i="6"/>
  <c r="AP47" i="6"/>
  <c r="AP39" i="6"/>
  <c r="AP31" i="6"/>
  <c r="AI53" i="6"/>
  <c r="AI45" i="6"/>
  <c r="AI37" i="6"/>
  <c r="AI29" i="6"/>
  <c r="AB37" i="6"/>
  <c r="U51" i="6"/>
  <c r="CM51" i="6"/>
  <c r="CM43" i="6"/>
  <c r="CM35" i="6"/>
  <c r="CF57" i="6"/>
  <c r="CF49" i="6"/>
  <c r="CF41" i="6"/>
  <c r="CF33" i="6"/>
  <c r="BY55" i="6"/>
  <c r="BY47" i="6"/>
  <c r="BY39" i="6"/>
  <c r="BY31" i="6"/>
  <c r="BR53" i="6"/>
  <c r="BR45" i="6"/>
  <c r="BR37" i="6"/>
  <c r="BR29" i="6"/>
  <c r="BK51" i="6"/>
  <c r="BK43" i="6"/>
  <c r="BK35" i="6"/>
  <c r="BD57" i="6"/>
  <c r="BD49" i="6"/>
  <c r="BD41" i="6"/>
  <c r="BD33" i="6"/>
  <c r="AW55" i="6"/>
  <c r="AW47" i="6"/>
  <c r="AW39" i="6"/>
  <c r="AW31" i="6"/>
  <c r="AP53" i="6"/>
  <c r="AP45" i="6"/>
  <c r="AP37" i="6"/>
  <c r="AP29" i="6"/>
  <c r="AI51" i="6"/>
  <c r="AI43" i="6"/>
  <c r="AI35" i="6"/>
  <c r="AB35" i="6"/>
  <c r="U57" i="6"/>
  <c r="U49" i="6"/>
  <c r="U41" i="6"/>
  <c r="CM41" i="6"/>
  <c r="CF39" i="6"/>
  <c r="BY37" i="6"/>
  <c r="BR35" i="6"/>
  <c r="BK33" i="6"/>
  <c r="BD31" i="6"/>
  <c r="AW29" i="6"/>
  <c r="AI57" i="6"/>
  <c r="U43" i="6"/>
  <c r="U33" i="6"/>
  <c r="N55" i="6"/>
  <c r="N47" i="6"/>
  <c r="N39" i="6"/>
  <c r="N31" i="6"/>
  <c r="G53" i="6"/>
  <c r="G45" i="6"/>
  <c r="G37" i="6"/>
  <c r="CM44" i="6"/>
  <c r="CF58" i="6"/>
  <c r="CF42" i="6"/>
  <c r="BY56" i="6"/>
  <c r="BY40" i="6"/>
  <c r="BR54" i="6"/>
  <c r="BR38" i="6"/>
  <c r="BK52" i="6"/>
  <c r="BK36" i="6"/>
  <c r="BD50" i="6"/>
  <c r="BD34" i="6"/>
  <c r="AW48" i="6"/>
  <c r="AW32" i="6"/>
  <c r="AP46" i="6"/>
  <c r="AP30" i="6"/>
  <c r="AI44" i="6"/>
  <c r="U58" i="6"/>
  <c r="U42" i="6"/>
  <c r="N56" i="6"/>
  <c r="N40" i="6"/>
  <c r="G54" i="6"/>
  <c r="G38" i="6"/>
  <c r="CM42" i="6"/>
  <c r="CF44" i="6"/>
  <c r="CM54" i="6"/>
  <c r="CF48" i="6"/>
  <c r="CM33" i="6"/>
  <c r="CF31" i="6"/>
  <c r="BY29" i="6"/>
  <c r="BK57" i="6"/>
  <c r="BD55" i="6"/>
  <c r="AW53" i="6"/>
  <c r="AP51" i="6"/>
  <c r="AI49" i="6"/>
  <c r="AB33" i="6"/>
  <c r="U39" i="6"/>
  <c r="U31" i="6"/>
  <c r="N53" i="6"/>
  <c r="N45" i="6"/>
  <c r="N37" i="6"/>
  <c r="N29" i="6"/>
  <c r="G51" i="6"/>
  <c r="G43" i="6"/>
  <c r="G35" i="6"/>
  <c r="CM56" i="6"/>
  <c r="CM40" i="6"/>
  <c r="CF54" i="6"/>
  <c r="CF38" i="6"/>
  <c r="BY52" i="6"/>
  <c r="BY36" i="6"/>
  <c r="BR50" i="6"/>
  <c r="BR34" i="6"/>
  <c r="BK48" i="6"/>
  <c r="BK32" i="6"/>
  <c r="BD46" i="6"/>
  <c r="BD30" i="6"/>
  <c r="AW44" i="6"/>
  <c r="AP58" i="6"/>
  <c r="AP42" i="6"/>
  <c r="AI56" i="6"/>
  <c r="AI40" i="6"/>
  <c r="U54" i="6"/>
  <c r="U38" i="6"/>
  <c r="N52" i="6"/>
  <c r="N36" i="6"/>
  <c r="G50" i="6"/>
  <c r="G34" i="6"/>
  <c r="CM34" i="6"/>
  <c r="CF36" i="6"/>
  <c r="CM46" i="6"/>
  <c r="CF40" i="6"/>
  <c r="CM57" i="6"/>
  <c r="CF55" i="6"/>
  <c r="BY53" i="6"/>
  <c r="BR51" i="6"/>
  <c r="BK49" i="6"/>
  <c r="BD47" i="6"/>
  <c r="AW45" i="6"/>
  <c r="AP43" i="6"/>
  <c r="AI41" i="6"/>
  <c r="U55" i="6"/>
  <c r="U37" i="6"/>
  <c r="N51" i="6"/>
  <c r="N43" i="6"/>
  <c r="N35" i="6"/>
  <c r="G57" i="6"/>
  <c r="G49" i="6"/>
  <c r="G41" i="6"/>
  <c r="G33" i="6"/>
  <c r="CM52" i="6"/>
  <c r="CM36" i="6"/>
  <c r="CF50" i="6"/>
  <c r="CF34" i="6"/>
  <c r="BY48" i="6"/>
  <c r="BY32" i="6"/>
  <c r="BR46" i="6"/>
  <c r="BR30" i="6"/>
  <c r="BK44" i="6"/>
  <c r="BD58" i="6"/>
  <c r="BD42" i="6"/>
  <c r="AW56" i="6"/>
  <c r="AW40" i="6"/>
  <c r="AP54" i="6"/>
  <c r="AP38" i="6"/>
  <c r="AI52" i="6"/>
  <c r="AI36" i="6"/>
  <c r="AB36" i="6"/>
  <c r="U50" i="6"/>
  <c r="U34" i="6"/>
  <c r="N48" i="6"/>
  <c r="N32" i="6"/>
  <c r="G46" i="6"/>
  <c r="G30" i="6"/>
  <c r="AE50" i="6"/>
  <c r="CM58" i="6"/>
  <c r="CF56" i="6"/>
  <c r="BY58" i="6"/>
  <c r="CM38" i="6"/>
  <c r="CF32" i="6"/>
  <c r="CF47" i="6"/>
  <c r="BD39" i="6"/>
  <c r="U47" i="6"/>
  <c r="N41" i="6"/>
  <c r="G39" i="6"/>
  <c r="CF46" i="6"/>
  <c r="BR42" i="6"/>
  <c r="BD38" i="6"/>
  <c r="AP34" i="6"/>
  <c r="U46" i="6"/>
  <c r="G42" i="6"/>
  <c r="CF52" i="6"/>
  <c r="BY54" i="6"/>
  <c r="BY50" i="6"/>
  <c r="BR48" i="6"/>
  <c r="BK46" i="6"/>
  <c r="BD44" i="6"/>
  <c r="AW42" i="6"/>
  <c r="AP40" i="6"/>
  <c r="AI38" i="6"/>
  <c r="U52" i="6"/>
  <c r="N50" i="6"/>
  <c r="G48" i="6"/>
  <c r="BR52" i="6"/>
  <c r="BD48" i="6"/>
  <c r="AP44" i="6"/>
  <c r="U56" i="6"/>
  <c r="G52" i="6"/>
  <c r="BK58" i="6"/>
  <c r="AW54" i="6"/>
  <c r="AI50" i="6"/>
  <c r="U32" i="6"/>
  <c r="BK41" i="6"/>
  <c r="AB32" i="6"/>
  <c r="CM30" i="6"/>
  <c r="BR56" i="6"/>
  <c r="BD52" i="6"/>
  <c r="AP48" i="6"/>
  <c r="AB30" i="6"/>
  <c r="G56" i="6"/>
  <c r="BY38" i="6"/>
  <c r="BK34" i="6"/>
  <c r="N38" i="6"/>
  <c r="BY45" i="6"/>
  <c r="AW37" i="6"/>
  <c r="U35" i="6"/>
  <c r="N33" i="6"/>
  <c r="G31" i="6"/>
  <c r="CF30" i="6"/>
  <c r="BK56" i="6"/>
  <c r="AW52" i="6"/>
  <c r="AI48" i="6"/>
  <c r="U30" i="6"/>
  <c r="BY42" i="6"/>
  <c r="BR40" i="6"/>
  <c r="BK38" i="6"/>
  <c r="BD36" i="6"/>
  <c r="AW34" i="6"/>
  <c r="AP32" i="6"/>
  <c r="AI30" i="6"/>
  <c r="U44" i="6"/>
  <c r="N42" i="6"/>
  <c r="G40" i="6"/>
  <c r="BR36" i="6"/>
  <c r="BD32" i="6"/>
  <c r="AI58" i="6"/>
  <c r="U40" i="6"/>
  <c r="G36" i="6"/>
  <c r="BY46" i="6"/>
  <c r="BK42" i="6"/>
  <c r="AW38" i="6"/>
  <c r="AI34" i="6"/>
  <c r="N46" i="6"/>
  <c r="BD54" i="6"/>
  <c r="BR43" i="6"/>
  <c r="AP35" i="6"/>
  <c r="N57" i="6"/>
  <c r="G55" i="6"/>
  <c r="CM48" i="6"/>
  <c r="BY44" i="6"/>
  <c r="BK40" i="6"/>
  <c r="AW36" i="6"/>
  <c r="AI32" i="6"/>
  <c r="N44" i="6"/>
  <c r="BY34" i="6"/>
  <c r="BR32" i="6"/>
  <c r="BK30" i="6"/>
  <c r="AW58" i="6"/>
  <c r="AP56" i="6"/>
  <c r="AI54" i="6"/>
  <c r="AB38" i="6"/>
  <c r="U36" i="6"/>
  <c r="N34" i="6"/>
  <c r="G32" i="6"/>
  <c r="BK50" i="6"/>
  <c r="AW46" i="6"/>
  <c r="AI42" i="6"/>
  <c r="N54" i="6"/>
  <c r="BY30" i="6"/>
  <c r="BD56" i="6"/>
  <c r="AP52" i="6"/>
  <c r="AB34" i="6"/>
  <c r="N30" i="6"/>
  <c r="CM49" i="6"/>
  <c r="AI33" i="6"/>
  <c r="N49" i="6"/>
  <c r="G47" i="6"/>
  <c r="CM32" i="6"/>
  <c r="BR58" i="6"/>
  <c r="AP50" i="6"/>
  <c r="G58" i="6"/>
  <c r="CM50" i="6"/>
  <c r="BK54" i="6"/>
  <c r="AW50" i="6"/>
  <c r="AI46" i="6"/>
  <c r="N58" i="6"/>
  <c r="AW30" i="6"/>
  <c r="AP36" i="6"/>
  <c r="U48" i="6"/>
  <c r="BR44" i="6"/>
  <c r="G44" i="6"/>
  <c r="BD40" i="6"/>
  <c r="AE56" i="6" l="1"/>
  <c r="AE52" i="6"/>
  <c r="AE41" i="6"/>
  <c r="AG41" i="6" s="1"/>
  <c r="AE55" i="6"/>
  <c r="AG55" i="6" s="1"/>
  <c r="AE53" i="6"/>
  <c r="AG53" i="6" s="1"/>
  <c r="AG52" i="6"/>
  <c r="AD54" i="6"/>
  <c r="AD57" i="6"/>
  <c r="AD51" i="6"/>
  <c r="AD58" i="6"/>
  <c r="AE54" i="6"/>
  <c r="AG54" i="6" s="1"/>
  <c r="AD50" i="6"/>
  <c r="AE43" i="6"/>
  <c r="AG43" i="6" s="1"/>
  <c r="M84" i="6"/>
  <c r="M85" i="6" s="1"/>
  <c r="M86" i="6" s="1"/>
  <c r="M87" i="6" s="1"/>
  <c r="M88" i="6" s="1"/>
  <c r="M89" i="6" s="1"/>
  <c r="M90" i="6" s="1"/>
  <c r="M91" i="6" s="1"/>
  <c r="M92" i="6" s="1"/>
  <c r="M93" i="6" s="1"/>
  <c r="M94" i="6" s="1"/>
  <c r="M95" i="6" s="1"/>
  <c r="M96" i="6" s="1"/>
  <c r="M97" i="6" s="1"/>
  <c r="M98" i="6" s="1"/>
  <c r="M99" i="6" s="1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M111" i="6" s="1"/>
  <c r="M112" i="6" s="1"/>
  <c r="AD42" i="6"/>
  <c r="AD48" i="6"/>
  <c r="AD44" i="6"/>
  <c r="AE49" i="6"/>
  <c r="AG49" i="6" s="1"/>
  <c r="AD40" i="6"/>
  <c r="AE45" i="6"/>
  <c r="AG45" i="6" s="1"/>
  <c r="AE47" i="6"/>
  <c r="AG47" i="6" s="1"/>
  <c r="AE40" i="6"/>
  <c r="AG40" i="6" s="1"/>
  <c r="AE44" i="6"/>
  <c r="AG44" i="6" s="1"/>
  <c r="AE42" i="6"/>
  <c r="AG42" i="6" s="1"/>
  <c r="AD46" i="6"/>
  <c r="AG56" i="6"/>
  <c r="AG46" i="6"/>
  <c r="AG58" i="6"/>
  <c r="AG50" i="6"/>
  <c r="BM77" i="6"/>
  <c r="G76" i="6"/>
  <c r="G75" i="6"/>
  <c r="G77" i="6"/>
  <c r="AL46" i="6"/>
  <c r="AN46" i="6" s="1"/>
  <c r="AK46" i="6"/>
  <c r="J47" i="6"/>
  <c r="L47" i="6" s="1"/>
  <c r="I47" i="6"/>
  <c r="BG56" i="6"/>
  <c r="BI56" i="6" s="1"/>
  <c r="BF56" i="6"/>
  <c r="Q54" i="6"/>
  <c r="S54" i="6" s="1"/>
  <c r="P54" i="6"/>
  <c r="AZ58" i="6"/>
  <c r="BB58" i="6" s="1"/>
  <c r="AY58" i="6"/>
  <c r="Q57" i="6"/>
  <c r="S57" i="6" s="1"/>
  <c r="P57" i="6"/>
  <c r="X44" i="6"/>
  <c r="Z44" i="6" s="1"/>
  <c r="W44" i="6"/>
  <c r="X35" i="6"/>
  <c r="Z35" i="6" s="1"/>
  <c r="W35" i="6"/>
  <c r="AE30" i="6"/>
  <c r="AG30" i="6" s="1"/>
  <c r="AD30" i="6"/>
  <c r="AE32" i="6"/>
  <c r="AG32" i="6" s="1"/>
  <c r="AD32" i="6"/>
  <c r="BN58" i="6"/>
  <c r="BP58" i="6" s="1"/>
  <c r="BM58" i="6"/>
  <c r="X56" i="6"/>
  <c r="Z56" i="6" s="1"/>
  <c r="W56" i="6"/>
  <c r="BG44" i="6"/>
  <c r="BI44" i="6" s="1"/>
  <c r="BF44" i="6"/>
  <c r="J42" i="6"/>
  <c r="L42" i="6" s="1"/>
  <c r="I42" i="6"/>
  <c r="X47" i="6"/>
  <c r="Z47" i="6" s="1"/>
  <c r="W47" i="6"/>
  <c r="AZ40" i="6"/>
  <c r="BB40" i="6" s="1"/>
  <c r="AY40" i="6"/>
  <c r="CB48" i="6"/>
  <c r="CD48" i="6" s="1"/>
  <c r="CA48" i="6"/>
  <c r="X29" i="6"/>
  <c r="Z29" i="6" s="1"/>
  <c r="AA29" i="6" s="1"/>
  <c r="W29" i="6"/>
  <c r="BU51" i="6"/>
  <c r="BW51" i="6" s="1"/>
  <c r="BT51" i="6"/>
  <c r="Q36" i="6"/>
  <c r="S36" i="6" s="1"/>
  <c r="P36" i="6"/>
  <c r="BN32" i="6"/>
  <c r="BP32" i="6" s="1"/>
  <c r="BM32" i="6"/>
  <c r="CP40" i="6"/>
  <c r="CR40" i="6" s="1"/>
  <c r="CO40" i="6"/>
  <c r="AL49" i="6"/>
  <c r="AN49" i="6" s="1"/>
  <c r="AK49" i="6"/>
  <c r="I38" i="6"/>
  <c r="J38" i="6"/>
  <c r="L38" i="6" s="1"/>
  <c r="BG34" i="6"/>
  <c r="BI34" i="6" s="1"/>
  <c r="BF34" i="6"/>
  <c r="CI42" i="6"/>
  <c r="CK42" i="6" s="1"/>
  <c r="CH42" i="6"/>
  <c r="X43" i="6"/>
  <c r="Z43" i="6" s="1"/>
  <c r="W43" i="6"/>
  <c r="CI39" i="6"/>
  <c r="CK39" i="6" s="1"/>
  <c r="CH39" i="6"/>
  <c r="AS45" i="6"/>
  <c r="AU45" i="6" s="1"/>
  <c r="AR45" i="6"/>
  <c r="BN51" i="6"/>
  <c r="BP51" i="6" s="1"/>
  <c r="BM51" i="6"/>
  <c r="CI57" i="6"/>
  <c r="CK57" i="6" s="1"/>
  <c r="CH57" i="6"/>
  <c r="AS47" i="6"/>
  <c r="AU47" i="6" s="1"/>
  <c r="AR47" i="6"/>
  <c r="BN53" i="6"/>
  <c r="BP53" i="6" s="1"/>
  <c r="BM53" i="6"/>
  <c r="CP29" i="6"/>
  <c r="CR29" i="6" s="1"/>
  <c r="CS29" i="6" s="1"/>
  <c r="CO29" i="6"/>
  <c r="X53" i="6"/>
  <c r="Z53" i="6" s="1"/>
  <c r="W53" i="6"/>
  <c r="AS41" i="6"/>
  <c r="AU41" i="6" s="1"/>
  <c r="AR41" i="6"/>
  <c r="BG45" i="6"/>
  <c r="BI45" i="6" s="1"/>
  <c r="BF45" i="6"/>
  <c r="BU49" i="6"/>
  <c r="BW49" i="6" s="1"/>
  <c r="BT49" i="6"/>
  <c r="CI53" i="6"/>
  <c r="CK53" i="6" s="1"/>
  <c r="CH53" i="6"/>
  <c r="BG40" i="6"/>
  <c r="BI40" i="6" s="1"/>
  <c r="BF40" i="6"/>
  <c r="AZ30" i="6"/>
  <c r="BB30" i="6" s="1"/>
  <c r="AY30" i="6"/>
  <c r="AZ50" i="6"/>
  <c r="BB50" i="6" s="1"/>
  <c r="AY50" i="6"/>
  <c r="AS50" i="6"/>
  <c r="AU50" i="6" s="1"/>
  <c r="AR50" i="6"/>
  <c r="Q49" i="6"/>
  <c r="S49" i="6" s="1"/>
  <c r="P49" i="6"/>
  <c r="Q30" i="6"/>
  <c r="S30" i="6" s="1"/>
  <c r="P30" i="6"/>
  <c r="CB30" i="6"/>
  <c r="CD30" i="6" s="1"/>
  <c r="CA30" i="6"/>
  <c r="AL42" i="6"/>
  <c r="AN42" i="6" s="1"/>
  <c r="AK42" i="6"/>
  <c r="AG51" i="6"/>
  <c r="AE38" i="6"/>
  <c r="AG38" i="6" s="1"/>
  <c r="AD38" i="6"/>
  <c r="BN30" i="6"/>
  <c r="BP30" i="6" s="1"/>
  <c r="BM30" i="6"/>
  <c r="Q44" i="6"/>
  <c r="S44" i="6" s="1"/>
  <c r="P44" i="6"/>
  <c r="CB44" i="6"/>
  <c r="CD44" i="6" s="1"/>
  <c r="CA44" i="6"/>
  <c r="AS35" i="6"/>
  <c r="AU35" i="6" s="1"/>
  <c r="AR35" i="6"/>
  <c r="Q46" i="6"/>
  <c r="S46" i="6" s="1"/>
  <c r="P46" i="6"/>
  <c r="CB46" i="6"/>
  <c r="CD46" i="6" s="1"/>
  <c r="CA46" i="6"/>
  <c r="AL58" i="6"/>
  <c r="AN58" i="6" s="1"/>
  <c r="AK58" i="6"/>
  <c r="AL30" i="6"/>
  <c r="AN30" i="6" s="1"/>
  <c r="AK30" i="6"/>
  <c r="BN38" i="6"/>
  <c r="BP38" i="6" s="1"/>
  <c r="BM38" i="6"/>
  <c r="X30" i="6"/>
  <c r="Z30" i="6" s="1"/>
  <c r="W30" i="6"/>
  <c r="CI30" i="6"/>
  <c r="CK30" i="6" s="1"/>
  <c r="CH30" i="6"/>
  <c r="AZ37" i="6"/>
  <c r="BB37" i="6" s="1"/>
  <c r="AY37" i="6"/>
  <c r="BN34" i="6"/>
  <c r="BP34" i="6" s="1"/>
  <c r="BM34" i="6"/>
  <c r="AS48" i="6"/>
  <c r="AU48" i="6" s="1"/>
  <c r="AR48" i="6"/>
  <c r="BN41" i="6"/>
  <c r="BP41" i="6" s="1"/>
  <c r="BM41" i="6"/>
  <c r="X32" i="6"/>
  <c r="Z32" i="6" s="1"/>
  <c r="W32" i="6"/>
  <c r="AS44" i="6"/>
  <c r="AU44" i="6" s="1"/>
  <c r="AR44" i="6"/>
  <c r="AG48" i="6"/>
  <c r="AL38" i="6"/>
  <c r="AN38" i="6" s="1"/>
  <c r="AK38" i="6"/>
  <c r="BN46" i="6"/>
  <c r="BP46" i="6" s="1"/>
  <c r="BM46" i="6"/>
  <c r="X46" i="6"/>
  <c r="Z46" i="6" s="1"/>
  <c r="W46" i="6"/>
  <c r="CI46" i="6"/>
  <c r="CK46" i="6" s="1"/>
  <c r="CH46" i="6"/>
  <c r="BG39" i="6"/>
  <c r="BI39" i="6" s="1"/>
  <c r="BF39" i="6"/>
  <c r="CB58" i="6"/>
  <c r="CD58" i="6" s="1"/>
  <c r="CA58" i="6"/>
  <c r="I30" i="6"/>
  <c r="J30" i="6"/>
  <c r="L30" i="6" s="1"/>
  <c r="X34" i="6"/>
  <c r="Z34" i="6" s="1"/>
  <c r="W34" i="6"/>
  <c r="AL52" i="6"/>
  <c r="AN52" i="6" s="1"/>
  <c r="AK52" i="6"/>
  <c r="AZ56" i="6"/>
  <c r="BB56" i="6" s="1"/>
  <c r="AY56" i="6"/>
  <c r="BU30" i="6"/>
  <c r="BW30" i="6" s="1"/>
  <c r="BT30" i="6"/>
  <c r="CI34" i="6"/>
  <c r="CK34" i="6" s="1"/>
  <c r="CH34" i="6"/>
  <c r="J33" i="6"/>
  <c r="L33" i="6" s="1"/>
  <c r="I33" i="6"/>
  <c r="Q35" i="6"/>
  <c r="S35" i="6" s="1"/>
  <c r="P35" i="6"/>
  <c r="X37" i="6"/>
  <c r="Z37" i="6" s="1"/>
  <c r="W37" i="6"/>
  <c r="AZ45" i="6"/>
  <c r="BB45" i="6" s="1"/>
  <c r="AY45" i="6"/>
  <c r="CB53" i="6"/>
  <c r="CD53" i="6" s="1"/>
  <c r="CA53" i="6"/>
  <c r="Q52" i="6"/>
  <c r="S52" i="6" s="1"/>
  <c r="P52" i="6"/>
  <c r="AL40" i="6"/>
  <c r="AN40" i="6" s="1"/>
  <c r="AK40" i="6"/>
  <c r="AZ44" i="6"/>
  <c r="BB44" i="6" s="1"/>
  <c r="AY44" i="6"/>
  <c r="BN48" i="6"/>
  <c r="BP48" i="6" s="1"/>
  <c r="BM48" i="6"/>
  <c r="CB52" i="6"/>
  <c r="CD52" i="6" s="1"/>
  <c r="CA52" i="6"/>
  <c r="CP56" i="6"/>
  <c r="CR56" i="6" s="1"/>
  <c r="CO56" i="6"/>
  <c r="Q29" i="6"/>
  <c r="S29" i="6" s="1"/>
  <c r="T29" i="6" s="1"/>
  <c r="P29" i="6"/>
  <c r="X31" i="6"/>
  <c r="Z31" i="6" s="1"/>
  <c r="W31" i="6"/>
  <c r="AS51" i="6"/>
  <c r="AU51" i="6" s="1"/>
  <c r="AR51" i="6"/>
  <c r="CB29" i="6"/>
  <c r="CD29" i="6" s="1"/>
  <c r="CE29" i="6" s="1"/>
  <c r="CA29" i="6"/>
  <c r="CI48" i="6"/>
  <c r="CK48" i="6" s="1"/>
  <c r="CH48" i="6"/>
  <c r="CP42" i="6"/>
  <c r="CR42" i="6" s="1"/>
  <c r="CO42" i="6"/>
  <c r="I54" i="6"/>
  <c r="J54" i="6"/>
  <c r="L54" i="6" s="1"/>
  <c r="X58" i="6"/>
  <c r="Z58" i="6" s="1"/>
  <c r="W58" i="6"/>
  <c r="AS46" i="6"/>
  <c r="AU46" i="6" s="1"/>
  <c r="AR46" i="6"/>
  <c r="BG50" i="6"/>
  <c r="BI50" i="6" s="1"/>
  <c r="BF50" i="6"/>
  <c r="BU54" i="6"/>
  <c r="BW54" i="6" s="1"/>
  <c r="BT54" i="6"/>
  <c r="CI58" i="6"/>
  <c r="CK58" i="6" s="1"/>
  <c r="CH58" i="6"/>
  <c r="J45" i="6"/>
  <c r="L45" i="6" s="1"/>
  <c r="I45" i="6"/>
  <c r="Q47" i="6"/>
  <c r="S47" i="6" s="1"/>
  <c r="P47" i="6"/>
  <c r="BN33" i="6"/>
  <c r="BP33" i="6" s="1"/>
  <c r="BM33" i="6"/>
  <c r="CP41" i="6"/>
  <c r="CR41" i="6" s="1"/>
  <c r="CO41" i="6"/>
  <c r="AE35" i="6"/>
  <c r="AG35" i="6" s="1"/>
  <c r="AD35" i="6"/>
  <c r="AL51" i="6"/>
  <c r="AN51" i="6" s="1"/>
  <c r="AK51" i="6"/>
  <c r="AS53" i="6"/>
  <c r="AU53" i="6" s="1"/>
  <c r="AR53" i="6"/>
  <c r="AZ55" i="6"/>
  <c r="BB55" i="6" s="1"/>
  <c r="AY55" i="6"/>
  <c r="BG57" i="6"/>
  <c r="BI57" i="6" s="1"/>
  <c r="BF57" i="6"/>
  <c r="BU29" i="6"/>
  <c r="BW29" i="6" s="1"/>
  <c r="BX29" i="6" s="1"/>
  <c r="BX30" i="6" s="1"/>
  <c r="BT29" i="6"/>
  <c r="CB31" i="6"/>
  <c r="CD31" i="6" s="1"/>
  <c r="CA31" i="6"/>
  <c r="CI33" i="6"/>
  <c r="CK33" i="6" s="1"/>
  <c r="CH33" i="6"/>
  <c r="CP35" i="6"/>
  <c r="CR35" i="6" s="1"/>
  <c r="CO35" i="6"/>
  <c r="AE37" i="6"/>
  <c r="AG37" i="6" s="1"/>
  <c r="AD37" i="6"/>
  <c r="AL53" i="6"/>
  <c r="AN53" i="6" s="1"/>
  <c r="AK53" i="6"/>
  <c r="AS55" i="6"/>
  <c r="AU55" i="6" s="1"/>
  <c r="AR55" i="6"/>
  <c r="AZ57" i="6"/>
  <c r="BB57" i="6" s="1"/>
  <c r="AY57" i="6"/>
  <c r="BN29" i="6"/>
  <c r="BP29" i="6" s="1"/>
  <c r="BQ29" i="6" s="1"/>
  <c r="BM29" i="6"/>
  <c r="BU31" i="6"/>
  <c r="BW31" i="6" s="1"/>
  <c r="BT31" i="6"/>
  <c r="CB33" i="6"/>
  <c r="CD33" i="6" s="1"/>
  <c r="CA33" i="6"/>
  <c r="CI35" i="6"/>
  <c r="CK35" i="6" s="1"/>
  <c r="CH35" i="6"/>
  <c r="CP37" i="6"/>
  <c r="CR37" i="6" s="1"/>
  <c r="CO37" i="6"/>
  <c r="AE31" i="6"/>
  <c r="AG31" i="6" s="1"/>
  <c r="AD31" i="6"/>
  <c r="AL47" i="6"/>
  <c r="AN47" i="6" s="1"/>
  <c r="AK47" i="6"/>
  <c r="AS49" i="6"/>
  <c r="AU49" i="6" s="1"/>
  <c r="AR49" i="6"/>
  <c r="AZ51" i="6"/>
  <c r="BB51" i="6" s="1"/>
  <c r="AY51" i="6"/>
  <c r="BG53" i="6"/>
  <c r="BI53" i="6" s="1"/>
  <c r="BF53" i="6"/>
  <c r="BN55" i="6"/>
  <c r="BP55" i="6" s="1"/>
  <c r="BM55" i="6"/>
  <c r="BU57" i="6"/>
  <c r="BW57" i="6" s="1"/>
  <c r="BT57" i="6"/>
  <c r="CI29" i="6"/>
  <c r="CK29" i="6" s="1"/>
  <c r="CL29" i="6" s="1"/>
  <c r="CH29" i="6"/>
  <c r="CP31" i="6"/>
  <c r="CR31" i="6" s="1"/>
  <c r="CO31" i="6"/>
  <c r="X40" i="6"/>
  <c r="Z40" i="6" s="1"/>
  <c r="W40" i="6"/>
  <c r="BN56" i="6"/>
  <c r="BP56" i="6" s="1"/>
  <c r="BM56" i="6"/>
  <c r="Q38" i="6"/>
  <c r="S38" i="6" s="1"/>
  <c r="P38" i="6"/>
  <c r="AL36" i="6"/>
  <c r="AN36" i="6" s="1"/>
  <c r="AK36" i="6"/>
  <c r="CP52" i="6"/>
  <c r="CR52" i="6" s="1"/>
  <c r="CO52" i="6"/>
  <c r="CP46" i="6"/>
  <c r="CR46" i="6" s="1"/>
  <c r="CO46" i="6"/>
  <c r="AS58" i="6"/>
  <c r="AU58" i="6" s="1"/>
  <c r="AR58" i="6"/>
  <c r="J51" i="6"/>
  <c r="L51" i="6" s="1"/>
  <c r="I51" i="6"/>
  <c r="BN57" i="6"/>
  <c r="BP57" i="6" s="1"/>
  <c r="BM57" i="6"/>
  <c r="CI44" i="6"/>
  <c r="CK44" i="6" s="1"/>
  <c r="CH44" i="6"/>
  <c r="AS30" i="6"/>
  <c r="AU30" i="6" s="1"/>
  <c r="AR30" i="6"/>
  <c r="J37" i="6"/>
  <c r="L37" i="6" s="1"/>
  <c r="I37" i="6"/>
  <c r="BG31" i="6"/>
  <c r="BI31" i="6" s="1"/>
  <c r="BF31" i="6"/>
  <c r="AL43" i="6"/>
  <c r="AN43" i="6" s="1"/>
  <c r="AK43" i="6"/>
  <c r="BG49" i="6"/>
  <c r="BI49" i="6" s="1"/>
  <c r="BF49" i="6"/>
  <c r="CB55" i="6"/>
  <c r="CD55" i="6" s="1"/>
  <c r="CA55" i="6"/>
  <c r="AL45" i="6"/>
  <c r="AN45" i="6" s="1"/>
  <c r="AK45" i="6"/>
  <c r="BG51" i="6"/>
  <c r="BI51" i="6" s="1"/>
  <c r="BF51" i="6"/>
  <c r="CB57" i="6"/>
  <c r="CD57" i="6" s="1"/>
  <c r="CA57" i="6"/>
  <c r="AS36" i="6"/>
  <c r="AU36" i="6" s="1"/>
  <c r="AR36" i="6"/>
  <c r="AL33" i="6"/>
  <c r="AN33" i="6" s="1"/>
  <c r="AK33" i="6"/>
  <c r="AE34" i="6"/>
  <c r="AG34" i="6" s="1"/>
  <c r="AD34" i="6"/>
  <c r="AZ46" i="6"/>
  <c r="BB46" i="6" s="1"/>
  <c r="AY46" i="6"/>
  <c r="I32" i="6"/>
  <c r="J32" i="6"/>
  <c r="L32" i="6" s="1"/>
  <c r="AL54" i="6"/>
  <c r="AN54" i="6" s="1"/>
  <c r="AK54" i="6"/>
  <c r="BU32" i="6"/>
  <c r="BW32" i="6" s="1"/>
  <c r="BT32" i="6"/>
  <c r="AL32" i="6"/>
  <c r="AN32" i="6" s="1"/>
  <c r="AK32" i="6"/>
  <c r="CP48" i="6"/>
  <c r="CR48" i="6" s="1"/>
  <c r="CO48" i="6"/>
  <c r="BU43" i="6"/>
  <c r="BW43" i="6" s="1"/>
  <c r="BT43" i="6"/>
  <c r="BG54" i="6"/>
  <c r="BI54" i="6" s="1"/>
  <c r="BF54" i="6"/>
  <c r="AL34" i="6"/>
  <c r="AN34" i="6" s="1"/>
  <c r="AK34" i="6"/>
  <c r="BG32" i="6"/>
  <c r="BI32" i="6" s="1"/>
  <c r="BF32" i="6"/>
  <c r="J40" i="6"/>
  <c r="L40" i="6" s="1"/>
  <c r="I40" i="6"/>
  <c r="AS32" i="6"/>
  <c r="AU32" i="6" s="1"/>
  <c r="AR32" i="6"/>
  <c r="BU40" i="6"/>
  <c r="BW40" i="6" s="1"/>
  <c r="BT40" i="6"/>
  <c r="AL48" i="6"/>
  <c r="AN48" i="6" s="1"/>
  <c r="AK48" i="6"/>
  <c r="J31" i="6"/>
  <c r="L31" i="6" s="1"/>
  <c r="I31" i="6"/>
  <c r="CB45" i="6"/>
  <c r="CD45" i="6" s="1"/>
  <c r="CA45" i="6"/>
  <c r="CB38" i="6"/>
  <c r="CD38" i="6" s="1"/>
  <c r="CA38" i="6"/>
  <c r="BG52" i="6"/>
  <c r="BI52" i="6" s="1"/>
  <c r="BF52" i="6"/>
  <c r="AL50" i="6"/>
  <c r="AN50" i="6" s="1"/>
  <c r="AK50" i="6"/>
  <c r="BG48" i="6"/>
  <c r="BI48" i="6" s="1"/>
  <c r="BF48" i="6"/>
  <c r="J48" i="6"/>
  <c r="L48" i="6" s="1"/>
  <c r="I48" i="6"/>
  <c r="AS40" i="6"/>
  <c r="AU40" i="6" s="1"/>
  <c r="AR40" i="6"/>
  <c r="BU48" i="6"/>
  <c r="BW48" i="6" s="1"/>
  <c r="BT48" i="6"/>
  <c r="AS34" i="6"/>
  <c r="AU34" i="6" s="1"/>
  <c r="AR34" i="6"/>
  <c r="J39" i="6"/>
  <c r="L39" i="6" s="1"/>
  <c r="I39" i="6"/>
  <c r="CI47" i="6"/>
  <c r="CK47" i="6" s="1"/>
  <c r="CH47" i="6"/>
  <c r="CI32" i="6"/>
  <c r="CK32" i="6" s="1"/>
  <c r="CH32" i="6"/>
  <c r="CI56" i="6"/>
  <c r="CK56" i="6" s="1"/>
  <c r="CH56" i="6"/>
  <c r="J46" i="6"/>
  <c r="L46" i="6" s="1"/>
  <c r="I46" i="6"/>
  <c r="X50" i="6"/>
  <c r="Z50" i="6" s="1"/>
  <c r="W50" i="6"/>
  <c r="AS38" i="6"/>
  <c r="AU38" i="6" s="1"/>
  <c r="AR38" i="6"/>
  <c r="BG42" i="6"/>
  <c r="BI42" i="6" s="1"/>
  <c r="BF42" i="6"/>
  <c r="BU46" i="6"/>
  <c r="BW46" i="6" s="1"/>
  <c r="BT46" i="6"/>
  <c r="CI50" i="6"/>
  <c r="CK50" i="6" s="1"/>
  <c r="CH50" i="6"/>
  <c r="J41" i="6"/>
  <c r="L41" i="6" s="1"/>
  <c r="I41" i="6"/>
  <c r="Q43" i="6"/>
  <c r="S43" i="6" s="1"/>
  <c r="P43" i="6"/>
  <c r="X55" i="6"/>
  <c r="Z55" i="6" s="1"/>
  <c r="W55" i="6"/>
  <c r="BG47" i="6"/>
  <c r="BI47" i="6" s="1"/>
  <c r="BF47" i="6"/>
  <c r="CI55" i="6"/>
  <c r="CK55" i="6" s="1"/>
  <c r="CH55" i="6"/>
  <c r="AG57" i="6"/>
  <c r="CI36" i="6"/>
  <c r="CK36" i="6" s="1"/>
  <c r="CH36" i="6"/>
  <c r="I34" i="6"/>
  <c r="J34" i="6"/>
  <c r="L34" i="6" s="1"/>
  <c r="X38" i="6"/>
  <c r="Z38" i="6" s="1"/>
  <c r="W38" i="6"/>
  <c r="AL56" i="6"/>
  <c r="AN56" i="6" s="1"/>
  <c r="AK56" i="6"/>
  <c r="BG30" i="6"/>
  <c r="BI30" i="6" s="1"/>
  <c r="BF30" i="6"/>
  <c r="BU34" i="6"/>
  <c r="BW34" i="6" s="1"/>
  <c r="BT34" i="6"/>
  <c r="CI38" i="6"/>
  <c r="CK38" i="6" s="1"/>
  <c r="CH38" i="6"/>
  <c r="J35" i="6"/>
  <c r="L35" i="6" s="1"/>
  <c r="I35" i="6"/>
  <c r="Q37" i="6"/>
  <c r="S37" i="6" s="1"/>
  <c r="P37" i="6"/>
  <c r="X39" i="6"/>
  <c r="Z39" i="6" s="1"/>
  <c r="W39" i="6"/>
  <c r="AZ53" i="6"/>
  <c r="BB53" i="6" s="1"/>
  <c r="AY53" i="6"/>
  <c r="CI31" i="6"/>
  <c r="CK31" i="6" s="1"/>
  <c r="CH31" i="6"/>
  <c r="CP54" i="6"/>
  <c r="CR54" i="6" s="1"/>
  <c r="CO54" i="6"/>
  <c r="Q40" i="6"/>
  <c r="S40" i="6" s="1"/>
  <c r="P40" i="6"/>
  <c r="AZ32" i="6"/>
  <c r="BB32" i="6" s="1"/>
  <c r="AY32" i="6"/>
  <c r="BN36" i="6"/>
  <c r="BP36" i="6" s="1"/>
  <c r="BM36" i="6"/>
  <c r="CB40" i="6"/>
  <c r="CD40" i="6" s="1"/>
  <c r="CA40" i="6"/>
  <c r="CP44" i="6"/>
  <c r="CR44" i="6" s="1"/>
  <c r="CO44" i="6"/>
  <c r="J53" i="6"/>
  <c r="L53" i="6" s="1"/>
  <c r="I53" i="6"/>
  <c r="Q55" i="6"/>
  <c r="S55" i="6" s="1"/>
  <c r="P55" i="6"/>
  <c r="AL57" i="6"/>
  <c r="AN57" i="6" s="1"/>
  <c r="AK57" i="6"/>
  <c r="BU35" i="6"/>
  <c r="BW35" i="6" s="1"/>
  <c r="BT35" i="6"/>
  <c r="X41" i="6"/>
  <c r="Z41" i="6" s="1"/>
  <c r="W41" i="6"/>
  <c r="AS29" i="6"/>
  <c r="AU29" i="6" s="1"/>
  <c r="AV29" i="6" s="1"/>
  <c r="AR29" i="6"/>
  <c r="AZ31" i="6"/>
  <c r="BB31" i="6" s="1"/>
  <c r="AY31" i="6"/>
  <c r="BG33" i="6"/>
  <c r="BI33" i="6" s="1"/>
  <c r="BF33" i="6"/>
  <c r="BN35" i="6"/>
  <c r="BP35" i="6" s="1"/>
  <c r="BM35" i="6"/>
  <c r="BU37" i="6"/>
  <c r="BW37" i="6" s="1"/>
  <c r="BT37" i="6"/>
  <c r="CB39" i="6"/>
  <c r="CD39" i="6" s="1"/>
  <c r="CA39" i="6"/>
  <c r="CI41" i="6"/>
  <c r="CK41" i="6" s="1"/>
  <c r="CH41" i="6"/>
  <c r="CP43" i="6"/>
  <c r="CR43" i="6" s="1"/>
  <c r="CO43" i="6"/>
  <c r="AL29" i="6"/>
  <c r="AN29" i="6" s="1"/>
  <c r="AO29" i="6" s="1"/>
  <c r="AK29" i="6"/>
  <c r="AS31" i="6"/>
  <c r="AU31" i="6" s="1"/>
  <c r="AR31" i="6"/>
  <c r="AZ33" i="6"/>
  <c r="BB33" i="6" s="1"/>
  <c r="AY33" i="6"/>
  <c r="BG35" i="6"/>
  <c r="BI35" i="6" s="1"/>
  <c r="BF35" i="6"/>
  <c r="BN37" i="6"/>
  <c r="BP37" i="6" s="1"/>
  <c r="BM37" i="6"/>
  <c r="BU39" i="6"/>
  <c r="BW39" i="6" s="1"/>
  <c r="BT39" i="6"/>
  <c r="CB41" i="6"/>
  <c r="CD41" i="6" s="1"/>
  <c r="CA41" i="6"/>
  <c r="CI43" i="6"/>
  <c r="CK43" i="6" s="1"/>
  <c r="CH43" i="6"/>
  <c r="CP45" i="6"/>
  <c r="CR45" i="6" s="1"/>
  <c r="CO45" i="6"/>
  <c r="AE39" i="6"/>
  <c r="AG39" i="6" s="1"/>
  <c r="AD39" i="6"/>
  <c r="AL55" i="6"/>
  <c r="AN55" i="6" s="1"/>
  <c r="AK55" i="6"/>
  <c r="AS57" i="6"/>
  <c r="AU57" i="6" s="1"/>
  <c r="AR57" i="6"/>
  <c r="BG29" i="6"/>
  <c r="BI29" i="6" s="1"/>
  <c r="BJ29" i="6" s="1"/>
  <c r="BF29" i="6"/>
  <c r="BN31" i="6"/>
  <c r="BP31" i="6" s="1"/>
  <c r="BM31" i="6"/>
  <c r="BU33" i="6"/>
  <c r="BW33" i="6" s="1"/>
  <c r="BT33" i="6"/>
  <c r="CB35" i="6"/>
  <c r="CD35" i="6" s="1"/>
  <c r="CA35" i="6"/>
  <c r="CI37" i="6"/>
  <c r="CK37" i="6" s="1"/>
  <c r="CH37" i="6"/>
  <c r="CP39" i="6"/>
  <c r="CR39" i="6" s="1"/>
  <c r="CO39" i="6"/>
  <c r="I58" i="6"/>
  <c r="J58" i="6"/>
  <c r="L58" i="6" s="1"/>
  <c r="X36" i="6"/>
  <c r="Z36" i="6" s="1"/>
  <c r="W36" i="6"/>
  <c r="BN40" i="6"/>
  <c r="BP40" i="6" s="1"/>
  <c r="BM40" i="6"/>
  <c r="BN42" i="6"/>
  <c r="BP42" i="6" s="1"/>
  <c r="BM42" i="6"/>
  <c r="BG36" i="6"/>
  <c r="BI36" i="6" s="1"/>
  <c r="BF36" i="6"/>
  <c r="CP30" i="6"/>
  <c r="CR30" i="6" s="1"/>
  <c r="CO30" i="6"/>
  <c r="X52" i="6"/>
  <c r="Z52" i="6" s="1"/>
  <c r="W52" i="6"/>
  <c r="CB54" i="6"/>
  <c r="CD54" i="6" s="1"/>
  <c r="CA54" i="6"/>
  <c r="BU42" i="6"/>
  <c r="BW42" i="6" s="1"/>
  <c r="BT42" i="6"/>
  <c r="Q48" i="6"/>
  <c r="S48" i="6" s="1"/>
  <c r="P48" i="6"/>
  <c r="BN44" i="6"/>
  <c r="BP44" i="6" s="1"/>
  <c r="BM44" i="6"/>
  <c r="J57" i="6"/>
  <c r="L57" i="6" s="1"/>
  <c r="I57" i="6"/>
  <c r="AS43" i="6"/>
  <c r="AU43" i="6" s="1"/>
  <c r="AR43" i="6"/>
  <c r="CB36" i="6"/>
  <c r="CD36" i="6" s="1"/>
  <c r="CA36" i="6"/>
  <c r="Q53" i="6"/>
  <c r="S53" i="6" s="1"/>
  <c r="P53" i="6"/>
  <c r="X42" i="6"/>
  <c r="Z42" i="6" s="1"/>
  <c r="W42" i="6"/>
  <c r="BU38" i="6"/>
  <c r="BW38" i="6" s="1"/>
  <c r="BT38" i="6"/>
  <c r="Q39" i="6"/>
  <c r="S39" i="6" s="1"/>
  <c r="P39" i="6"/>
  <c r="X57" i="6"/>
  <c r="Z57" i="6" s="1"/>
  <c r="W57" i="6"/>
  <c r="AZ47" i="6"/>
  <c r="BB47" i="6" s="1"/>
  <c r="AY47" i="6"/>
  <c r="BU53" i="6"/>
  <c r="BW53" i="6" s="1"/>
  <c r="BT53" i="6"/>
  <c r="AE29" i="6"/>
  <c r="AG29" i="6" s="1"/>
  <c r="AH29" i="6" s="1"/>
  <c r="AD29" i="6"/>
  <c r="AZ49" i="6"/>
  <c r="BB49" i="6" s="1"/>
  <c r="AY49" i="6"/>
  <c r="BU55" i="6"/>
  <c r="BW55" i="6" s="1"/>
  <c r="BT55" i="6"/>
  <c r="AL39" i="6"/>
  <c r="AN39" i="6" s="1"/>
  <c r="AK39" i="6"/>
  <c r="AZ43" i="6"/>
  <c r="BB43" i="6" s="1"/>
  <c r="AY43" i="6"/>
  <c r="BN47" i="6"/>
  <c r="BP47" i="6" s="1"/>
  <c r="BM47" i="6"/>
  <c r="CB51" i="6"/>
  <c r="CD51" i="6" s="1"/>
  <c r="CA51" i="6"/>
  <c r="CP55" i="6"/>
  <c r="CR55" i="6" s="1"/>
  <c r="CO55" i="6"/>
  <c r="J44" i="6"/>
  <c r="L44" i="6" s="1"/>
  <c r="I44" i="6"/>
  <c r="BN54" i="6"/>
  <c r="BP54" i="6" s="1"/>
  <c r="BM54" i="6"/>
  <c r="BU58" i="6"/>
  <c r="BW58" i="6" s="1"/>
  <c r="BT58" i="6"/>
  <c r="BU44" i="6"/>
  <c r="BW44" i="6" s="1"/>
  <c r="BT44" i="6"/>
  <c r="X48" i="6"/>
  <c r="Z48" i="6" s="1"/>
  <c r="W48" i="6"/>
  <c r="Q58" i="6"/>
  <c r="S58" i="6" s="1"/>
  <c r="P58" i="6"/>
  <c r="CP50" i="6"/>
  <c r="CR50" i="6" s="1"/>
  <c r="CO50" i="6"/>
  <c r="CP32" i="6"/>
  <c r="CR32" i="6" s="1"/>
  <c r="CO32" i="6"/>
  <c r="CP49" i="6"/>
  <c r="CR49" i="6" s="1"/>
  <c r="CO49" i="6"/>
  <c r="AS52" i="6"/>
  <c r="AU52" i="6" s="1"/>
  <c r="AR52" i="6"/>
  <c r="BN50" i="6"/>
  <c r="BP50" i="6" s="1"/>
  <c r="BM50" i="6"/>
  <c r="Q34" i="6"/>
  <c r="S34" i="6" s="1"/>
  <c r="P34" i="6"/>
  <c r="AS56" i="6"/>
  <c r="AU56" i="6" s="1"/>
  <c r="AR56" i="6"/>
  <c r="CB34" i="6"/>
  <c r="CD34" i="6" s="1"/>
  <c r="CA34" i="6"/>
  <c r="AZ36" i="6"/>
  <c r="BB36" i="6" s="1"/>
  <c r="AY36" i="6"/>
  <c r="J55" i="6"/>
  <c r="L55" i="6" s="1"/>
  <c r="I55" i="6"/>
  <c r="AZ38" i="6"/>
  <c r="BB38" i="6" s="1"/>
  <c r="AY38" i="6"/>
  <c r="I36" i="6"/>
  <c r="J36" i="6"/>
  <c r="L36" i="6" s="1"/>
  <c r="BU36" i="6"/>
  <c r="BW36" i="6" s="1"/>
  <c r="BT36" i="6"/>
  <c r="Q42" i="6"/>
  <c r="S42" i="6" s="1"/>
  <c r="P42" i="6"/>
  <c r="AZ34" i="6"/>
  <c r="BB34" i="6" s="1"/>
  <c r="AY34" i="6"/>
  <c r="CB42" i="6"/>
  <c r="CD42" i="6" s="1"/>
  <c r="CA42" i="6"/>
  <c r="AZ52" i="6"/>
  <c r="BB52" i="6" s="1"/>
  <c r="AY52" i="6"/>
  <c r="Q33" i="6"/>
  <c r="S33" i="6" s="1"/>
  <c r="P33" i="6"/>
  <c r="I56" i="6"/>
  <c r="J56" i="6"/>
  <c r="L56" i="6" s="1"/>
  <c r="BU56" i="6"/>
  <c r="BW56" i="6" s="1"/>
  <c r="BT56" i="6"/>
  <c r="AZ54" i="6"/>
  <c r="BB54" i="6" s="1"/>
  <c r="AY54" i="6"/>
  <c r="I52" i="6"/>
  <c r="J52" i="6"/>
  <c r="L52" i="6" s="1"/>
  <c r="BU52" i="6"/>
  <c r="BW52" i="6" s="1"/>
  <c r="BT52" i="6"/>
  <c r="Q50" i="6"/>
  <c r="S50" i="6" s="1"/>
  <c r="P50" i="6"/>
  <c r="AZ42" i="6"/>
  <c r="BB42" i="6" s="1"/>
  <c r="AY42" i="6"/>
  <c r="CB50" i="6"/>
  <c r="CD50" i="6" s="1"/>
  <c r="CA50" i="6"/>
  <c r="CI52" i="6"/>
  <c r="CK52" i="6" s="1"/>
  <c r="CH52" i="6"/>
  <c r="BG38" i="6"/>
  <c r="BI38" i="6" s="1"/>
  <c r="BF38" i="6"/>
  <c r="Q41" i="6"/>
  <c r="S41" i="6" s="1"/>
  <c r="P41" i="6"/>
  <c r="CP38" i="6"/>
  <c r="CR38" i="6" s="1"/>
  <c r="CO38" i="6"/>
  <c r="CP58" i="6"/>
  <c r="CR58" i="6" s="1"/>
  <c r="CO58" i="6"/>
  <c r="Q32" i="6"/>
  <c r="S32" i="6" s="1"/>
  <c r="P32" i="6"/>
  <c r="AE36" i="6"/>
  <c r="AG36" i="6" s="1"/>
  <c r="AD36" i="6"/>
  <c r="AS54" i="6"/>
  <c r="AU54" i="6" s="1"/>
  <c r="AR54" i="6"/>
  <c r="BG58" i="6"/>
  <c r="BI58" i="6" s="1"/>
  <c r="BF58" i="6"/>
  <c r="CB32" i="6"/>
  <c r="CD32" i="6" s="1"/>
  <c r="CA32" i="6"/>
  <c r="CP36" i="6"/>
  <c r="CR36" i="6" s="1"/>
  <c r="CO36" i="6"/>
  <c r="J49" i="6"/>
  <c r="L49" i="6" s="1"/>
  <c r="I49" i="6"/>
  <c r="Q51" i="6"/>
  <c r="S51" i="6" s="1"/>
  <c r="P51" i="6"/>
  <c r="AL41" i="6"/>
  <c r="AN41" i="6" s="1"/>
  <c r="AK41" i="6"/>
  <c r="BN49" i="6"/>
  <c r="BP49" i="6" s="1"/>
  <c r="BM49" i="6"/>
  <c r="CP57" i="6"/>
  <c r="CR57" i="6" s="1"/>
  <c r="CO57" i="6"/>
  <c r="CI40" i="6"/>
  <c r="CK40" i="6" s="1"/>
  <c r="CH40" i="6"/>
  <c r="CP34" i="6"/>
  <c r="CR34" i="6" s="1"/>
  <c r="CO34" i="6"/>
  <c r="I50" i="6"/>
  <c r="J50" i="6"/>
  <c r="L50" i="6" s="1"/>
  <c r="X54" i="6"/>
  <c r="Z54" i="6" s="1"/>
  <c r="W54" i="6"/>
  <c r="AS42" i="6"/>
  <c r="AU42" i="6" s="1"/>
  <c r="AR42" i="6"/>
  <c r="BG46" i="6"/>
  <c r="BI46" i="6" s="1"/>
  <c r="BF46" i="6"/>
  <c r="BU50" i="6"/>
  <c r="BW50" i="6" s="1"/>
  <c r="BT50" i="6"/>
  <c r="CI54" i="6"/>
  <c r="CK54" i="6" s="1"/>
  <c r="CH54" i="6"/>
  <c r="J43" i="6"/>
  <c r="L43" i="6" s="1"/>
  <c r="I43" i="6"/>
  <c r="Q45" i="6"/>
  <c r="S45" i="6" s="1"/>
  <c r="P45" i="6"/>
  <c r="AE33" i="6"/>
  <c r="AG33" i="6" s="1"/>
  <c r="AD33" i="6"/>
  <c r="BG55" i="6"/>
  <c r="BI55" i="6" s="1"/>
  <c r="BF55" i="6"/>
  <c r="CP33" i="6"/>
  <c r="CR33" i="6" s="1"/>
  <c r="CO33" i="6"/>
  <c r="Q56" i="6"/>
  <c r="S56" i="6" s="1"/>
  <c r="P56" i="6"/>
  <c r="AL44" i="6"/>
  <c r="AN44" i="6" s="1"/>
  <c r="AK44" i="6"/>
  <c r="AZ48" i="6"/>
  <c r="BB48" i="6" s="1"/>
  <c r="AY48" i="6"/>
  <c r="BN52" i="6"/>
  <c r="BP52" i="6" s="1"/>
  <c r="BM52" i="6"/>
  <c r="CB56" i="6"/>
  <c r="CD56" i="6" s="1"/>
  <c r="CA56" i="6"/>
  <c r="L29" i="6"/>
  <c r="M29" i="6" s="1"/>
  <c r="I29" i="6"/>
  <c r="Q31" i="6"/>
  <c r="S31" i="6" s="1"/>
  <c r="P31" i="6"/>
  <c r="X33" i="6"/>
  <c r="Z33" i="6" s="1"/>
  <c r="W33" i="6"/>
  <c r="AZ29" i="6"/>
  <c r="BB29" i="6" s="1"/>
  <c r="BC29" i="6" s="1"/>
  <c r="AY29" i="6"/>
  <c r="CB37" i="6"/>
  <c r="CD37" i="6" s="1"/>
  <c r="CA37" i="6"/>
  <c r="X49" i="6"/>
  <c r="Z49" i="6" s="1"/>
  <c r="W49" i="6"/>
  <c r="AL35" i="6"/>
  <c r="AN35" i="6" s="1"/>
  <c r="AK35" i="6"/>
  <c r="AS37" i="6"/>
  <c r="AU37" i="6" s="1"/>
  <c r="AR37" i="6"/>
  <c r="AZ39" i="6"/>
  <c r="BB39" i="6" s="1"/>
  <c r="AY39" i="6"/>
  <c r="BG41" i="6"/>
  <c r="BI41" i="6" s="1"/>
  <c r="BF41" i="6"/>
  <c r="BN43" i="6"/>
  <c r="BP43" i="6" s="1"/>
  <c r="BM43" i="6"/>
  <c r="BU45" i="6"/>
  <c r="BW45" i="6" s="1"/>
  <c r="BT45" i="6"/>
  <c r="CB47" i="6"/>
  <c r="CD47" i="6" s="1"/>
  <c r="CA47" i="6"/>
  <c r="CI49" i="6"/>
  <c r="CK49" i="6" s="1"/>
  <c r="CH49" i="6"/>
  <c r="CP51" i="6"/>
  <c r="CR51" i="6" s="1"/>
  <c r="CO51" i="6"/>
  <c r="X51" i="6"/>
  <c r="Z51" i="6" s="1"/>
  <c r="W51" i="6"/>
  <c r="AL37" i="6"/>
  <c r="AN37" i="6" s="1"/>
  <c r="AK37" i="6"/>
  <c r="AS39" i="6"/>
  <c r="AU39" i="6" s="1"/>
  <c r="AR39" i="6"/>
  <c r="AZ41" i="6"/>
  <c r="BB41" i="6" s="1"/>
  <c r="AY41" i="6"/>
  <c r="BG43" i="6"/>
  <c r="BI43" i="6" s="1"/>
  <c r="BF43" i="6"/>
  <c r="BN45" i="6"/>
  <c r="BP45" i="6" s="1"/>
  <c r="BM45" i="6"/>
  <c r="BU47" i="6"/>
  <c r="BW47" i="6" s="1"/>
  <c r="BT47" i="6"/>
  <c r="CB49" i="6"/>
  <c r="CD49" i="6" s="1"/>
  <c r="CA49" i="6"/>
  <c r="CI51" i="6"/>
  <c r="CK51" i="6" s="1"/>
  <c r="CH51" i="6"/>
  <c r="CP53" i="6"/>
  <c r="CR53" i="6" s="1"/>
  <c r="CO53" i="6"/>
  <c r="X45" i="6"/>
  <c r="Z45" i="6" s="1"/>
  <c r="W45" i="6"/>
  <c r="AL31" i="6"/>
  <c r="AN31" i="6" s="1"/>
  <c r="AK31" i="6"/>
  <c r="AS33" i="6"/>
  <c r="AU33" i="6" s="1"/>
  <c r="AR33" i="6"/>
  <c r="AZ35" i="6"/>
  <c r="BB35" i="6" s="1"/>
  <c r="AY35" i="6"/>
  <c r="BG37" i="6"/>
  <c r="BI37" i="6" s="1"/>
  <c r="BF37" i="6"/>
  <c r="BN39" i="6"/>
  <c r="BP39" i="6" s="1"/>
  <c r="BM39" i="6"/>
  <c r="BU41" i="6"/>
  <c r="BW41" i="6" s="1"/>
  <c r="BT41" i="6"/>
  <c r="CB43" i="6"/>
  <c r="CD43" i="6" s="1"/>
  <c r="CA43" i="6"/>
  <c r="CI45" i="6"/>
  <c r="CK45" i="6" s="1"/>
  <c r="CH45" i="6"/>
  <c r="CP47" i="6"/>
  <c r="CR47" i="6" s="1"/>
  <c r="CO47" i="6"/>
  <c r="AI15" i="6"/>
  <c r="AI69" i="6" s="1"/>
  <c r="AL14" i="6"/>
  <c r="AL68" i="6" s="1"/>
  <c r="AL13" i="6"/>
  <c r="AL67" i="6" s="1"/>
  <c r="G13" i="8" l="1"/>
  <c r="K13" i="8" s="1"/>
  <c r="U51" i="8" s="1"/>
  <c r="BM75" i="6"/>
  <c r="G18" i="8"/>
  <c r="K18" i="8" s="1"/>
  <c r="U56" i="8" s="1"/>
  <c r="G31" i="8"/>
  <c r="G21" i="8"/>
  <c r="K21" i="8" s="1"/>
  <c r="U59" i="8" s="1"/>
  <c r="G10" i="8"/>
  <c r="K10" i="8" s="1"/>
  <c r="U48" i="8" s="1"/>
  <c r="G40" i="8"/>
  <c r="G29" i="8"/>
  <c r="G38" i="8"/>
  <c r="G35" i="8"/>
  <c r="G19" i="8"/>
  <c r="K19" i="8" s="1"/>
  <c r="U57" i="8" s="1"/>
  <c r="G32" i="8"/>
  <c r="BM76" i="6"/>
  <c r="G37" i="8"/>
  <c r="G16" i="8"/>
  <c r="K16" i="8" s="1"/>
  <c r="U54" i="8" s="1"/>
  <c r="AK77" i="6"/>
  <c r="G12" i="8"/>
  <c r="K12" i="8" s="1"/>
  <c r="U50" i="8" s="1"/>
  <c r="G22" i="8"/>
  <c r="K22" i="8" s="1"/>
  <c r="U60" i="8" s="1"/>
  <c r="G41" i="8"/>
  <c r="G39" i="8"/>
  <c r="G20" i="8"/>
  <c r="K20" i="8" s="1"/>
  <c r="U58" i="8" s="1"/>
  <c r="G17" i="8"/>
  <c r="K17" i="8" s="1"/>
  <c r="U55" i="8" s="1"/>
  <c r="G36" i="8"/>
  <c r="G15" i="8"/>
  <c r="K15" i="8" s="1"/>
  <c r="U53" i="8" s="1"/>
  <c r="G34" i="8"/>
  <c r="AK75" i="6"/>
  <c r="G14" i="8"/>
  <c r="K14" i="8" s="1"/>
  <c r="AK76" i="6"/>
  <c r="G33" i="8"/>
  <c r="G30" i="8"/>
  <c r="G11" i="8"/>
  <c r="K11" i="8" s="1"/>
  <c r="U49" i="8" s="1"/>
  <c r="BX31" i="6"/>
  <c r="BX32" i="6" s="1"/>
  <c r="BX33" i="6" s="1"/>
  <c r="BX34" i="6" s="1"/>
  <c r="BX35" i="6" s="1"/>
  <c r="BX36" i="6" s="1"/>
  <c r="BX37" i="6" s="1"/>
  <c r="BX38" i="6" s="1"/>
  <c r="BX39" i="6" s="1"/>
  <c r="BX40" i="6" s="1"/>
  <c r="BX41" i="6" s="1"/>
  <c r="BX42" i="6" s="1"/>
  <c r="BX43" i="6" s="1"/>
  <c r="BX44" i="6" s="1"/>
  <c r="BX45" i="6" s="1"/>
  <c r="BX46" i="6" s="1"/>
  <c r="BX47" i="6" s="1"/>
  <c r="BX48" i="6" s="1"/>
  <c r="BX49" i="6" s="1"/>
  <c r="BX50" i="6" s="1"/>
  <c r="BX51" i="6" s="1"/>
  <c r="BX52" i="6" s="1"/>
  <c r="BX53" i="6" s="1"/>
  <c r="BX54" i="6" s="1"/>
  <c r="BX55" i="6" s="1"/>
  <c r="BX56" i="6" s="1"/>
  <c r="BX57" i="6" s="1"/>
  <c r="BX58" i="6" s="1"/>
  <c r="CS30" i="6"/>
  <c r="CS31" i="6" s="1"/>
  <c r="T30" i="6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G23" i="6"/>
  <c r="G22" i="6"/>
  <c r="E29" i="8" s="1"/>
  <c r="AA27" i="8" s="1"/>
  <c r="G21" i="6"/>
  <c r="E10" i="8" s="1"/>
  <c r="AB23" i="6"/>
  <c r="AB22" i="6"/>
  <c r="E32" i="8" s="1"/>
  <c r="AA30" i="8" s="1"/>
  <c r="AB21" i="6"/>
  <c r="E13" i="8" s="1"/>
  <c r="AV30" i="6"/>
  <c r="AV31" i="6" s="1"/>
  <c r="AV32" i="6" s="1"/>
  <c r="AV33" i="6" s="1"/>
  <c r="AV34" i="6" s="1"/>
  <c r="AV35" i="6" s="1"/>
  <c r="AV36" i="6" s="1"/>
  <c r="AV37" i="6" s="1"/>
  <c r="AV38" i="6" s="1"/>
  <c r="AV39" i="6" s="1"/>
  <c r="AV40" i="6" s="1"/>
  <c r="AV41" i="6" s="1"/>
  <c r="AV42" i="6" s="1"/>
  <c r="AV43" i="6" s="1"/>
  <c r="AV44" i="6" s="1"/>
  <c r="AV45" i="6" s="1"/>
  <c r="AV46" i="6" s="1"/>
  <c r="AV47" i="6" s="1"/>
  <c r="AV48" i="6" s="1"/>
  <c r="AV49" i="6" s="1"/>
  <c r="AV50" i="6" s="1"/>
  <c r="AV51" i="6" s="1"/>
  <c r="AV52" i="6" s="1"/>
  <c r="AV53" i="6" s="1"/>
  <c r="AV54" i="6" s="1"/>
  <c r="AV55" i="6" s="1"/>
  <c r="AV56" i="6" s="1"/>
  <c r="AV57" i="6" s="1"/>
  <c r="AV58" i="6" s="1"/>
  <c r="BK22" i="6"/>
  <c r="BK23" i="6"/>
  <c r="BM23" i="6" s="1"/>
  <c r="BK21" i="6"/>
  <c r="BR21" i="6"/>
  <c r="E19" i="8" s="1"/>
  <c r="BR23" i="6"/>
  <c r="BR22" i="6"/>
  <c r="E38" i="8" s="1"/>
  <c r="AA36" i="8" s="1"/>
  <c r="BY21" i="6"/>
  <c r="E20" i="8" s="1"/>
  <c r="BY23" i="6"/>
  <c r="BY22" i="6"/>
  <c r="E39" i="8" s="1"/>
  <c r="AA37" i="8" s="1"/>
  <c r="M30" i="6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CL30" i="6"/>
  <c r="CL31" i="6" s="1"/>
  <c r="CL32" i="6" s="1"/>
  <c r="CL33" i="6" s="1"/>
  <c r="CL34" i="6" s="1"/>
  <c r="CL35" i="6" s="1"/>
  <c r="CL36" i="6" s="1"/>
  <c r="CL37" i="6" s="1"/>
  <c r="CL38" i="6" s="1"/>
  <c r="CL39" i="6" s="1"/>
  <c r="CL40" i="6" s="1"/>
  <c r="CL41" i="6" s="1"/>
  <c r="CL42" i="6" s="1"/>
  <c r="CL43" i="6" s="1"/>
  <c r="CL44" i="6" s="1"/>
  <c r="CL45" i="6" s="1"/>
  <c r="CL46" i="6" s="1"/>
  <c r="CL47" i="6" s="1"/>
  <c r="CL48" i="6" s="1"/>
  <c r="CL49" i="6" s="1"/>
  <c r="CL50" i="6" s="1"/>
  <c r="CL51" i="6" s="1"/>
  <c r="CL52" i="6" s="1"/>
  <c r="CL53" i="6" s="1"/>
  <c r="CL54" i="6" s="1"/>
  <c r="CL55" i="6" s="1"/>
  <c r="CL56" i="6" s="1"/>
  <c r="CL57" i="6" s="1"/>
  <c r="CL58" i="6" s="1"/>
  <c r="CE30" i="6"/>
  <c r="CE31" i="6" s="1"/>
  <c r="CE32" i="6" s="1"/>
  <c r="CE33" i="6" s="1"/>
  <c r="CE34" i="6" s="1"/>
  <c r="CE35" i="6" s="1"/>
  <c r="CE36" i="6" s="1"/>
  <c r="CE37" i="6" s="1"/>
  <c r="CE38" i="6" s="1"/>
  <c r="CE39" i="6" s="1"/>
  <c r="CE40" i="6" s="1"/>
  <c r="CE41" i="6" s="1"/>
  <c r="CE42" i="6" s="1"/>
  <c r="CE43" i="6" s="1"/>
  <c r="CE44" i="6" s="1"/>
  <c r="CE45" i="6" s="1"/>
  <c r="CE46" i="6" s="1"/>
  <c r="CE47" i="6" s="1"/>
  <c r="CE48" i="6" s="1"/>
  <c r="CE49" i="6" s="1"/>
  <c r="CE50" i="6" s="1"/>
  <c r="CE51" i="6" s="1"/>
  <c r="CE52" i="6" s="1"/>
  <c r="CE53" i="6" s="1"/>
  <c r="CE54" i="6" s="1"/>
  <c r="CE55" i="6" s="1"/>
  <c r="CE56" i="6" s="1"/>
  <c r="CE57" i="6" s="1"/>
  <c r="CE58" i="6" s="1"/>
  <c r="AA30" i="6"/>
  <c r="AA31" i="6" s="1"/>
  <c r="AA32" i="6" s="1"/>
  <c r="AA33" i="6" s="1"/>
  <c r="AA34" i="6" s="1"/>
  <c r="AA35" i="6" s="1"/>
  <c r="AA36" i="6" s="1"/>
  <c r="AA37" i="6" s="1"/>
  <c r="AA38" i="6" s="1"/>
  <c r="AA39" i="6" s="1"/>
  <c r="AA40" i="6" s="1"/>
  <c r="AA41" i="6" s="1"/>
  <c r="AA42" i="6" s="1"/>
  <c r="AA43" i="6" s="1"/>
  <c r="AA44" i="6" s="1"/>
  <c r="AA45" i="6" s="1"/>
  <c r="AA46" i="6" s="1"/>
  <c r="AA47" i="6" s="1"/>
  <c r="AA48" i="6" s="1"/>
  <c r="AA49" i="6" s="1"/>
  <c r="AA50" i="6" s="1"/>
  <c r="AA51" i="6" s="1"/>
  <c r="AA52" i="6" s="1"/>
  <c r="AA53" i="6" s="1"/>
  <c r="AA54" i="6" s="1"/>
  <c r="AA55" i="6" s="1"/>
  <c r="AA56" i="6" s="1"/>
  <c r="AA57" i="6" s="1"/>
  <c r="AA58" i="6" s="1"/>
  <c r="CF21" i="6"/>
  <c r="E21" i="8" s="1"/>
  <c r="CF23" i="6"/>
  <c r="CF22" i="6"/>
  <c r="E40" i="8" s="1"/>
  <c r="AA38" i="8" s="1"/>
  <c r="U22" i="6"/>
  <c r="E31" i="8" s="1"/>
  <c r="AA29" i="8" s="1"/>
  <c r="U23" i="6"/>
  <c r="U21" i="6"/>
  <c r="E12" i="8" s="1"/>
  <c r="CS32" i="6"/>
  <c r="CS33" i="6" s="1"/>
  <c r="CS34" i="6" s="1"/>
  <c r="CS35" i="6" s="1"/>
  <c r="CS36" i="6" s="1"/>
  <c r="CS37" i="6" s="1"/>
  <c r="CS38" i="6" s="1"/>
  <c r="CS39" i="6" s="1"/>
  <c r="CS40" i="6" s="1"/>
  <c r="CS41" i="6" s="1"/>
  <c r="CS42" i="6" s="1"/>
  <c r="CS43" i="6" s="1"/>
  <c r="CS44" i="6" s="1"/>
  <c r="CS45" i="6" s="1"/>
  <c r="CS46" i="6" s="1"/>
  <c r="CS47" i="6" s="1"/>
  <c r="CS48" i="6" s="1"/>
  <c r="CS49" i="6" s="1"/>
  <c r="CS50" i="6" s="1"/>
  <c r="CS51" i="6" s="1"/>
  <c r="CS52" i="6" s="1"/>
  <c r="CS53" i="6" s="1"/>
  <c r="CS54" i="6" s="1"/>
  <c r="CS55" i="6" s="1"/>
  <c r="CS56" i="6" s="1"/>
  <c r="CS57" i="6" s="1"/>
  <c r="CS58" i="6" s="1"/>
  <c r="BJ30" i="6"/>
  <c r="BJ31" i="6" s="1"/>
  <c r="BJ32" i="6" s="1"/>
  <c r="BJ33" i="6" s="1"/>
  <c r="BJ34" i="6" s="1"/>
  <c r="BJ35" i="6" s="1"/>
  <c r="BJ36" i="6" s="1"/>
  <c r="BJ37" i="6" s="1"/>
  <c r="BJ38" i="6" s="1"/>
  <c r="BJ39" i="6" s="1"/>
  <c r="BJ40" i="6" s="1"/>
  <c r="BJ41" i="6" s="1"/>
  <c r="BJ42" i="6" s="1"/>
  <c r="BJ43" i="6" s="1"/>
  <c r="BJ44" i="6" s="1"/>
  <c r="BJ45" i="6" s="1"/>
  <c r="BJ46" i="6" s="1"/>
  <c r="BJ47" i="6" s="1"/>
  <c r="BJ48" i="6" s="1"/>
  <c r="BJ49" i="6" s="1"/>
  <c r="BJ50" i="6" s="1"/>
  <c r="BJ51" i="6" s="1"/>
  <c r="BJ52" i="6" s="1"/>
  <c r="BJ53" i="6" s="1"/>
  <c r="BJ54" i="6" s="1"/>
  <c r="BJ55" i="6" s="1"/>
  <c r="BJ56" i="6" s="1"/>
  <c r="BJ57" i="6" s="1"/>
  <c r="BJ58" i="6" s="1"/>
  <c r="BQ30" i="6"/>
  <c r="BQ31" i="6" s="1"/>
  <c r="BQ32" i="6" s="1"/>
  <c r="BQ33" i="6" s="1"/>
  <c r="BQ34" i="6" s="1"/>
  <c r="BQ35" i="6" s="1"/>
  <c r="BQ36" i="6" s="1"/>
  <c r="BQ37" i="6" s="1"/>
  <c r="BQ38" i="6" s="1"/>
  <c r="BQ39" i="6" s="1"/>
  <c r="BQ40" i="6" s="1"/>
  <c r="BQ41" i="6" s="1"/>
  <c r="BQ42" i="6" s="1"/>
  <c r="BQ43" i="6" s="1"/>
  <c r="BQ44" i="6" s="1"/>
  <c r="BQ45" i="6" s="1"/>
  <c r="BQ46" i="6" s="1"/>
  <c r="BQ47" i="6" s="1"/>
  <c r="BQ48" i="6" s="1"/>
  <c r="BQ49" i="6" s="1"/>
  <c r="BQ50" i="6" s="1"/>
  <c r="BQ51" i="6" s="1"/>
  <c r="BQ52" i="6" s="1"/>
  <c r="BQ53" i="6" s="1"/>
  <c r="BQ54" i="6" s="1"/>
  <c r="BQ55" i="6" s="1"/>
  <c r="BQ56" i="6" s="1"/>
  <c r="BQ57" i="6" s="1"/>
  <c r="BQ58" i="6" s="1"/>
  <c r="CM21" i="6"/>
  <c r="E22" i="8" s="1"/>
  <c r="CM23" i="6"/>
  <c r="CM22" i="6"/>
  <c r="E41" i="8" s="1"/>
  <c r="AA39" i="8" s="1"/>
  <c r="AW22" i="6"/>
  <c r="E35" i="8" s="1"/>
  <c r="AA33" i="8" s="1"/>
  <c r="AW23" i="6"/>
  <c r="AW21" i="6"/>
  <c r="E16" i="8" s="1"/>
  <c r="BD23" i="6"/>
  <c r="BD21" i="6"/>
  <c r="E17" i="8" s="1"/>
  <c r="BD22" i="6"/>
  <c r="E36" i="8" s="1"/>
  <c r="AA34" i="8" s="1"/>
  <c r="AI23" i="6"/>
  <c r="AK23" i="6" s="1"/>
  <c r="AI22" i="6"/>
  <c r="AI21" i="6"/>
  <c r="E14" i="8" s="1"/>
  <c r="AP22" i="6"/>
  <c r="E34" i="8" s="1"/>
  <c r="AA32" i="8" s="1"/>
  <c r="AP21" i="6"/>
  <c r="E15" i="8" s="1"/>
  <c r="AP23" i="6"/>
  <c r="N21" i="6"/>
  <c r="N23" i="6"/>
  <c r="N22" i="6"/>
  <c r="E30" i="8" s="1"/>
  <c r="AA28" i="8" s="1"/>
  <c r="AO30" i="6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BC30" i="6"/>
  <c r="BC31" i="6" s="1"/>
  <c r="BC32" i="6" s="1"/>
  <c r="BC33" i="6" s="1"/>
  <c r="BC34" i="6" s="1"/>
  <c r="BC35" i="6" s="1"/>
  <c r="BC36" i="6" s="1"/>
  <c r="BC37" i="6" s="1"/>
  <c r="BC38" i="6" s="1"/>
  <c r="BC39" i="6" s="1"/>
  <c r="BC40" i="6" s="1"/>
  <c r="BC41" i="6" s="1"/>
  <c r="BC42" i="6" s="1"/>
  <c r="BC43" i="6" s="1"/>
  <c r="BC44" i="6" s="1"/>
  <c r="BC45" i="6" s="1"/>
  <c r="BC46" i="6" s="1"/>
  <c r="BC47" i="6" s="1"/>
  <c r="BC48" i="6" s="1"/>
  <c r="BC49" i="6" s="1"/>
  <c r="BC50" i="6" s="1"/>
  <c r="BC51" i="6" s="1"/>
  <c r="BC52" i="6" s="1"/>
  <c r="BC53" i="6" s="1"/>
  <c r="BC54" i="6" s="1"/>
  <c r="BC55" i="6" s="1"/>
  <c r="BC56" i="6" s="1"/>
  <c r="BC57" i="6" s="1"/>
  <c r="BC58" i="6" s="1"/>
  <c r="AH30" i="6"/>
  <c r="AH31" i="6" s="1"/>
  <c r="AH32" i="6" s="1"/>
  <c r="AH33" i="6" s="1"/>
  <c r="AH34" i="6" s="1"/>
  <c r="AH35" i="6" s="1"/>
  <c r="AH36" i="6" s="1"/>
  <c r="AH37" i="6" s="1"/>
  <c r="AH38" i="6" s="1"/>
  <c r="AH39" i="6" s="1"/>
  <c r="AH40" i="6" s="1"/>
  <c r="AH41" i="6" s="1"/>
  <c r="AH42" i="6" s="1"/>
  <c r="AH43" i="6" s="1"/>
  <c r="AH44" i="6" s="1"/>
  <c r="AH45" i="6" s="1"/>
  <c r="AH46" i="6" s="1"/>
  <c r="AH47" i="6" s="1"/>
  <c r="AH48" i="6" s="1"/>
  <c r="AH49" i="6" s="1"/>
  <c r="AH50" i="6" s="1"/>
  <c r="AH51" i="6" s="1"/>
  <c r="AH52" i="6" s="1"/>
  <c r="AH53" i="6" s="1"/>
  <c r="AH54" i="6" s="1"/>
  <c r="AH55" i="6" s="1"/>
  <c r="AH56" i="6" s="1"/>
  <c r="AH57" i="6" s="1"/>
  <c r="AH58" i="6" s="1"/>
  <c r="CM15" i="6"/>
  <c r="CF15" i="6"/>
  <c r="BY15" i="6"/>
  <c r="BR15" i="6"/>
  <c r="BD15" i="6"/>
  <c r="AW15" i="6"/>
  <c r="AP15" i="6"/>
  <c r="AB15" i="6"/>
  <c r="U15" i="6"/>
  <c r="N15" i="6"/>
  <c r="G15" i="6"/>
  <c r="I77" i="6" s="1"/>
  <c r="CP14" i="6"/>
  <c r="CP68" i="6" s="1"/>
  <c r="CI14" i="6"/>
  <c r="CI68" i="6" s="1"/>
  <c r="BU14" i="6"/>
  <c r="BU68" i="6" s="1"/>
  <c r="BN14" i="6"/>
  <c r="BN68" i="6" s="1"/>
  <c r="BG14" i="6"/>
  <c r="BG68" i="6" s="1"/>
  <c r="AZ14" i="6"/>
  <c r="AZ68" i="6" s="1"/>
  <c r="AS14" i="6"/>
  <c r="AS68" i="6" s="1"/>
  <c r="AE14" i="6"/>
  <c r="AE68" i="6" s="1"/>
  <c r="X14" i="6"/>
  <c r="X68" i="6" s="1"/>
  <c r="Q14" i="6"/>
  <c r="Q68" i="6" s="1"/>
  <c r="J14" i="6"/>
  <c r="J68" i="6" s="1"/>
  <c r="CP13" i="6"/>
  <c r="CP67" i="6" s="1"/>
  <c r="CI13" i="6"/>
  <c r="CI67" i="6" s="1"/>
  <c r="BN13" i="6"/>
  <c r="BN67" i="6" s="1"/>
  <c r="BG13" i="6"/>
  <c r="BG67" i="6" s="1"/>
  <c r="AZ13" i="6"/>
  <c r="AZ67" i="6" s="1"/>
  <c r="AS13" i="6"/>
  <c r="AS67" i="6" s="1"/>
  <c r="AE13" i="6"/>
  <c r="AE67" i="6" s="1"/>
  <c r="X13" i="6"/>
  <c r="X67" i="6" s="1"/>
  <c r="Q13" i="6"/>
  <c r="Q67" i="6" s="1"/>
  <c r="J13" i="6"/>
  <c r="J67" i="6" s="1"/>
  <c r="AR75" i="6" l="1"/>
  <c r="AP69" i="6"/>
  <c r="CA77" i="6"/>
  <c r="BY69" i="6"/>
  <c r="P76" i="6"/>
  <c r="N69" i="6"/>
  <c r="AY76" i="6"/>
  <c r="AW69" i="6"/>
  <c r="CH75" i="6"/>
  <c r="CF69" i="6"/>
  <c r="W76" i="6"/>
  <c r="U69" i="6"/>
  <c r="BF75" i="6"/>
  <c r="BD69" i="6"/>
  <c r="CO75" i="6"/>
  <c r="CM69" i="6"/>
  <c r="AD75" i="6"/>
  <c r="AB69" i="6"/>
  <c r="BT77" i="6"/>
  <c r="BR69" i="6"/>
  <c r="I22" i="8"/>
  <c r="Y39" i="8"/>
  <c r="I13" i="8"/>
  <c r="Y30" i="8"/>
  <c r="I17" i="8"/>
  <c r="Y34" i="8"/>
  <c r="I12" i="8"/>
  <c r="Y29" i="8"/>
  <c r="I20" i="8"/>
  <c r="Y37" i="8"/>
  <c r="I14" i="8"/>
  <c r="Z31" i="8" s="1"/>
  <c r="Y31" i="8"/>
  <c r="I21" i="8"/>
  <c r="Y38" i="8"/>
  <c r="I15" i="8"/>
  <c r="Y32" i="8"/>
  <c r="I16" i="8"/>
  <c r="Y33" i="8"/>
  <c r="I19" i="8"/>
  <c r="Y36" i="8"/>
  <c r="I10" i="8"/>
  <c r="Y27" i="8"/>
  <c r="E11" i="8"/>
  <c r="P21" i="6"/>
  <c r="AK21" i="6"/>
  <c r="P75" i="6"/>
  <c r="W77" i="6"/>
  <c r="BF76" i="6"/>
  <c r="W75" i="6"/>
  <c r="CO76" i="6"/>
  <c r="I76" i="6"/>
  <c r="P77" i="6"/>
  <c r="CO77" i="6"/>
  <c r="AY77" i="6"/>
  <c r="BF77" i="6"/>
  <c r="BM22" i="6"/>
  <c r="E37" i="8"/>
  <c r="AA35" i="8" s="1"/>
  <c r="BT75" i="6"/>
  <c r="CA75" i="6"/>
  <c r="AR77" i="6"/>
  <c r="P32" i="8"/>
  <c r="K32" i="8"/>
  <c r="P51" i="8" s="1"/>
  <c r="P35" i="8"/>
  <c r="S35" i="8"/>
  <c r="K35" i="8"/>
  <c r="P54" i="8" s="1"/>
  <c r="K38" i="8"/>
  <c r="P57" i="8" s="1"/>
  <c r="P38" i="8"/>
  <c r="S38" i="8"/>
  <c r="AD77" i="6"/>
  <c r="I75" i="6"/>
  <c r="P31" i="8"/>
  <c r="S31" i="8"/>
  <c r="K31" i="8"/>
  <c r="P50" i="8" s="1"/>
  <c r="BM21" i="6"/>
  <c r="E18" i="8"/>
  <c r="I29" i="8"/>
  <c r="N29" i="8"/>
  <c r="AY75" i="6"/>
  <c r="K37" i="8"/>
  <c r="P56" i="8" s="1"/>
  <c r="P37" i="8"/>
  <c r="S37" i="8"/>
  <c r="AD76" i="6"/>
  <c r="BT76" i="6"/>
  <c r="K40" i="8"/>
  <c r="P59" i="8" s="1"/>
  <c r="P40" i="8"/>
  <c r="S40" i="8"/>
  <c r="N31" i="8"/>
  <c r="I31" i="8"/>
  <c r="I40" i="8"/>
  <c r="N40" i="8"/>
  <c r="AR76" i="6"/>
  <c r="N35" i="8"/>
  <c r="I35" i="8"/>
  <c r="N38" i="8"/>
  <c r="I38" i="8"/>
  <c r="N32" i="8"/>
  <c r="CA76" i="6"/>
  <c r="CH77" i="6"/>
  <c r="K29" i="8"/>
  <c r="P48" i="8" s="1"/>
  <c r="P29" i="8"/>
  <c r="S29" i="8"/>
  <c r="CH76" i="6"/>
  <c r="N41" i="8"/>
  <c r="I41" i="8"/>
  <c r="P41" i="8"/>
  <c r="S41" i="8"/>
  <c r="K41" i="8"/>
  <c r="P60" i="8" s="1"/>
  <c r="N39" i="8"/>
  <c r="I39" i="8"/>
  <c r="P39" i="8"/>
  <c r="S39" i="8"/>
  <c r="K39" i="8"/>
  <c r="P58" i="8" s="1"/>
  <c r="I36" i="8"/>
  <c r="N36" i="8"/>
  <c r="P36" i="8"/>
  <c r="S36" i="8"/>
  <c r="K36" i="8"/>
  <c r="P55" i="8" s="1"/>
  <c r="P34" i="8"/>
  <c r="S34" i="8"/>
  <c r="K34" i="8"/>
  <c r="P53" i="8" s="1"/>
  <c r="N34" i="8"/>
  <c r="I34" i="8"/>
  <c r="AK22" i="6"/>
  <c r="E33" i="8"/>
  <c r="AA31" i="8" s="1"/>
  <c r="K33" i="8"/>
  <c r="P52" i="8" s="1"/>
  <c r="P33" i="8"/>
  <c r="K30" i="8"/>
  <c r="P49" i="8" s="1"/>
  <c r="P30" i="8"/>
  <c r="S30" i="8"/>
  <c r="I30" i="8"/>
  <c r="S32" i="8"/>
  <c r="I32" i="8"/>
  <c r="AB30" i="8" s="1"/>
  <c r="AD23" i="6"/>
  <c r="AD21" i="6"/>
  <c r="AD22" i="6"/>
  <c r="AR22" i="6"/>
  <c r="AR23" i="6"/>
  <c r="AR21" i="6"/>
  <c r="P23" i="6"/>
  <c r="P22" i="6"/>
  <c r="AY23" i="6"/>
  <c r="AY22" i="6"/>
  <c r="AY21" i="6"/>
  <c r="CH22" i="6"/>
  <c r="CH23" i="6"/>
  <c r="CH21" i="6"/>
  <c r="BT23" i="6"/>
  <c r="BT21" i="6"/>
  <c r="BT22" i="6"/>
  <c r="G69" i="6"/>
  <c r="I21" i="6"/>
  <c r="I22" i="6"/>
  <c r="I23" i="6"/>
  <c r="CA22" i="6"/>
  <c r="CA23" i="6"/>
  <c r="CA21" i="6"/>
  <c r="W21" i="6"/>
  <c r="W23" i="6"/>
  <c r="W22" i="6"/>
  <c r="BF22" i="6"/>
  <c r="BF23" i="6"/>
  <c r="BF21" i="6"/>
  <c r="CO22" i="6"/>
  <c r="CO23" i="6"/>
  <c r="CO21" i="6"/>
  <c r="BO15" i="5"/>
  <c r="BO64" i="5" s="1"/>
  <c r="BJ15" i="5"/>
  <c r="BJ64" i="5" s="1"/>
  <c r="BE15" i="5"/>
  <c r="AZ15" i="5"/>
  <c r="AU15" i="5"/>
  <c r="AP15" i="5"/>
  <c r="AP64" i="5" s="1"/>
  <c r="AK15" i="5"/>
  <c r="AK64" i="5" s="1"/>
  <c r="AF15" i="5"/>
  <c r="AF64" i="5" s="1"/>
  <c r="V15" i="5"/>
  <c r="Q15" i="5"/>
  <c r="Q64" i="5" s="1"/>
  <c r="L15" i="5"/>
  <c r="L64" i="5" s="1"/>
  <c r="G15" i="5"/>
  <c r="G64" i="5" s="1"/>
  <c r="N60" i="8" l="1"/>
  <c r="AB39" i="8"/>
  <c r="N48" i="8"/>
  <c r="AB27" i="8"/>
  <c r="N57" i="8"/>
  <c r="AB36" i="8"/>
  <c r="I18" i="8"/>
  <c r="Y35" i="8"/>
  <c r="I11" i="8"/>
  <c r="Y28" i="8"/>
  <c r="S57" i="8"/>
  <c r="Z36" i="8"/>
  <c r="S53" i="8"/>
  <c r="Z32" i="8"/>
  <c r="S50" i="8"/>
  <c r="Z29" i="8"/>
  <c r="S51" i="8"/>
  <c r="Z30" i="8"/>
  <c r="N50" i="8"/>
  <c r="AB29" i="8"/>
  <c r="N49" i="8"/>
  <c r="AB28" i="8"/>
  <c r="N53" i="8"/>
  <c r="AB32" i="8"/>
  <c r="N55" i="8"/>
  <c r="AB34" i="8"/>
  <c r="N58" i="8"/>
  <c r="AB37" i="8"/>
  <c r="N54" i="8"/>
  <c r="AB33" i="8"/>
  <c r="N59" i="8"/>
  <c r="AB38" i="8"/>
  <c r="S48" i="8"/>
  <c r="Z27" i="8"/>
  <c r="S54" i="8"/>
  <c r="Z33" i="8"/>
  <c r="S59" i="8"/>
  <c r="Z38" i="8"/>
  <c r="S58" i="8"/>
  <c r="Z37" i="8"/>
  <c r="S55" i="8"/>
  <c r="Z34" i="8"/>
  <c r="S60" i="8"/>
  <c r="Z39" i="8"/>
  <c r="N30" i="8"/>
  <c r="I37" i="8"/>
  <c r="N37" i="8"/>
  <c r="I33" i="8"/>
  <c r="N33" i="8"/>
  <c r="S33" i="8"/>
  <c r="N51" i="8"/>
  <c r="I70" i="5"/>
  <c r="I71" i="5"/>
  <c r="I72" i="5"/>
  <c r="AM72" i="5"/>
  <c r="AM70" i="5"/>
  <c r="AM71" i="5"/>
  <c r="S72" i="5"/>
  <c r="S70" i="5"/>
  <c r="S71" i="5"/>
  <c r="AR71" i="5"/>
  <c r="AR72" i="5"/>
  <c r="AR70" i="5"/>
  <c r="BL71" i="5"/>
  <c r="BL70" i="5"/>
  <c r="BL72" i="5"/>
  <c r="AH72" i="5"/>
  <c r="AH70" i="5"/>
  <c r="AH71" i="5"/>
  <c r="N71" i="5"/>
  <c r="N72" i="5"/>
  <c r="N70" i="5"/>
  <c r="BQ70" i="5"/>
  <c r="BQ72" i="5"/>
  <c r="BQ71" i="5"/>
  <c r="BJ22" i="5"/>
  <c r="BJ23" i="5"/>
  <c r="BL23" i="5" s="1"/>
  <c r="BJ21" i="5"/>
  <c r="L23" i="5"/>
  <c r="N23" i="5" s="1"/>
  <c r="L22" i="5"/>
  <c r="L21" i="5"/>
  <c r="BO23" i="5"/>
  <c r="BQ23" i="5" s="1"/>
  <c r="BO22" i="5"/>
  <c r="BO21" i="5"/>
  <c r="Q23" i="5"/>
  <c r="S23" i="5" s="1"/>
  <c r="Q22" i="5"/>
  <c r="Q21" i="5"/>
  <c r="AK21" i="5"/>
  <c r="AK23" i="5"/>
  <c r="AM23" i="5" s="1"/>
  <c r="AK22" i="5"/>
  <c r="AF21" i="5"/>
  <c r="AF23" i="5"/>
  <c r="AH23" i="5" s="1"/>
  <c r="AF22" i="5"/>
  <c r="AZ64" i="5"/>
  <c r="BE64" i="5"/>
  <c r="AP22" i="5"/>
  <c r="AP23" i="5"/>
  <c r="AR23" i="5" s="1"/>
  <c r="AP21" i="5"/>
  <c r="V64" i="5"/>
  <c r="AU64" i="5"/>
  <c r="BQ14" i="5"/>
  <c r="BQ63" i="5" s="1"/>
  <c r="BL14" i="5"/>
  <c r="BL63" i="5" s="1"/>
  <c r="BG14" i="5"/>
  <c r="BG63" i="5" s="1"/>
  <c r="BB14" i="5"/>
  <c r="BB63" i="5" s="1"/>
  <c r="AW14" i="5"/>
  <c r="AW63" i="5" s="1"/>
  <c r="AR14" i="5"/>
  <c r="AR63" i="5" s="1"/>
  <c r="AM14" i="5"/>
  <c r="AM63" i="5" s="1"/>
  <c r="AH14" i="5"/>
  <c r="AH63" i="5" s="1"/>
  <c r="X14" i="5"/>
  <c r="X63" i="5" s="1"/>
  <c r="S14" i="5"/>
  <c r="S63" i="5" s="1"/>
  <c r="N14" i="5"/>
  <c r="N63" i="5" s="1"/>
  <c r="I14" i="5"/>
  <c r="BQ13" i="5"/>
  <c r="BQ62" i="5" s="1"/>
  <c r="BJ17" i="5"/>
  <c r="BL13" i="5"/>
  <c r="BL62" i="5" s="1"/>
  <c r="BE17" i="5"/>
  <c r="BG13" i="5"/>
  <c r="BG62" i="5" s="1"/>
  <c r="AZ17" i="5"/>
  <c r="BB13" i="5"/>
  <c r="BB62" i="5" s="1"/>
  <c r="AU17" i="5"/>
  <c r="AW13" i="5"/>
  <c r="AW62" i="5" s="1"/>
  <c r="AP17" i="5"/>
  <c r="AR13" i="5"/>
  <c r="AR62" i="5" s="1"/>
  <c r="AK17" i="5"/>
  <c r="AM13" i="5"/>
  <c r="AM62" i="5" s="1"/>
  <c r="AF17" i="5"/>
  <c r="AH13" i="5"/>
  <c r="AH62" i="5" s="1"/>
  <c r="V17" i="5"/>
  <c r="X13" i="5"/>
  <c r="X62" i="5" s="1"/>
  <c r="Q17" i="5"/>
  <c r="S13" i="5"/>
  <c r="S62" i="5" s="1"/>
  <c r="L17" i="5"/>
  <c r="N13" i="5"/>
  <c r="N62" i="5" s="1"/>
  <c r="I13" i="5"/>
  <c r="I62" i="5" s="1"/>
  <c r="L66" i="5" l="1"/>
  <c r="AK66" i="5"/>
  <c r="AU66" i="5"/>
  <c r="BE66" i="5"/>
  <c r="Q66" i="5"/>
  <c r="AF66" i="5"/>
  <c r="AP66" i="5"/>
  <c r="BJ66" i="5"/>
  <c r="N52" i="8"/>
  <c r="AB31" i="8"/>
  <c r="S56" i="8"/>
  <c r="Z35" i="8"/>
  <c r="N56" i="8"/>
  <c r="AB35" i="8"/>
  <c r="S49" i="8"/>
  <c r="Z28" i="8"/>
  <c r="AM21" i="5"/>
  <c r="D16" i="8"/>
  <c r="BQ21" i="5"/>
  <c r="D22" i="8"/>
  <c r="AH21" i="5"/>
  <c r="D15" i="8"/>
  <c r="S21" i="5"/>
  <c r="D12" i="8"/>
  <c r="N21" i="5"/>
  <c r="D11" i="8"/>
  <c r="AR21" i="5"/>
  <c r="D17" i="8"/>
  <c r="BL21" i="5"/>
  <c r="D21" i="8"/>
  <c r="N22" i="5"/>
  <c r="D30" i="8"/>
  <c r="BQ22" i="5"/>
  <c r="D41" i="8"/>
  <c r="AH22" i="5"/>
  <c r="D34" i="8"/>
  <c r="AR22" i="5"/>
  <c r="D36" i="8"/>
  <c r="BL22" i="5"/>
  <c r="D40" i="8"/>
  <c r="AM22" i="5"/>
  <c r="D35" i="8"/>
  <c r="S22" i="5"/>
  <c r="D31" i="8"/>
  <c r="I63" i="5"/>
  <c r="G23" i="5"/>
  <c r="I23" i="5" s="1"/>
  <c r="AZ66" i="5"/>
  <c r="V25" i="4"/>
  <c r="U25" i="4"/>
  <c r="AA19" i="8" l="1"/>
  <c r="H17" i="8"/>
  <c r="Y15" i="8"/>
  <c r="H22" i="8"/>
  <c r="Y20" i="8"/>
  <c r="AA13" i="8"/>
  <c r="H12" i="8"/>
  <c r="Z10" i="8" s="1"/>
  <c r="Y10" i="8"/>
  <c r="AA15" i="8"/>
  <c r="H21" i="8"/>
  <c r="Y19" i="8"/>
  <c r="H16" i="8"/>
  <c r="Y14" i="8"/>
  <c r="AA10" i="8"/>
  <c r="AA9" i="8"/>
  <c r="AA14" i="8"/>
  <c r="AA20" i="8"/>
  <c r="H11" i="8"/>
  <c r="Y9" i="8"/>
  <c r="H15" i="8"/>
  <c r="Y13" i="8"/>
  <c r="M31" i="8"/>
  <c r="R31" i="8"/>
  <c r="H31" i="8"/>
  <c r="AB10" i="8" s="1"/>
  <c r="M40" i="8"/>
  <c r="R40" i="8"/>
  <c r="H40" i="8"/>
  <c r="M30" i="8"/>
  <c r="H30" i="8"/>
  <c r="R30" i="8"/>
  <c r="R35" i="8"/>
  <c r="M35" i="8"/>
  <c r="H35" i="8"/>
  <c r="M36" i="8"/>
  <c r="R36" i="8"/>
  <c r="H36" i="8"/>
  <c r="M41" i="8"/>
  <c r="R41" i="8"/>
  <c r="H41" i="8"/>
  <c r="M34" i="8"/>
  <c r="R34" i="8"/>
  <c r="H34" i="8"/>
  <c r="G21" i="5"/>
  <c r="I21" i="5" s="1"/>
  <c r="G22" i="5"/>
  <c r="I22" i="5" s="1"/>
  <c r="D14" i="4"/>
  <c r="D8" i="4"/>
  <c r="M54" i="8" l="1"/>
  <c r="AB14" i="8"/>
  <c r="M55" i="8"/>
  <c r="AB15" i="8"/>
  <c r="R53" i="8"/>
  <c r="Z13" i="8"/>
  <c r="M59" i="8"/>
  <c r="AB19" i="8"/>
  <c r="M49" i="8"/>
  <c r="AB9" i="8"/>
  <c r="M50" i="8"/>
  <c r="R54" i="8"/>
  <c r="Z14" i="8"/>
  <c r="R55" i="8"/>
  <c r="Z15" i="8"/>
  <c r="M60" i="8"/>
  <c r="AB20" i="8"/>
  <c r="M53" i="8"/>
  <c r="AB13" i="8"/>
  <c r="R49" i="8"/>
  <c r="Z9" i="8"/>
  <c r="R59" i="8"/>
  <c r="Z19" i="8"/>
  <c r="R50" i="8"/>
  <c r="R60" i="8"/>
  <c r="Z20" i="8"/>
  <c r="D29" i="8"/>
  <c r="D10" i="8"/>
  <c r="N18" i="4"/>
  <c r="O18" i="4"/>
  <c r="D9" i="4"/>
  <c r="D18" i="4" s="1"/>
  <c r="D19" i="4" s="1"/>
  <c r="U26" i="4"/>
  <c r="V26" i="4"/>
  <c r="E7" i="6" l="1"/>
  <c r="D7" i="5"/>
  <c r="H29" i="8"/>
  <c r="AA8" i="8"/>
  <c r="H10" i="8"/>
  <c r="Y8" i="8"/>
  <c r="R29" i="8"/>
  <c r="M29" i="8"/>
  <c r="D17" i="4"/>
  <c r="V27" i="4"/>
  <c r="E78" i="5"/>
  <c r="F78" i="5" s="1"/>
  <c r="F79" i="5" s="1"/>
  <c r="F80" i="5" s="1"/>
  <c r="F81" i="5" s="1"/>
  <c r="F82" i="5" s="1"/>
  <c r="E79" i="5"/>
  <c r="E85" i="5"/>
  <c r="E89" i="5"/>
  <c r="E93" i="5"/>
  <c r="E95" i="5"/>
  <c r="E99" i="5"/>
  <c r="E103" i="5"/>
  <c r="E107" i="5"/>
  <c r="E80" i="5"/>
  <c r="E82" i="5"/>
  <c r="E84" i="5"/>
  <c r="E86" i="5"/>
  <c r="E88" i="5"/>
  <c r="E90" i="5"/>
  <c r="E92" i="5"/>
  <c r="E94" i="5"/>
  <c r="E96" i="5"/>
  <c r="E98" i="5"/>
  <c r="E100" i="5"/>
  <c r="E102" i="5"/>
  <c r="E104" i="5"/>
  <c r="E106" i="5"/>
  <c r="E81" i="5"/>
  <c r="E83" i="5"/>
  <c r="E87" i="5"/>
  <c r="E91" i="5"/>
  <c r="E97" i="5"/>
  <c r="E101" i="5"/>
  <c r="E105" i="5"/>
  <c r="E31" i="5"/>
  <c r="E35" i="5"/>
  <c r="E39" i="5"/>
  <c r="E33" i="5"/>
  <c r="E36" i="5"/>
  <c r="E29" i="5"/>
  <c r="F29" i="5" s="1"/>
  <c r="E30" i="5"/>
  <c r="E34" i="5"/>
  <c r="E38" i="5"/>
  <c r="E37" i="5"/>
  <c r="E41" i="5"/>
  <c r="E32" i="5"/>
  <c r="E40" i="5"/>
  <c r="E43" i="5"/>
  <c r="E47" i="5"/>
  <c r="E51" i="5"/>
  <c r="E55" i="5"/>
  <c r="E45" i="5"/>
  <c r="E53" i="5"/>
  <c r="E57" i="5"/>
  <c r="E44" i="5"/>
  <c r="E48" i="5"/>
  <c r="E52" i="5"/>
  <c r="E56" i="5"/>
  <c r="E42" i="5"/>
  <c r="E46" i="5"/>
  <c r="E50" i="5"/>
  <c r="E54" i="5"/>
  <c r="E58" i="5"/>
  <c r="E49" i="5"/>
  <c r="N19" i="4"/>
  <c r="D21" i="4"/>
  <c r="U27" i="4"/>
  <c r="D24" i="4"/>
  <c r="D25" i="4"/>
  <c r="O19" i="4"/>
  <c r="D20" i="4"/>
  <c r="F83" i="5" l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30" i="5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J67" i="5"/>
  <c r="BR18" i="5"/>
  <c r="AI67" i="5"/>
  <c r="O18" i="5"/>
  <c r="T67" i="5"/>
  <c r="T18" i="5"/>
  <c r="AD67" i="5"/>
  <c r="BM67" i="5"/>
  <c r="BM18" i="5"/>
  <c r="Y18" i="5"/>
  <c r="BC18" i="5"/>
  <c r="BC67" i="5"/>
  <c r="BR66" i="5"/>
  <c r="O67" i="5"/>
  <c r="J18" i="5"/>
  <c r="AS18" i="5"/>
  <c r="AS67" i="5"/>
  <c r="AD18" i="5"/>
  <c r="BR67" i="5"/>
  <c r="AI18" i="5"/>
  <c r="AD17" i="5"/>
  <c r="Y66" i="5"/>
  <c r="BR17" i="5"/>
  <c r="J17" i="5"/>
  <c r="J66" i="5"/>
  <c r="AN17" i="5"/>
  <c r="BH17" i="5"/>
  <c r="AI17" i="5"/>
  <c r="O17" i="5"/>
  <c r="BM17" i="5"/>
  <c r="Y17" i="5"/>
  <c r="AX17" i="5"/>
  <c r="T17" i="5"/>
  <c r="AS17" i="5"/>
  <c r="BC17" i="5"/>
  <c r="AI66" i="5"/>
  <c r="T66" i="5"/>
  <c r="O66" i="5"/>
  <c r="BH66" i="5"/>
  <c r="AX66" i="5"/>
  <c r="AN66" i="5"/>
  <c r="BC66" i="5"/>
  <c r="AS66" i="5"/>
  <c r="BM66" i="5"/>
  <c r="CI18" i="6"/>
  <c r="X72" i="6"/>
  <c r="AS72" i="6"/>
  <c r="AL18" i="6"/>
  <c r="J18" i="6"/>
  <c r="Q72" i="6"/>
  <c r="Q18" i="6"/>
  <c r="BU18" i="6"/>
  <c r="AS18" i="6"/>
  <c r="BG18" i="6"/>
  <c r="CP18" i="6"/>
  <c r="X18" i="6"/>
  <c r="J72" i="6"/>
  <c r="BU72" i="6"/>
  <c r="AL72" i="6"/>
  <c r="BG72" i="6"/>
  <c r="CI72" i="6"/>
  <c r="CP72" i="6"/>
  <c r="AZ71" i="6"/>
  <c r="BC113" i="6" s="1"/>
  <c r="AL71" i="6"/>
  <c r="AO113" i="6" s="1"/>
  <c r="Q17" i="6"/>
  <c r="T59" i="6" s="1"/>
  <c r="X71" i="6"/>
  <c r="AA113" i="6" s="1"/>
  <c r="BN71" i="6"/>
  <c r="BQ113" i="6" s="1"/>
  <c r="AS17" i="6"/>
  <c r="AV59" i="6" s="1"/>
  <c r="AZ17" i="6"/>
  <c r="BC59" i="6" s="1"/>
  <c r="CI17" i="6"/>
  <c r="CL59" i="6" s="1"/>
  <c r="BU17" i="6"/>
  <c r="BX59" i="6" s="1"/>
  <c r="CI71" i="6"/>
  <c r="CL113" i="6" s="1"/>
  <c r="AL17" i="6"/>
  <c r="AO59" i="6" s="1"/>
  <c r="J17" i="6"/>
  <c r="M59" i="6" s="1"/>
  <c r="CB71" i="6"/>
  <c r="CE113" i="6" s="1"/>
  <c r="BG71" i="6"/>
  <c r="BJ113" i="6" s="1"/>
  <c r="AE71" i="6"/>
  <c r="AH113" i="6" s="1"/>
  <c r="CP71" i="6"/>
  <c r="CS113" i="6" s="1"/>
  <c r="X17" i="6"/>
  <c r="AA59" i="6" s="1"/>
  <c r="CB17" i="6"/>
  <c r="CE59" i="6" s="1"/>
  <c r="AS71" i="6"/>
  <c r="AV113" i="6" s="1"/>
  <c r="AE17" i="6"/>
  <c r="AH59" i="6" s="1"/>
  <c r="BN17" i="6"/>
  <c r="BQ59" i="6" s="1"/>
  <c r="CP17" i="6"/>
  <c r="CS59" i="6" s="1"/>
  <c r="BG17" i="6"/>
  <c r="BJ59" i="6" s="1"/>
  <c r="Q71" i="6"/>
  <c r="T113" i="6" s="1"/>
  <c r="BU71" i="6"/>
  <c r="BX113" i="6" s="1"/>
  <c r="J71" i="6"/>
  <c r="M113" i="6" s="1"/>
  <c r="R48" i="8"/>
  <c r="Z8" i="8"/>
  <c r="M48" i="8"/>
  <c r="AB8" i="8"/>
  <c r="BE29" i="5"/>
  <c r="V29" i="5"/>
  <c r="V21" i="5" s="1"/>
  <c r="AZ29" i="5"/>
  <c r="AU29" i="5"/>
  <c r="AV29" i="5" s="1"/>
  <c r="AX29" i="5" s="1"/>
  <c r="M78" i="5"/>
  <c r="O78" i="5" s="1"/>
  <c r="P78" i="5" s="1"/>
  <c r="AZ78" i="5"/>
  <c r="AZ70" i="5" s="1"/>
  <c r="AU78" i="5"/>
  <c r="AV78" i="5" s="1"/>
  <c r="AX78" i="5" s="1"/>
  <c r="BE78" i="5"/>
  <c r="BF78" i="5" s="1"/>
  <c r="BH78" i="5" s="1"/>
  <c r="V78" i="5"/>
  <c r="AB78" i="5"/>
  <c r="H29" i="5"/>
  <c r="J29" i="5" s="1"/>
  <c r="W29" i="5"/>
  <c r="Y29" i="5" s="1"/>
  <c r="BP79" i="5"/>
  <c r="BR79" i="5" s="1"/>
  <c r="AL78" i="5"/>
  <c r="BK78" i="5"/>
  <c r="V70" i="5"/>
  <c r="AG78" i="5"/>
  <c r="BP78" i="5"/>
  <c r="H78" i="5"/>
  <c r="AQ78" i="5"/>
  <c r="R78" i="5"/>
  <c r="BE21" i="5"/>
  <c r="N78" i="5"/>
  <c r="AB29" i="5"/>
  <c r="AD29" i="5" s="1"/>
  <c r="D26" i="4"/>
  <c r="BK29" i="5"/>
  <c r="BM29" i="5" s="1"/>
  <c r="AQ29" i="5"/>
  <c r="AS29" i="5" s="1"/>
  <c r="BP29" i="5"/>
  <c r="M29" i="5"/>
  <c r="O29" i="5" s="1"/>
  <c r="R29" i="5"/>
  <c r="T29" i="5" s="1"/>
  <c r="AG29" i="5"/>
  <c r="AI29" i="5" s="1"/>
  <c r="AL29" i="5"/>
  <c r="AN29" i="5" s="1"/>
  <c r="AQ79" i="5" l="1"/>
  <c r="AS79" i="5" s="1"/>
  <c r="BQ29" i="5"/>
  <c r="BR29" i="5"/>
  <c r="BS29" i="5" s="1"/>
  <c r="S78" i="5"/>
  <c r="T78" i="5"/>
  <c r="U78" i="5" s="1"/>
  <c r="BR78" i="5"/>
  <c r="BS78" i="5" s="1"/>
  <c r="BS79" i="5" s="1"/>
  <c r="BM78" i="5"/>
  <c r="BN78" i="5" s="1"/>
  <c r="AR78" i="5"/>
  <c r="AR79" i="5" s="1"/>
  <c r="AS78" i="5"/>
  <c r="AT78" i="5" s="1"/>
  <c r="AI78" i="5"/>
  <c r="AJ78" i="5" s="1"/>
  <c r="AH78" i="5"/>
  <c r="AN78" i="5"/>
  <c r="AO78" i="5" s="1"/>
  <c r="AZ30" i="5"/>
  <c r="AU30" i="5"/>
  <c r="BE30" i="5"/>
  <c r="V30" i="5"/>
  <c r="W30" i="5" s="1"/>
  <c r="Y30" i="5" s="1"/>
  <c r="AD78" i="5"/>
  <c r="AE78" i="5" s="1"/>
  <c r="J78" i="5"/>
  <c r="K78" i="5" s="1"/>
  <c r="BP80" i="5"/>
  <c r="BR80" i="5" s="1"/>
  <c r="BE79" i="5"/>
  <c r="BF79" i="5" s="1"/>
  <c r="BH79" i="5" s="1"/>
  <c r="V79" i="5"/>
  <c r="AZ79" i="5"/>
  <c r="BA79" i="5" s="1"/>
  <c r="BC79" i="5" s="1"/>
  <c r="AU79" i="5"/>
  <c r="AV79" i="5" s="1"/>
  <c r="AX79" i="5" s="1"/>
  <c r="AB79" i="5"/>
  <c r="AD79" i="5" s="1"/>
  <c r="M79" i="5"/>
  <c r="O79" i="5" s="1"/>
  <c r="P79" i="5" s="1"/>
  <c r="BK79" i="5"/>
  <c r="BM79" i="5" s="1"/>
  <c r="R79" i="5"/>
  <c r="T79" i="5" s="1"/>
  <c r="AG79" i="5"/>
  <c r="AI79" i="5" s="1"/>
  <c r="H79" i="5"/>
  <c r="AL79" i="5"/>
  <c r="W79" i="5"/>
  <c r="Y79" i="5" s="1"/>
  <c r="H30" i="5"/>
  <c r="J30" i="5" s="1"/>
  <c r="I78" i="5"/>
  <c r="W78" i="5"/>
  <c r="Y78" i="5" s="1"/>
  <c r="AU70" i="5"/>
  <c r="F18" i="8" s="1"/>
  <c r="J18" i="8" s="1"/>
  <c r="T56" i="8" s="1"/>
  <c r="BQ78" i="5"/>
  <c r="BQ79" i="5" s="1"/>
  <c r="BL78" i="5"/>
  <c r="AM78" i="5"/>
  <c r="BA78" i="5"/>
  <c r="BE70" i="5"/>
  <c r="F20" i="8" s="1"/>
  <c r="J20" i="8" s="1"/>
  <c r="T58" i="8" s="1"/>
  <c r="X70" i="5"/>
  <c r="F13" i="8"/>
  <c r="J13" i="8" s="1"/>
  <c r="T51" i="8" s="1"/>
  <c r="BB70" i="5"/>
  <c r="F19" i="8"/>
  <c r="J19" i="8" s="1"/>
  <c r="T57" i="8" s="1"/>
  <c r="BG21" i="5"/>
  <c r="D20" i="8"/>
  <c r="X21" i="5"/>
  <c r="D13" i="8"/>
  <c r="X29" i="5"/>
  <c r="N79" i="5"/>
  <c r="BF29" i="5"/>
  <c r="AY78" i="5"/>
  <c r="AW78" i="5"/>
  <c r="BI78" i="5"/>
  <c r="BG78" i="5"/>
  <c r="BG79" i="5" s="1"/>
  <c r="AZ21" i="5"/>
  <c r="AE29" i="5"/>
  <c r="AU21" i="5"/>
  <c r="BA29" i="5"/>
  <c r="BC29" i="5" s="1"/>
  <c r="AB30" i="5"/>
  <c r="AD30" i="5" s="1"/>
  <c r="M30" i="5"/>
  <c r="O30" i="5" s="1"/>
  <c r="S29" i="5"/>
  <c r="U29" i="5"/>
  <c r="AW29" i="5"/>
  <c r="AY29" i="5"/>
  <c r="AR29" i="5"/>
  <c r="AT29" i="5"/>
  <c r="AM29" i="5"/>
  <c r="AO29" i="5"/>
  <c r="N29" i="5"/>
  <c r="P29" i="5"/>
  <c r="BL29" i="5"/>
  <c r="BN29" i="5"/>
  <c r="K29" i="5"/>
  <c r="I29" i="5"/>
  <c r="AL30" i="5"/>
  <c r="AN30" i="5" s="1"/>
  <c r="AG30" i="5"/>
  <c r="AI30" i="5" s="1"/>
  <c r="BP30" i="5"/>
  <c r="BR30" i="5" s="1"/>
  <c r="R30" i="5"/>
  <c r="T30" i="5" s="1"/>
  <c r="AV30" i="5"/>
  <c r="AX30" i="5" s="1"/>
  <c r="AQ30" i="5"/>
  <c r="AS30" i="5" s="1"/>
  <c r="BK30" i="5"/>
  <c r="BM30" i="5" s="1"/>
  <c r="AJ29" i="5"/>
  <c r="AH29" i="5"/>
  <c r="V29" i="3"/>
  <c r="AE45" i="3"/>
  <c r="AF45" i="3" s="1"/>
  <c r="AB45" i="3"/>
  <c r="AC45" i="3" s="1"/>
  <c r="AE44" i="3"/>
  <c r="AF44" i="3" s="1"/>
  <c r="AB44" i="3"/>
  <c r="AC44" i="3" s="1"/>
  <c r="AE43" i="3"/>
  <c r="AF43" i="3" s="1"/>
  <c r="AB43" i="3"/>
  <c r="AC43" i="3" s="1"/>
  <c r="AE42" i="3"/>
  <c r="AF42" i="3" s="1"/>
  <c r="AB42" i="3"/>
  <c r="AC42" i="3" s="1"/>
  <c r="AE39" i="3"/>
  <c r="AF39" i="3" s="1"/>
  <c r="AB39" i="3"/>
  <c r="AC39" i="3" s="1"/>
  <c r="AE38" i="3"/>
  <c r="AF38" i="3" s="1"/>
  <c r="AB38" i="3"/>
  <c r="AC38" i="3" s="1"/>
  <c r="AE37" i="3"/>
  <c r="AF37" i="3" s="1"/>
  <c r="AB37" i="3"/>
  <c r="AC37" i="3" s="1"/>
  <c r="AE35" i="3"/>
  <c r="AF35" i="3" s="1"/>
  <c r="AB35" i="3"/>
  <c r="AC35" i="3" s="1"/>
  <c r="AE33" i="3"/>
  <c r="AF33" i="3" s="1"/>
  <c r="AB33" i="3"/>
  <c r="AC33" i="3" s="1"/>
  <c r="AE32" i="3"/>
  <c r="AF32" i="3" s="1"/>
  <c r="AB32" i="3"/>
  <c r="AC32" i="3" s="1"/>
  <c r="AE31" i="3"/>
  <c r="AF31" i="3" s="1"/>
  <c r="AB31" i="3"/>
  <c r="AC31" i="3" s="1"/>
  <c r="AE30" i="3"/>
  <c r="AF30" i="3" s="1"/>
  <c r="AB30" i="3"/>
  <c r="AC30" i="3" s="1"/>
  <c r="AE29" i="3"/>
  <c r="AF29" i="3" s="1"/>
  <c r="AB29" i="3"/>
  <c r="AC29" i="3" s="1"/>
  <c r="AE24" i="3"/>
  <c r="AF24" i="3" s="1"/>
  <c r="AB24" i="3"/>
  <c r="AC24" i="3" s="1"/>
  <c r="AE21" i="3"/>
  <c r="AF21" i="3" s="1"/>
  <c r="AB21" i="3"/>
  <c r="AC21" i="3" s="1"/>
  <c r="AE20" i="3"/>
  <c r="AF20" i="3" s="1"/>
  <c r="AB20" i="3"/>
  <c r="AC20" i="3" s="1"/>
  <c r="H20" i="8" l="1"/>
  <c r="Y18" i="8"/>
  <c r="H13" i="8"/>
  <c r="Y11" i="8"/>
  <c r="AT79" i="5"/>
  <c r="AE79" i="5"/>
  <c r="AH79" i="5"/>
  <c r="BK80" i="5"/>
  <c r="BM80" i="5" s="1"/>
  <c r="BI79" i="5"/>
  <c r="BN79" i="5"/>
  <c r="AJ79" i="5"/>
  <c r="J79" i="5"/>
  <c r="K79" i="5" s="1"/>
  <c r="BP81" i="5"/>
  <c r="BR81" i="5" s="1"/>
  <c r="BE80" i="5"/>
  <c r="BF80" i="5" s="1"/>
  <c r="BH80" i="5" s="1"/>
  <c r="V80" i="5"/>
  <c r="W80" i="5" s="1"/>
  <c r="Y80" i="5" s="1"/>
  <c r="AZ80" i="5"/>
  <c r="BA80" i="5" s="1"/>
  <c r="BC80" i="5" s="1"/>
  <c r="AU80" i="5"/>
  <c r="AV80" i="5" s="1"/>
  <c r="AX80" i="5" s="1"/>
  <c r="AB80" i="5"/>
  <c r="AD80" i="5" s="1"/>
  <c r="AE80" i="5" s="1"/>
  <c r="M80" i="5"/>
  <c r="O80" i="5" s="1"/>
  <c r="P80" i="5" s="1"/>
  <c r="AG80" i="5"/>
  <c r="AI80" i="5" s="1"/>
  <c r="R80" i="5"/>
  <c r="T80" i="5" s="1"/>
  <c r="BC78" i="5"/>
  <c r="BD78" i="5" s="1"/>
  <c r="BD79" i="5" s="1"/>
  <c r="AQ80" i="5"/>
  <c r="AS80" i="5" s="1"/>
  <c r="AT80" i="5" s="1"/>
  <c r="BG29" i="5"/>
  <c r="BH29" i="5"/>
  <c r="AZ31" i="5"/>
  <c r="BA31" i="5" s="1"/>
  <c r="BC31" i="5" s="1"/>
  <c r="AU31" i="5"/>
  <c r="AV31" i="5" s="1"/>
  <c r="AX31" i="5" s="1"/>
  <c r="BE31" i="5"/>
  <c r="V31" i="5"/>
  <c r="AL80" i="5"/>
  <c r="AN80" i="5" s="1"/>
  <c r="H80" i="5"/>
  <c r="J80" i="5" s="1"/>
  <c r="AY79" i="5"/>
  <c r="BL79" i="5"/>
  <c r="BL80" i="5" s="1"/>
  <c r="AN79" i="5"/>
  <c r="AO79" i="5" s="1"/>
  <c r="AO80" i="5" s="1"/>
  <c r="Z78" i="5"/>
  <c r="Z79" i="5" s="1"/>
  <c r="S79" i="5"/>
  <c r="AW79" i="5"/>
  <c r="AW80" i="5" s="1"/>
  <c r="U79" i="5"/>
  <c r="AM79" i="5"/>
  <c r="I79" i="5"/>
  <c r="X78" i="5"/>
  <c r="X79" i="5" s="1"/>
  <c r="BB78" i="5"/>
  <c r="BB79" i="5" s="1"/>
  <c r="AW70" i="5"/>
  <c r="BG70" i="5"/>
  <c r="BD29" i="5"/>
  <c r="BB29" i="5"/>
  <c r="AW21" i="5"/>
  <c r="D18" i="8"/>
  <c r="BB21" i="5"/>
  <c r="D19" i="8"/>
  <c r="BQ80" i="5"/>
  <c r="Z29" i="5"/>
  <c r="Z30" i="5" s="1"/>
  <c r="BI29" i="5"/>
  <c r="BF31" i="5"/>
  <c r="BH31" i="5" s="1"/>
  <c r="BS80" i="5"/>
  <c r="I30" i="5"/>
  <c r="K30" i="5"/>
  <c r="BG80" i="5"/>
  <c r="AB31" i="5"/>
  <c r="AD31" i="5" s="1"/>
  <c r="W31" i="5"/>
  <c r="Y31" i="5" s="1"/>
  <c r="AE30" i="5"/>
  <c r="AY30" i="5"/>
  <c r="U30" i="5"/>
  <c r="BA30" i="5"/>
  <c r="BC30" i="5" s="1"/>
  <c r="BF30" i="5"/>
  <c r="BH30" i="5" s="1"/>
  <c r="P30" i="5"/>
  <c r="AO30" i="5"/>
  <c r="BS30" i="5"/>
  <c r="BN30" i="5"/>
  <c r="AJ30" i="5"/>
  <c r="BL30" i="5"/>
  <c r="AR30" i="5"/>
  <c r="X30" i="5"/>
  <c r="BQ30" i="5"/>
  <c r="AH30" i="5"/>
  <c r="AG31" i="5"/>
  <c r="AI31" i="5" s="1"/>
  <c r="R31" i="5"/>
  <c r="T31" i="5" s="1"/>
  <c r="AQ31" i="5"/>
  <c r="AS31" i="5" s="1"/>
  <c r="M31" i="5"/>
  <c r="O31" i="5" s="1"/>
  <c r="BK31" i="5"/>
  <c r="BM31" i="5" s="1"/>
  <c r="H31" i="5"/>
  <c r="J31" i="5" s="1"/>
  <c r="BP31" i="5"/>
  <c r="BR31" i="5" s="1"/>
  <c r="AL31" i="5"/>
  <c r="AN31" i="5" s="1"/>
  <c r="N30" i="5"/>
  <c r="AM30" i="5"/>
  <c r="AT30" i="5"/>
  <c r="AW30" i="5"/>
  <c r="S30" i="5"/>
  <c r="O18" i="3"/>
  <c r="AE18" i="3"/>
  <c r="R51" i="8" l="1"/>
  <c r="Z11" i="8"/>
  <c r="H19" i="8"/>
  <c r="Y17" i="8"/>
  <c r="H18" i="8"/>
  <c r="Y16" i="8"/>
  <c r="R58" i="8"/>
  <c r="Z18" i="8"/>
  <c r="AJ80" i="5"/>
  <c r="BN80" i="5"/>
  <c r="R81" i="5"/>
  <c r="T81" i="5" s="1"/>
  <c r="BI80" i="5"/>
  <c r="AL81" i="5"/>
  <c r="AN81" i="5" s="1"/>
  <c r="AO81" i="5" s="1"/>
  <c r="S80" i="5"/>
  <c r="S81" i="5" s="1"/>
  <c r="BD80" i="5"/>
  <c r="K80" i="5"/>
  <c r="AR80" i="5"/>
  <c r="AH80" i="5"/>
  <c r="N80" i="5"/>
  <c r="BB80" i="5"/>
  <c r="AY80" i="5"/>
  <c r="AL82" i="5"/>
  <c r="BE81" i="5"/>
  <c r="BF81" i="5" s="1"/>
  <c r="BH81" i="5" s="1"/>
  <c r="AZ81" i="5"/>
  <c r="BA81" i="5" s="1"/>
  <c r="BC81" i="5" s="1"/>
  <c r="AU81" i="5"/>
  <c r="AV81" i="5" s="1"/>
  <c r="AX81" i="5" s="1"/>
  <c r="V81" i="5"/>
  <c r="W81" i="5" s="1"/>
  <c r="Y81" i="5" s="1"/>
  <c r="AB81" i="5"/>
  <c r="AD81" i="5" s="1"/>
  <c r="AE81" i="5" s="1"/>
  <c r="M81" i="5"/>
  <c r="O81" i="5" s="1"/>
  <c r="P81" i="5" s="1"/>
  <c r="AQ81" i="5"/>
  <c r="AS81" i="5" s="1"/>
  <c r="AT81" i="5" s="1"/>
  <c r="AM80" i="5"/>
  <c r="AM81" i="5" s="1"/>
  <c r="AU32" i="5"/>
  <c r="BE32" i="5"/>
  <c r="V32" i="5"/>
  <c r="AZ32" i="5"/>
  <c r="I80" i="5"/>
  <c r="BK81" i="5"/>
  <c r="BM81" i="5" s="1"/>
  <c r="AG81" i="5"/>
  <c r="AI81" i="5" s="1"/>
  <c r="H81" i="5"/>
  <c r="J81" i="5" s="1"/>
  <c r="U80" i="5"/>
  <c r="Z80" i="5"/>
  <c r="BD30" i="5"/>
  <c r="BD31" i="5" s="1"/>
  <c r="BI30" i="5"/>
  <c r="BI31" i="5" s="1"/>
  <c r="BS81" i="5"/>
  <c r="X80" i="5"/>
  <c r="X81" i="5" s="1"/>
  <c r="AY31" i="5"/>
  <c r="AE31" i="5"/>
  <c r="BQ81" i="5"/>
  <c r="AB32" i="5"/>
  <c r="AD32" i="5" s="1"/>
  <c r="U31" i="5"/>
  <c r="BB30" i="5"/>
  <c r="BB31" i="5" s="1"/>
  <c r="BG30" i="5"/>
  <c r="BG31" i="5" s="1"/>
  <c r="S31" i="5"/>
  <c r="P31" i="5"/>
  <c r="AO31" i="5"/>
  <c r="BS31" i="5"/>
  <c r="BN31" i="5"/>
  <c r="I31" i="5"/>
  <c r="AM31" i="5"/>
  <c r="AJ31" i="5"/>
  <c r="BL31" i="5"/>
  <c r="N31" i="5"/>
  <c r="K31" i="5"/>
  <c r="AT31" i="5"/>
  <c r="AH31" i="5"/>
  <c r="Z31" i="5"/>
  <c r="R32" i="5"/>
  <c r="T32" i="5" s="1"/>
  <c r="H32" i="5"/>
  <c r="J32" i="5" s="1"/>
  <c r="AQ32" i="5"/>
  <c r="AS32" i="5" s="1"/>
  <c r="BK32" i="5"/>
  <c r="BM32" i="5" s="1"/>
  <c r="AG32" i="5"/>
  <c r="AI32" i="5" s="1"/>
  <c r="AL32" i="5"/>
  <c r="AN32" i="5" s="1"/>
  <c r="M32" i="5"/>
  <c r="O32" i="5" s="1"/>
  <c r="BP32" i="5"/>
  <c r="BR32" i="5" s="1"/>
  <c r="AW31" i="5"/>
  <c r="AR31" i="5"/>
  <c r="BQ31" i="5"/>
  <c r="X31" i="5"/>
  <c r="AF18" i="3"/>
  <c r="AB13" i="3"/>
  <c r="AE13" i="3" s="1"/>
  <c r="AF13" i="3" s="1"/>
  <c r="U10" i="9" s="1"/>
  <c r="AB46" i="3"/>
  <c r="AB41" i="3"/>
  <c r="AB40" i="3"/>
  <c r="AB28" i="3"/>
  <c r="AB27" i="3"/>
  <c r="AB26" i="3"/>
  <c r="AB25" i="3"/>
  <c r="AB23" i="3"/>
  <c r="AB19" i="3"/>
  <c r="AB18" i="3"/>
  <c r="AC18" i="3" s="1"/>
  <c r="AB17" i="3"/>
  <c r="AB16" i="3"/>
  <c r="AB15" i="3"/>
  <c r="AB14" i="3"/>
  <c r="P18" i="3"/>
  <c r="L14" i="3"/>
  <c r="O14" i="3" s="1"/>
  <c r="P14" i="3" s="1"/>
  <c r="T11" i="9" s="1"/>
  <c r="L46" i="3"/>
  <c r="L41" i="3"/>
  <c r="L28" i="3"/>
  <c r="L27" i="3"/>
  <c r="L26" i="3"/>
  <c r="L25" i="3"/>
  <c r="L23" i="3"/>
  <c r="L19" i="3"/>
  <c r="L18" i="3"/>
  <c r="M18" i="3" s="1"/>
  <c r="L17" i="3"/>
  <c r="O17" i="3" s="1"/>
  <c r="P17" i="3" s="1"/>
  <c r="T14" i="9" s="1"/>
  <c r="L16" i="3"/>
  <c r="O16" i="3" s="1"/>
  <c r="P16" i="3" s="1"/>
  <c r="T13" i="9" s="1"/>
  <c r="L15" i="3"/>
  <c r="O15" i="3" s="1"/>
  <c r="P15" i="3" s="1"/>
  <c r="T12" i="9" s="1"/>
  <c r="R57" i="8" l="1"/>
  <c r="Z17" i="8"/>
  <c r="R56" i="8"/>
  <c r="Z16" i="8"/>
  <c r="U81" i="5"/>
  <c r="AJ81" i="5"/>
  <c r="BN81" i="5"/>
  <c r="AY81" i="5"/>
  <c r="BI81" i="5"/>
  <c r="H82" i="5"/>
  <c r="J82" i="5" s="1"/>
  <c r="K81" i="5"/>
  <c r="N81" i="5"/>
  <c r="I81" i="5"/>
  <c r="BG81" i="5"/>
  <c r="AH81" i="5"/>
  <c r="AN82" i="5"/>
  <c r="AO82" i="5" s="1"/>
  <c r="AQ83" i="5"/>
  <c r="AZ82" i="5"/>
  <c r="BA82" i="5" s="1"/>
  <c r="BC82" i="5" s="1"/>
  <c r="AU82" i="5"/>
  <c r="AU71" i="5" s="1"/>
  <c r="BE82" i="5"/>
  <c r="BE71" i="5" s="1"/>
  <c r="V82" i="5"/>
  <c r="W82" i="5" s="1"/>
  <c r="Y82" i="5" s="1"/>
  <c r="AB82" i="5"/>
  <c r="AD82" i="5" s="1"/>
  <c r="AE82" i="5" s="1"/>
  <c r="BK82" i="5"/>
  <c r="BM82" i="5" s="1"/>
  <c r="BN82" i="5" s="1"/>
  <c r="BL81" i="5"/>
  <c r="BL82" i="5" s="1"/>
  <c r="AQ82" i="5"/>
  <c r="R82" i="5"/>
  <c r="T82" i="5" s="1"/>
  <c r="U82" i="5" s="1"/>
  <c r="Z81" i="5"/>
  <c r="AG82" i="5"/>
  <c r="AH82" i="5" s="1"/>
  <c r="BP82" i="5"/>
  <c r="BR82" i="5" s="1"/>
  <c r="BS82" i="5" s="1"/>
  <c r="M82" i="5"/>
  <c r="O82" i="5" s="1"/>
  <c r="P82" i="5" s="1"/>
  <c r="AW81" i="5"/>
  <c r="AR81" i="5"/>
  <c r="BE33" i="5"/>
  <c r="BE22" i="5" s="1"/>
  <c r="V33" i="5"/>
  <c r="V22" i="5" s="1"/>
  <c r="AZ33" i="5"/>
  <c r="AZ22" i="5" s="1"/>
  <c r="AU33" i="5"/>
  <c r="AU22" i="5" s="1"/>
  <c r="AJ32" i="5"/>
  <c r="AC40" i="3"/>
  <c r="S24" i="9" s="1"/>
  <c r="AE40" i="3"/>
  <c r="AF40" i="3" s="1"/>
  <c r="U24" i="9" s="1"/>
  <c r="AC28" i="3"/>
  <c r="S21" i="9" s="1"/>
  <c r="AE28" i="3"/>
  <c r="AF28" i="3" s="1"/>
  <c r="U21" i="9" s="1"/>
  <c r="AC25" i="3"/>
  <c r="S18" i="9" s="1"/>
  <c r="AE25" i="3"/>
  <c r="AF25" i="3" s="1"/>
  <c r="U18" i="9" s="1"/>
  <c r="AC46" i="3"/>
  <c r="S26" i="9" s="1"/>
  <c r="AE46" i="3"/>
  <c r="AF46" i="3" s="1"/>
  <c r="U26" i="9" s="1"/>
  <c r="AC16" i="3"/>
  <c r="S13" i="9" s="1"/>
  <c r="AE16" i="3"/>
  <c r="AF16" i="3" s="1"/>
  <c r="U13" i="9" s="1"/>
  <c r="AC23" i="3"/>
  <c r="S17" i="9" s="1"/>
  <c r="AE23" i="3"/>
  <c r="AF23" i="3" s="1"/>
  <c r="U17" i="9" s="1"/>
  <c r="AC41" i="3"/>
  <c r="S25" i="9" s="1"/>
  <c r="AE41" i="3"/>
  <c r="AF41" i="3" s="1"/>
  <c r="U25" i="9" s="1"/>
  <c r="AC15" i="3"/>
  <c r="S12" i="9" s="1"/>
  <c r="AE15" i="3"/>
  <c r="AF15" i="3" s="1"/>
  <c r="U12" i="9" s="1"/>
  <c r="AC19" i="3"/>
  <c r="S15" i="9" s="1"/>
  <c r="AE19" i="3"/>
  <c r="AF19" i="3" s="1"/>
  <c r="U15" i="9" s="1"/>
  <c r="AC26" i="3"/>
  <c r="S19" i="9" s="1"/>
  <c r="AE26" i="3"/>
  <c r="AF26" i="3" s="1"/>
  <c r="U19" i="9" s="1"/>
  <c r="AM82" i="5"/>
  <c r="BQ82" i="5"/>
  <c r="AE32" i="5"/>
  <c r="U32" i="5"/>
  <c r="AV82" i="5"/>
  <c r="AX82" i="5" s="1"/>
  <c r="V71" i="5"/>
  <c r="R83" i="5"/>
  <c r="BK83" i="5"/>
  <c r="BM83" i="5" s="1"/>
  <c r="BD81" i="5"/>
  <c r="BB81" i="5"/>
  <c r="BB82" i="5" s="1"/>
  <c r="AB33" i="5"/>
  <c r="AD33" i="5" s="1"/>
  <c r="AO32" i="5"/>
  <c r="P32" i="5"/>
  <c r="BS32" i="5"/>
  <c r="BN32" i="5"/>
  <c r="BL32" i="5"/>
  <c r="AT32" i="5"/>
  <c r="K32" i="5"/>
  <c r="S32" i="5"/>
  <c r="M33" i="5"/>
  <c r="O33" i="5" s="1"/>
  <c r="AQ33" i="5"/>
  <c r="AS33" i="5" s="1"/>
  <c r="AG33" i="5"/>
  <c r="BP33" i="5"/>
  <c r="BR33" i="5" s="1"/>
  <c r="R33" i="5"/>
  <c r="T33" i="5" s="1"/>
  <c r="AL33" i="5"/>
  <c r="AN33" i="5" s="1"/>
  <c r="H33" i="5"/>
  <c r="J33" i="5" s="1"/>
  <c r="BK33" i="5"/>
  <c r="BM33" i="5" s="1"/>
  <c r="AR32" i="5"/>
  <c r="AH32" i="5"/>
  <c r="I32" i="5"/>
  <c r="N32" i="5"/>
  <c r="AM32" i="5"/>
  <c r="BQ32" i="5"/>
  <c r="AC27" i="3"/>
  <c r="S20" i="9" s="1"/>
  <c r="AE27" i="3"/>
  <c r="AF27" i="3" s="1"/>
  <c r="U20" i="9" s="1"/>
  <c r="AC17" i="3"/>
  <c r="S14" i="9" s="1"/>
  <c r="AE17" i="3"/>
  <c r="AF17" i="3" s="1"/>
  <c r="U14" i="9" s="1"/>
  <c r="AC14" i="3"/>
  <c r="S11" i="9" s="1"/>
  <c r="AE14" i="3"/>
  <c r="AF14" i="3" s="1"/>
  <c r="U11" i="9" s="1"/>
  <c r="AC13" i="3"/>
  <c r="S10" i="9" s="1"/>
  <c r="M46" i="3"/>
  <c r="R26" i="9" s="1"/>
  <c r="O46" i="3"/>
  <c r="P46" i="3" s="1"/>
  <c r="T26" i="9" s="1"/>
  <c r="M41" i="3"/>
  <c r="R25" i="9" s="1"/>
  <c r="O41" i="3"/>
  <c r="P41" i="3" s="1"/>
  <c r="T25" i="9" s="1"/>
  <c r="M28" i="3"/>
  <c r="R21" i="9" s="1"/>
  <c r="O28" i="3"/>
  <c r="P28" i="3" s="1"/>
  <c r="T21" i="9" s="1"/>
  <c r="M27" i="3"/>
  <c r="R20" i="9" s="1"/>
  <c r="O27" i="3"/>
  <c r="P27" i="3" s="1"/>
  <c r="T20" i="9" s="1"/>
  <c r="M26" i="3"/>
  <c r="R19" i="9" s="1"/>
  <c r="O26" i="3"/>
  <c r="P26" i="3" s="1"/>
  <c r="T19" i="9" s="1"/>
  <c r="M25" i="3"/>
  <c r="R18" i="9" s="1"/>
  <c r="O25" i="3"/>
  <c r="P25" i="3" s="1"/>
  <c r="T18" i="9" s="1"/>
  <c r="M23" i="3"/>
  <c r="R17" i="9" s="1"/>
  <c r="O23" i="3"/>
  <c r="P23" i="3" s="1"/>
  <c r="T17" i="9" s="1"/>
  <c r="M19" i="3"/>
  <c r="R15" i="9" s="1"/>
  <c r="O19" i="3"/>
  <c r="P19" i="3" s="1"/>
  <c r="T15" i="9" s="1"/>
  <c r="M13" i="3"/>
  <c r="R10" i="9" s="1"/>
  <c r="O13" i="3"/>
  <c r="V40" i="3"/>
  <c r="O24" i="9" s="1"/>
  <c r="V34" i="3"/>
  <c r="O22" i="9" s="1"/>
  <c r="V26" i="3"/>
  <c r="O19" i="9" s="1"/>
  <c r="V22" i="3"/>
  <c r="O16" i="9" s="1"/>
  <c r="V18" i="3"/>
  <c r="T7" i="3"/>
  <c r="U46" i="3" s="1"/>
  <c r="V46" i="3" s="1"/>
  <c r="O26" i="9" s="1"/>
  <c r="I82" i="5" l="1"/>
  <c r="K82" i="5"/>
  <c r="AR82" i="5"/>
  <c r="BP83" i="5"/>
  <c r="BR83" i="5" s="1"/>
  <c r="BS83" i="5" s="1"/>
  <c r="AG83" i="5"/>
  <c r="AI83" i="5" s="1"/>
  <c r="H83" i="5"/>
  <c r="J83" i="5" s="1"/>
  <c r="K83" i="5" s="1"/>
  <c r="AL83" i="5"/>
  <c r="AM83" i="5" s="1"/>
  <c r="M83" i="5"/>
  <c r="BD82" i="5"/>
  <c r="AZ71" i="5"/>
  <c r="F38" i="8" s="1"/>
  <c r="S82" i="5"/>
  <c r="S83" i="5" s="1"/>
  <c r="N82" i="5"/>
  <c r="AI33" i="5"/>
  <c r="AJ33" i="5" s="1"/>
  <c r="BF82" i="5"/>
  <c r="BH82" i="5" s="1"/>
  <c r="BI82" i="5" s="1"/>
  <c r="O83" i="5"/>
  <c r="P83" i="5" s="1"/>
  <c r="AS83" i="5"/>
  <c r="AW22" i="5"/>
  <c r="D37" i="8"/>
  <c r="AZ34" i="5"/>
  <c r="AU34" i="5"/>
  <c r="BE34" i="5"/>
  <c r="BF34" i="5" s="1"/>
  <c r="BH34" i="5" s="1"/>
  <c r="V34" i="5"/>
  <c r="W34" i="5" s="1"/>
  <c r="Y34" i="5" s="1"/>
  <c r="T83" i="5"/>
  <c r="U83" i="5" s="1"/>
  <c r="AI82" i="5"/>
  <c r="AJ82" i="5" s="1"/>
  <c r="AS82" i="5"/>
  <c r="AT82" i="5" s="1"/>
  <c r="AG84" i="5"/>
  <c r="AZ83" i="5"/>
  <c r="BA83" i="5" s="1"/>
  <c r="BC83" i="5" s="1"/>
  <c r="AB83" i="5"/>
  <c r="AD83" i="5" s="1"/>
  <c r="AE83" i="5" s="1"/>
  <c r="BE83" i="5"/>
  <c r="BF83" i="5" s="1"/>
  <c r="BH83" i="5" s="1"/>
  <c r="V83" i="5"/>
  <c r="W83" i="5" s="1"/>
  <c r="Y83" i="5" s="1"/>
  <c r="AU83" i="5"/>
  <c r="AV83" i="5" s="1"/>
  <c r="AX83" i="5" s="1"/>
  <c r="U33" i="5"/>
  <c r="BN83" i="5"/>
  <c r="BB71" i="5"/>
  <c r="AW71" i="5"/>
  <c r="F37" i="8"/>
  <c r="BG71" i="5"/>
  <c r="F39" i="8"/>
  <c r="X71" i="5"/>
  <c r="F32" i="8"/>
  <c r="U13" i="3"/>
  <c r="V13" i="3" s="1"/>
  <c r="O10" i="9" s="1"/>
  <c r="U23" i="3"/>
  <c r="V23" i="3" s="1"/>
  <c r="O17" i="9" s="1"/>
  <c r="U43" i="3"/>
  <c r="V43" i="3" s="1"/>
  <c r="U28" i="3"/>
  <c r="V28" i="3" s="1"/>
  <c r="O21" i="9" s="1"/>
  <c r="U33" i="3"/>
  <c r="V33" i="3" s="1"/>
  <c r="X13" i="3"/>
  <c r="Y13" i="3" s="1"/>
  <c r="Q10" i="9" s="1"/>
  <c r="U17" i="3"/>
  <c r="V17" i="3" s="1"/>
  <c r="O14" i="9" s="1"/>
  <c r="U38" i="3"/>
  <c r="V38" i="3" s="1"/>
  <c r="BB22" i="5"/>
  <c r="D38" i="8"/>
  <c r="BG22" i="5"/>
  <c r="D39" i="8"/>
  <c r="X22" i="5"/>
  <c r="D32" i="8"/>
  <c r="BA34" i="5"/>
  <c r="BC34" i="5" s="1"/>
  <c r="AE33" i="5"/>
  <c r="N83" i="5"/>
  <c r="AR83" i="5"/>
  <c r="AO33" i="5"/>
  <c r="AQ84" i="5"/>
  <c r="M84" i="5"/>
  <c r="Z82" i="5"/>
  <c r="X82" i="5"/>
  <c r="BQ83" i="5"/>
  <c r="AH83" i="5"/>
  <c r="BL83" i="5"/>
  <c r="AY82" i="5"/>
  <c r="AW82" i="5"/>
  <c r="AB34" i="5"/>
  <c r="AD34" i="5" s="1"/>
  <c r="BA33" i="5"/>
  <c r="BC33" i="5" s="1"/>
  <c r="BF33" i="5"/>
  <c r="BH33" i="5" s="1"/>
  <c r="P33" i="5"/>
  <c r="BS33" i="5"/>
  <c r="BN33" i="5"/>
  <c r="BQ33" i="5"/>
  <c r="AT33" i="5"/>
  <c r="N33" i="5"/>
  <c r="AH33" i="5"/>
  <c r="K33" i="5"/>
  <c r="AM33" i="5"/>
  <c r="S33" i="5"/>
  <c r="BL33" i="5"/>
  <c r="W33" i="5"/>
  <c r="Y33" i="5" s="1"/>
  <c r="BP34" i="5"/>
  <c r="BR34" i="5" s="1"/>
  <c r="M34" i="5"/>
  <c r="O34" i="5" s="1"/>
  <c r="BK34" i="5"/>
  <c r="BM34" i="5" s="1"/>
  <c r="H34" i="5"/>
  <c r="J34" i="5" s="1"/>
  <c r="AL34" i="5"/>
  <c r="AN34" i="5" s="1"/>
  <c r="R34" i="5"/>
  <c r="T34" i="5" s="1"/>
  <c r="AG34" i="5"/>
  <c r="AQ34" i="5"/>
  <c r="AS34" i="5" s="1"/>
  <c r="W32" i="5"/>
  <c r="Y32" i="5" s="1"/>
  <c r="BA32" i="5"/>
  <c r="BC32" i="5" s="1"/>
  <c r="BF32" i="5"/>
  <c r="BH32" i="5" s="1"/>
  <c r="AV32" i="5"/>
  <c r="AX32" i="5" s="1"/>
  <c r="AR33" i="5"/>
  <c r="I33" i="5"/>
  <c r="AV33" i="5"/>
  <c r="AX33" i="5" s="1"/>
  <c r="X27" i="3"/>
  <c r="Y27" i="3" s="1"/>
  <c r="Q20" i="9" s="1"/>
  <c r="U15" i="3"/>
  <c r="V15" i="3" s="1"/>
  <c r="O12" i="9" s="1"/>
  <c r="U20" i="3"/>
  <c r="V20" i="3" s="1"/>
  <c r="U25" i="3"/>
  <c r="V25" i="3" s="1"/>
  <c r="O18" i="9" s="1"/>
  <c r="U31" i="3"/>
  <c r="V31" i="3" s="1"/>
  <c r="U36" i="3"/>
  <c r="V36" i="3" s="1"/>
  <c r="O23" i="9" s="1"/>
  <c r="U41" i="3"/>
  <c r="V41" i="3" s="1"/>
  <c r="O25" i="9" s="1"/>
  <c r="U45" i="3"/>
  <c r="V45" i="3" s="1"/>
  <c r="X40" i="3"/>
  <c r="Y40" i="3" s="1"/>
  <c r="Q24" i="9" s="1"/>
  <c r="U14" i="3"/>
  <c r="V14" i="3" s="1"/>
  <c r="O11" i="9" s="1"/>
  <c r="U19" i="3"/>
  <c r="V19" i="3" s="1"/>
  <c r="O15" i="9" s="1"/>
  <c r="U24" i="3"/>
  <c r="V24" i="3" s="1"/>
  <c r="U30" i="3"/>
  <c r="V30" i="3" s="1"/>
  <c r="U35" i="3"/>
  <c r="V35" i="3" s="1"/>
  <c r="U39" i="3"/>
  <c r="V39" i="3" s="1"/>
  <c r="U44" i="3"/>
  <c r="V44" i="3" s="1"/>
  <c r="X14" i="3"/>
  <c r="Y14" i="3" s="1"/>
  <c r="Q11" i="9" s="1"/>
  <c r="X15" i="3"/>
  <c r="Y15" i="3" s="1"/>
  <c r="Q12" i="9" s="1"/>
  <c r="U16" i="3"/>
  <c r="V16" i="3" s="1"/>
  <c r="O13" i="9" s="1"/>
  <c r="U21" i="3"/>
  <c r="V21" i="3" s="1"/>
  <c r="U27" i="3"/>
  <c r="U32" i="3"/>
  <c r="V32" i="3" s="1"/>
  <c r="U37" i="3"/>
  <c r="V37" i="3" s="1"/>
  <c r="U42" i="3"/>
  <c r="V42" i="3" s="1"/>
  <c r="X17" i="3"/>
  <c r="Y17" i="3" s="1"/>
  <c r="Q14" i="9" s="1"/>
  <c r="X23" i="3"/>
  <c r="Y23" i="3" s="1"/>
  <c r="Q17" i="9" s="1"/>
  <c r="X26" i="3"/>
  <c r="Y26" i="3" s="1"/>
  <c r="Q19" i="9" s="1"/>
  <c r="X36" i="3"/>
  <c r="Y36" i="3" s="1"/>
  <c r="Q23" i="9" s="1"/>
  <c r="X16" i="3"/>
  <c r="Y16" i="3" s="1"/>
  <c r="Q13" i="9" s="1"/>
  <c r="X19" i="3"/>
  <c r="Y19" i="3" s="1"/>
  <c r="Q15" i="9" s="1"/>
  <c r="X22" i="3"/>
  <c r="Y22" i="3" s="1"/>
  <c r="Q16" i="9" s="1"/>
  <c r="V27" i="3"/>
  <c r="O20" i="9" s="1"/>
  <c r="X46" i="3"/>
  <c r="Y46" i="3" s="1"/>
  <c r="Q26" i="9" s="1"/>
  <c r="X25" i="3"/>
  <c r="Y25" i="3" s="1"/>
  <c r="Q18" i="9" s="1"/>
  <c r="X28" i="3"/>
  <c r="Y28" i="3" s="1"/>
  <c r="Q21" i="9" s="1"/>
  <c r="X34" i="3"/>
  <c r="Y34" i="3" s="1"/>
  <c r="Q22" i="9" s="1"/>
  <c r="X41" i="3"/>
  <c r="Y41" i="3" s="1"/>
  <c r="Q25" i="9" s="1"/>
  <c r="AA18" i="8" l="1"/>
  <c r="AA11" i="8"/>
  <c r="AA17" i="8"/>
  <c r="AA16" i="8"/>
  <c r="BD83" i="5"/>
  <c r="BB83" i="5"/>
  <c r="I83" i="5"/>
  <c r="AN83" i="5"/>
  <c r="AO83" i="5" s="1"/>
  <c r="AT83" i="5"/>
  <c r="BI83" i="5"/>
  <c r="X83" i="5"/>
  <c r="AL84" i="5"/>
  <c r="AN84" i="5" s="1"/>
  <c r="Z83" i="5"/>
  <c r="BP84" i="5"/>
  <c r="BQ84" i="5" s="1"/>
  <c r="AI84" i="5"/>
  <c r="AJ83" i="5"/>
  <c r="AS84" i="5"/>
  <c r="AI34" i="5"/>
  <c r="AJ34" i="5" s="1"/>
  <c r="AW83" i="5"/>
  <c r="R84" i="5"/>
  <c r="S84" i="5" s="1"/>
  <c r="BG82" i="5"/>
  <c r="BG83" i="5" s="1"/>
  <c r="AZ35" i="5"/>
  <c r="AU35" i="5"/>
  <c r="BE35" i="5"/>
  <c r="V35" i="5"/>
  <c r="O84" i="5"/>
  <c r="P84" i="5" s="1"/>
  <c r="AV34" i="5"/>
  <c r="AX34" i="5" s="1"/>
  <c r="AQ85" i="5"/>
  <c r="BE84" i="5"/>
  <c r="BF84" i="5" s="1"/>
  <c r="BH84" i="5" s="1"/>
  <c r="V84" i="5"/>
  <c r="W84" i="5" s="1"/>
  <c r="Y84" i="5" s="1"/>
  <c r="AZ84" i="5"/>
  <c r="BA84" i="5" s="1"/>
  <c r="BC84" i="5" s="1"/>
  <c r="AU84" i="5"/>
  <c r="AV84" i="5" s="1"/>
  <c r="AB84" i="5"/>
  <c r="AD84" i="5" s="1"/>
  <c r="AE84" i="5" s="1"/>
  <c r="AY83" i="5"/>
  <c r="BK84" i="5"/>
  <c r="BM84" i="5" s="1"/>
  <c r="BN84" i="5" s="1"/>
  <c r="H84" i="5"/>
  <c r="J84" i="5" s="1"/>
  <c r="K84" i="5" s="1"/>
  <c r="H37" i="8"/>
  <c r="M37" i="8"/>
  <c r="U34" i="5"/>
  <c r="H39" i="8"/>
  <c r="M39" i="8"/>
  <c r="J37" i="8"/>
  <c r="O56" i="8" s="1"/>
  <c r="O37" i="8"/>
  <c r="R37" i="8"/>
  <c r="H32" i="8"/>
  <c r="M32" i="8"/>
  <c r="H38" i="8"/>
  <c r="M38" i="8"/>
  <c r="O39" i="8"/>
  <c r="R39" i="8"/>
  <c r="J39" i="8"/>
  <c r="O58" i="8" s="1"/>
  <c r="O38" i="8"/>
  <c r="R38" i="8"/>
  <c r="J38" i="8"/>
  <c r="O57" i="8" s="1"/>
  <c r="O32" i="8"/>
  <c r="R32" i="8"/>
  <c r="J32" i="8"/>
  <c r="O51" i="8" s="1"/>
  <c r="AE34" i="5"/>
  <c r="AO34" i="5"/>
  <c r="AH84" i="5"/>
  <c r="AR84" i="5"/>
  <c r="N84" i="5"/>
  <c r="H85" i="5"/>
  <c r="J85" i="5" s="1"/>
  <c r="BP85" i="5"/>
  <c r="AB35" i="5"/>
  <c r="AD35" i="5" s="1"/>
  <c r="BS34" i="5"/>
  <c r="P34" i="5"/>
  <c r="BN34" i="5"/>
  <c r="AT34" i="5"/>
  <c r="S34" i="5"/>
  <c r="K34" i="5"/>
  <c r="I34" i="5"/>
  <c r="BL34" i="5"/>
  <c r="AR34" i="5"/>
  <c r="AM34" i="5"/>
  <c r="BI32" i="5"/>
  <c r="BI33" i="5" s="1"/>
  <c r="BI34" i="5" s="1"/>
  <c r="BG32" i="5"/>
  <c r="BG33" i="5" s="1"/>
  <c r="BG34" i="5" s="1"/>
  <c r="BP35" i="5"/>
  <c r="BR35" i="5" s="1"/>
  <c r="AQ35" i="5"/>
  <c r="AS35" i="5" s="1"/>
  <c r="M35" i="5"/>
  <c r="O35" i="5" s="1"/>
  <c r="H35" i="5"/>
  <c r="J35" i="5" s="1"/>
  <c r="AL35" i="5"/>
  <c r="AN35" i="5" s="1"/>
  <c r="BK35" i="5"/>
  <c r="BM35" i="5" s="1"/>
  <c r="AG35" i="5"/>
  <c r="R35" i="5"/>
  <c r="N34" i="5"/>
  <c r="AY32" i="5"/>
  <c r="AY33" i="5" s="1"/>
  <c r="AW32" i="5"/>
  <c r="AW33" i="5" s="1"/>
  <c r="BD32" i="5"/>
  <c r="BD33" i="5" s="1"/>
  <c r="BD34" i="5" s="1"/>
  <c r="BB32" i="5"/>
  <c r="BB33" i="5" s="1"/>
  <c r="BB34" i="5" s="1"/>
  <c r="BQ34" i="5"/>
  <c r="Z32" i="5"/>
  <c r="Z33" i="5" s="1"/>
  <c r="Z34" i="5" s="1"/>
  <c r="X32" i="5"/>
  <c r="X33" i="5" s="1"/>
  <c r="X34" i="5" s="1"/>
  <c r="AH34" i="5"/>
  <c r="F7" i="3"/>
  <c r="M56" i="8" l="1"/>
  <c r="AB16" i="8"/>
  <c r="M57" i="8"/>
  <c r="AB17" i="8"/>
  <c r="M51" i="8"/>
  <c r="AB11" i="8"/>
  <c r="M58" i="8"/>
  <c r="AB18" i="8"/>
  <c r="BD84" i="5"/>
  <c r="AO84" i="5"/>
  <c r="BK85" i="5"/>
  <c r="BR84" i="5"/>
  <c r="BS84" i="5" s="1"/>
  <c r="AG85" i="5"/>
  <c r="AI85" i="5" s="1"/>
  <c r="AL85" i="5"/>
  <c r="I84" i="5"/>
  <c r="Z84" i="5"/>
  <c r="M85" i="5"/>
  <c r="O85" i="5" s="1"/>
  <c r="P85" i="5" s="1"/>
  <c r="R85" i="5"/>
  <c r="T85" i="5" s="1"/>
  <c r="BI84" i="5"/>
  <c r="AM84" i="5"/>
  <c r="AT84" i="5"/>
  <c r="BB84" i="5"/>
  <c r="BL84" i="5"/>
  <c r="BL85" i="5" s="1"/>
  <c r="X84" i="5"/>
  <c r="AJ84" i="5"/>
  <c r="BE36" i="5"/>
  <c r="V36" i="5"/>
  <c r="AZ36" i="5"/>
  <c r="AU36" i="5"/>
  <c r="AU23" i="5" s="1"/>
  <c r="AW23" i="5" s="1"/>
  <c r="AW34" i="5"/>
  <c r="AI35" i="5"/>
  <c r="AJ35" i="5" s="1"/>
  <c r="AS85" i="5"/>
  <c r="AX84" i="5"/>
  <c r="AY84" i="5" s="1"/>
  <c r="AL86" i="5"/>
  <c r="AZ85" i="5"/>
  <c r="BA85" i="5" s="1"/>
  <c r="BC85" i="5" s="1"/>
  <c r="AU85" i="5"/>
  <c r="AV85" i="5" s="1"/>
  <c r="AX85" i="5" s="1"/>
  <c r="V85" i="5"/>
  <c r="W85" i="5" s="1"/>
  <c r="Y85" i="5" s="1"/>
  <c r="BE85" i="5"/>
  <c r="BF85" i="5" s="1"/>
  <c r="BH85" i="5" s="1"/>
  <c r="BI85" i="5" s="1"/>
  <c r="AB85" i="5"/>
  <c r="AD85" i="5" s="1"/>
  <c r="AE85" i="5" s="1"/>
  <c r="BM85" i="5"/>
  <c r="BN85" i="5" s="1"/>
  <c r="T35" i="5"/>
  <c r="U35" i="5" s="1"/>
  <c r="AY34" i="5"/>
  <c r="BR85" i="5"/>
  <c r="BS85" i="5" s="1"/>
  <c r="BG84" i="5"/>
  <c r="T84" i="5"/>
  <c r="U84" i="5" s="1"/>
  <c r="K85" i="5"/>
  <c r="AB36" i="3"/>
  <c r="L34" i="3"/>
  <c r="L22" i="3"/>
  <c r="AA66" i="5" s="1"/>
  <c r="L40" i="3"/>
  <c r="L36" i="3"/>
  <c r="AB34" i="3"/>
  <c r="AB22" i="3"/>
  <c r="AO35" i="5"/>
  <c r="AE35" i="5"/>
  <c r="I85" i="5"/>
  <c r="AR85" i="5"/>
  <c r="BQ85" i="5"/>
  <c r="M86" i="5"/>
  <c r="AG86" i="5"/>
  <c r="AH85" i="5"/>
  <c r="AW84" i="5"/>
  <c r="AB36" i="5"/>
  <c r="AD36" i="5" s="1"/>
  <c r="P35" i="5"/>
  <c r="BS35" i="5"/>
  <c r="BN35" i="5"/>
  <c r="AT35" i="5"/>
  <c r="K35" i="5"/>
  <c r="BQ35" i="5"/>
  <c r="AH35" i="5"/>
  <c r="I35" i="5"/>
  <c r="S35" i="5"/>
  <c r="BL35" i="5"/>
  <c r="AR35" i="5"/>
  <c r="AM35" i="5"/>
  <c r="N35" i="5"/>
  <c r="AG36" i="5"/>
  <c r="H36" i="5"/>
  <c r="J36" i="5" s="1"/>
  <c r="R36" i="5"/>
  <c r="BP36" i="5"/>
  <c r="BR36" i="5" s="1"/>
  <c r="BK36" i="5"/>
  <c r="BM36" i="5" s="1"/>
  <c r="AL36" i="5"/>
  <c r="AN36" i="5" s="1"/>
  <c r="M36" i="5"/>
  <c r="O36" i="5" s="1"/>
  <c r="AQ36" i="5"/>
  <c r="AS36" i="5" s="1"/>
  <c r="H13" i="3"/>
  <c r="I13" i="3" s="1"/>
  <c r="P10" i="9" s="1"/>
  <c r="M17" i="3"/>
  <c r="R14" i="9" s="1"/>
  <c r="M16" i="3"/>
  <c r="R13" i="9" s="1"/>
  <c r="M15" i="3"/>
  <c r="R12" i="9" s="1"/>
  <c r="M14" i="3"/>
  <c r="R11" i="9" s="1"/>
  <c r="P13" i="3"/>
  <c r="T10" i="9" s="1"/>
  <c r="H46" i="3"/>
  <c r="I46" i="3" s="1"/>
  <c r="P26" i="9" s="1"/>
  <c r="H41" i="3"/>
  <c r="I41" i="3" s="1"/>
  <c r="P25" i="9" s="1"/>
  <c r="H40" i="3"/>
  <c r="I40" i="3" s="1"/>
  <c r="P24" i="9" s="1"/>
  <c r="H36" i="3"/>
  <c r="I36" i="3" s="1"/>
  <c r="P23" i="9" s="1"/>
  <c r="H34" i="3"/>
  <c r="I34" i="3" s="1"/>
  <c r="P22" i="9" s="1"/>
  <c r="H28" i="3"/>
  <c r="I28" i="3" s="1"/>
  <c r="P21" i="9" s="1"/>
  <c r="H27" i="3"/>
  <c r="I27" i="3" s="1"/>
  <c r="P20" i="9" s="1"/>
  <c r="H26" i="3"/>
  <c r="I26" i="3" s="1"/>
  <c r="P19" i="9" s="1"/>
  <c r="H25" i="3"/>
  <c r="I25" i="3" s="1"/>
  <c r="P18" i="9" s="1"/>
  <c r="H23" i="3"/>
  <c r="I23" i="3" s="1"/>
  <c r="P17" i="9" s="1"/>
  <c r="H22" i="3"/>
  <c r="I22" i="3" s="1"/>
  <c r="P16" i="9" s="1"/>
  <c r="H19" i="3"/>
  <c r="I19" i="3" s="1"/>
  <c r="P15" i="9" s="1"/>
  <c r="H17" i="3"/>
  <c r="I17" i="3" s="1"/>
  <c r="P14" i="9" s="1"/>
  <c r="H16" i="3"/>
  <c r="I16" i="3" s="1"/>
  <c r="P13" i="9" s="1"/>
  <c r="H15" i="3"/>
  <c r="I15" i="3" s="1"/>
  <c r="P12" i="9" s="1"/>
  <c r="H14" i="3"/>
  <c r="I14" i="3" s="1"/>
  <c r="P11" i="9" s="1"/>
  <c r="F40" i="3"/>
  <c r="N24" i="9" s="1"/>
  <c r="F34" i="3"/>
  <c r="N22" i="9" s="1"/>
  <c r="F26" i="3"/>
  <c r="N19" i="9" s="1"/>
  <c r="F22" i="3"/>
  <c r="N16" i="9" s="1"/>
  <c r="E46" i="3"/>
  <c r="F46" i="3" s="1"/>
  <c r="N26" i="9" s="1"/>
  <c r="E45" i="3"/>
  <c r="E44" i="3"/>
  <c r="E43" i="3"/>
  <c r="E42" i="3"/>
  <c r="E41" i="3"/>
  <c r="F41" i="3" s="1"/>
  <c r="N25" i="9" s="1"/>
  <c r="E39" i="3"/>
  <c r="E38" i="3"/>
  <c r="E37" i="3"/>
  <c r="E36" i="3"/>
  <c r="F36" i="3" s="1"/>
  <c r="N23" i="9" s="1"/>
  <c r="E35" i="3"/>
  <c r="E33" i="3"/>
  <c r="E32" i="3"/>
  <c r="E31" i="3"/>
  <c r="E30" i="3"/>
  <c r="E28" i="3"/>
  <c r="F28" i="3" s="1"/>
  <c r="N21" i="9" s="1"/>
  <c r="E27" i="3"/>
  <c r="F27" i="3" s="1"/>
  <c r="N20" i="9" s="1"/>
  <c r="E25" i="3"/>
  <c r="F25" i="3" s="1"/>
  <c r="N18" i="9" s="1"/>
  <c r="E24" i="3"/>
  <c r="E23" i="3"/>
  <c r="F23" i="3" s="1"/>
  <c r="N17" i="9" s="1"/>
  <c r="E21" i="3"/>
  <c r="E20" i="3"/>
  <c r="E19" i="3"/>
  <c r="F19" i="3" s="1"/>
  <c r="N15" i="9" s="1"/>
  <c r="E17" i="3"/>
  <c r="F17" i="3" s="1"/>
  <c r="N14" i="9" s="1"/>
  <c r="E16" i="3"/>
  <c r="F16" i="3" s="1"/>
  <c r="N13" i="9" s="1"/>
  <c r="E15" i="3"/>
  <c r="F15" i="3" s="1"/>
  <c r="N12" i="9" s="1"/>
  <c r="E14" i="3"/>
  <c r="F14" i="3" s="1"/>
  <c r="N11" i="9" s="1"/>
  <c r="E13" i="3"/>
  <c r="F13" i="3" s="1"/>
  <c r="N10" i="9" s="1"/>
  <c r="AD66" i="5" l="1"/>
  <c r="AC78" i="5"/>
  <c r="AC79" i="5" s="1"/>
  <c r="AC80" i="5" s="1"/>
  <c r="AC81" i="5" s="1"/>
  <c r="AC82" i="5" s="1"/>
  <c r="AC83" i="5" s="1"/>
  <c r="AC84" i="5" s="1"/>
  <c r="AM85" i="5"/>
  <c r="BD85" i="5"/>
  <c r="Z85" i="5"/>
  <c r="X85" i="5"/>
  <c r="AN85" i="5"/>
  <c r="AO85" i="5" s="1"/>
  <c r="BK86" i="5"/>
  <c r="BM86" i="5" s="1"/>
  <c r="BN86" i="5" s="1"/>
  <c r="N85" i="5"/>
  <c r="H86" i="5"/>
  <c r="I86" i="5" s="1"/>
  <c r="BP86" i="5"/>
  <c r="BR86" i="5" s="1"/>
  <c r="BS86" i="5" s="1"/>
  <c r="AT85" i="5"/>
  <c r="AQ86" i="5"/>
  <c r="AR86" i="5" s="1"/>
  <c r="S85" i="5"/>
  <c r="R86" i="5"/>
  <c r="T86" i="5" s="1"/>
  <c r="U85" i="5"/>
  <c r="AJ85" i="5"/>
  <c r="BB85" i="5"/>
  <c r="AC85" i="5"/>
  <c r="BG85" i="5"/>
  <c r="AY85" i="5"/>
  <c r="AW85" i="5"/>
  <c r="AN86" i="5"/>
  <c r="AO86" i="5" s="1"/>
  <c r="AS86" i="5"/>
  <c r="AT86" i="5" s="1"/>
  <c r="AI36" i="5"/>
  <c r="AJ36" i="5" s="1"/>
  <c r="BE37" i="5"/>
  <c r="V37" i="5"/>
  <c r="AZ37" i="5"/>
  <c r="BA37" i="5" s="1"/>
  <c r="BC37" i="5" s="1"/>
  <c r="T36" i="5"/>
  <c r="U36" i="5" s="1"/>
  <c r="AI86" i="5"/>
  <c r="O86" i="5"/>
  <c r="P86" i="5" s="1"/>
  <c r="AZ86" i="5"/>
  <c r="BA86" i="5" s="1"/>
  <c r="BC86" i="5" s="1"/>
  <c r="BD86" i="5" s="1"/>
  <c r="AU86" i="5"/>
  <c r="AV86" i="5" s="1"/>
  <c r="BE86" i="5"/>
  <c r="BF86" i="5" s="1"/>
  <c r="BH86" i="5" s="1"/>
  <c r="BI86" i="5" s="1"/>
  <c r="V86" i="5"/>
  <c r="W86" i="5" s="1"/>
  <c r="Y86" i="5" s="1"/>
  <c r="AB86" i="5"/>
  <c r="AD86" i="5" s="1"/>
  <c r="AE86" i="5" s="1"/>
  <c r="AO36" i="5"/>
  <c r="M40" i="3"/>
  <c r="R24" i="9" s="1"/>
  <c r="O40" i="3"/>
  <c r="P40" i="3" s="1"/>
  <c r="T24" i="9" s="1"/>
  <c r="M22" i="3"/>
  <c r="R16" i="9" s="1"/>
  <c r="O22" i="3"/>
  <c r="P22" i="3" s="1"/>
  <c r="T16" i="9" s="1"/>
  <c r="AC34" i="3"/>
  <c r="S22" i="9" s="1"/>
  <c r="AE34" i="3"/>
  <c r="AF34" i="3" s="1"/>
  <c r="U22" i="9" s="1"/>
  <c r="M34" i="3"/>
  <c r="R22" i="9" s="1"/>
  <c r="O34" i="3"/>
  <c r="P34" i="3" s="1"/>
  <c r="T22" i="9" s="1"/>
  <c r="AC22" i="3"/>
  <c r="S16" i="9" s="1"/>
  <c r="AE22" i="3"/>
  <c r="AF22" i="3" s="1"/>
  <c r="U16" i="9" s="1"/>
  <c r="M36" i="3"/>
  <c r="R23" i="9" s="1"/>
  <c r="O36" i="3"/>
  <c r="P36" i="3" s="1"/>
  <c r="T23" i="9" s="1"/>
  <c r="AC36" i="3"/>
  <c r="S23" i="9" s="1"/>
  <c r="AE36" i="3"/>
  <c r="AF36" i="3" s="1"/>
  <c r="U23" i="9" s="1"/>
  <c r="AE36" i="5"/>
  <c r="AH86" i="5"/>
  <c r="N86" i="5"/>
  <c r="AM86" i="5"/>
  <c r="P36" i="5"/>
  <c r="BS36" i="5"/>
  <c r="BQ86" i="5"/>
  <c r="BP87" i="5"/>
  <c r="AL87" i="5"/>
  <c r="BB86" i="5"/>
  <c r="AB37" i="5"/>
  <c r="AD37" i="5" s="1"/>
  <c r="BN36" i="5"/>
  <c r="AT36" i="5"/>
  <c r="K36" i="5"/>
  <c r="AM36" i="5"/>
  <c r="AG37" i="5"/>
  <c r="BP37" i="5"/>
  <c r="BR37" i="5" s="1"/>
  <c r="H37" i="5"/>
  <c r="J37" i="5" s="1"/>
  <c r="AL37" i="5"/>
  <c r="R37" i="5"/>
  <c r="M37" i="5"/>
  <c r="O37" i="5" s="1"/>
  <c r="AQ37" i="5"/>
  <c r="AS37" i="5" s="1"/>
  <c r="BK37" i="5"/>
  <c r="BM37" i="5" s="1"/>
  <c r="N36" i="5"/>
  <c r="BQ36" i="5"/>
  <c r="AH36" i="5"/>
  <c r="I36" i="5"/>
  <c r="AR36" i="5"/>
  <c r="BL36" i="5"/>
  <c r="S36" i="5"/>
  <c r="AC86" i="5" l="1"/>
  <c r="Z86" i="5"/>
  <c r="AJ86" i="5"/>
  <c r="U86" i="5"/>
  <c r="BL86" i="5"/>
  <c r="S86" i="5"/>
  <c r="J86" i="5"/>
  <c r="K86" i="5" s="1"/>
  <c r="BR87" i="5"/>
  <c r="BS87" i="5" s="1"/>
  <c r="AL88" i="5"/>
  <c r="AB87" i="5"/>
  <c r="AD87" i="5" s="1"/>
  <c r="AE87" i="5" s="1"/>
  <c r="AU87" i="5"/>
  <c r="AV87" i="5" s="1"/>
  <c r="AX87" i="5" s="1"/>
  <c r="BE87" i="5"/>
  <c r="BF87" i="5" s="1"/>
  <c r="BH87" i="5" s="1"/>
  <c r="V87" i="5"/>
  <c r="W87" i="5" s="1"/>
  <c r="Y87" i="5" s="1"/>
  <c r="AZ87" i="5"/>
  <c r="BA87" i="5" s="1"/>
  <c r="BC87" i="5" s="1"/>
  <c r="BD87" i="5" s="1"/>
  <c r="M87" i="5"/>
  <c r="N87" i="5" s="1"/>
  <c r="T37" i="5"/>
  <c r="U37" i="5" s="1"/>
  <c r="AI37" i="5"/>
  <c r="AJ37" i="5" s="1"/>
  <c r="X86" i="5"/>
  <c r="AG87" i="5"/>
  <c r="AH87" i="5" s="1"/>
  <c r="AQ87" i="5"/>
  <c r="AR87" i="5" s="1"/>
  <c r="BG86" i="5"/>
  <c r="BE38" i="5"/>
  <c r="BF38" i="5" s="1"/>
  <c r="BH38" i="5" s="1"/>
  <c r="AZ38" i="5"/>
  <c r="BA38" i="5" s="1"/>
  <c r="BC38" i="5" s="1"/>
  <c r="V38" i="5"/>
  <c r="AN87" i="5"/>
  <c r="AO87" i="5" s="1"/>
  <c r="R87" i="5"/>
  <c r="AN37" i="5"/>
  <c r="AO37" i="5" s="1"/>
  <c r="BK87" i="5"/>
  <c r="H87" i="5"/>
  <c r="I87" i="5" s="1"/>
  <c r="AX86" i="5"/>
  <c r="AY86" i="5" s="1"/>
  <c r="K37" i="5"/>
  <c r="BI87" i="5"/>
  <c r="AW86" i="5"/>
  <c r="AE37" i="5"/>
  <c r="AC29" i="5"/>
  <c r="AC30" i="5" s="1"/>
  <c r="AC31" i="5" s="1"/>
  <c r="AC32" i="5" s="1"/>
  <c r="AC33" i="5" s="1"/>
  <c r="AC34" i="5" s="1"/>
  <c r="AC35" i="5" s="1"/>
  <c r="AC36" i="5" s="1"/>
  <c r="AC37" i="5" s="1"/>
  <c r="AM87" i="5"/>
  <c r="BQ87" i="5"/>
  <c r="P37" i="5"/>
  <c r="BS37" i="5"/>
  <c r="BN37" i="5"/>
  <c r="AB38" i="5"/>
  <c r="AD38" i="5" s="1"/>
  <c r="W38" i="5"/>
  <c r="Y38" i="5" s="1"/>
  <c r="AH37" i="5"/>
  <c r="BQ37" i="5"/>
  <c r="AM37" i="5"/>
  <c r="AT37" i="5"/>
  <c r="S37" i="5"/>
  <c r="AR37" i="5"/>
  <c r="N37" i="5"/>
  <c r="BF37" i="5"/>
  <c r="BH37" i="5" s="1"/>
  <c r="AL38" i="5"/>
  <c r="H38" i="5"/>
  <c r="AG38" i="5"/>
  <c r="BK38" i="5"/>
  <c r="BM38" i="5" s="1"/>
  <c r="AQ38" i="5"/>
  <c r="AS38" i="5" s="1"/>
  <c r="R38" i="5"/>
  <c r="M38" i="5"/>
  <c r="O38" i="5" s="1"/>
  <c r="AV38" i="5"/>
  <c r="AX38" i="5" s="1"/>
  <c r="BP38" i="5"/>
  <c r="BR38" i="5" s="1"/>
  <c r="BF35" i="5"/>
  <c r="BH35" i="5" s="1"/>
  <c r="AV35" i="5"/>
  <c r="AX35" i="5" s="1"/>
  <c r="W35" i="5"/>
  <c r="Y35" i="5" s="1"/>
  <c r="BA35" i="5"/>
  <c r="BC35" i="5" s="1"/>
  <c r="AV36" i="5"/>
  <c r="AX36" i="5" s="1"/>
  <c r="BF36" i="5"/>
  <c r="BH36" i="5" s="1"/>
  <c r="BA36" i="5"/>
  <c r="BC36" i="5" s="1"/>
  <c r="W36" i="5"/>
  <c r="Y36" i="5" s="1"/>
  <c r="AV37" i="5"/>
  <c r="AX37" i="5" s="1"/>
  <c r="I37" i="5"/>
  <c r="BL37" i="5"/>
  <c r="W37" i="5"/>
  <c r="Y37" i="5" s="1"/>
  <c r="BL87" i="5" l="1"/>
  <c r="Z87" i="5"/>
  <c r="BB87" i="5"/>
  <c r="R88" i="5"/>
  <c r="T88" i="5" s="1"/>
  <c r="AW87" i="5"/>
  <c r="BG87" i="5"/>
  <c r="AY87" i="5"/>
  <c r="X87" i="5"/>
  <c r="AC87" i="5"/>
  <c r="AN88" i="5"/>
  <c r="AO88" i="5" s="1"/>
  <c r="AQ88" i="5"/>
  <c r="AR88" i="5" s="1"/>
  <c r="AG88" i="5"/>
  <c r="J87" i="5"/>
  <c r="K87" i="5" s="1"/>
  <c r="T87" i="5"/>
  <c r="U87" i="5" s="1"/>
  <c r="T38" i="5"/>
  <c r="U38" i="5" s="1"/>
  <c r="J38" i="5"/>
  <c r="K38" i="5" s="1"/>
  <c r="H88" i="5"/>
  <c r="BP88" i="5"/>
  <c r="BQ88" i="5" s="1"/>
  <c r="BM87" i="5"/>
  <c r="BN87" i="5" s="1"/>
  <c r="AS87" i="5"/>
  <c r="AT87" i="5" s="1"/>
  <c r="O87" i="5"/>
  <c r="P87" i="5" s="1"/>
  <c r="AG89" i="5"/>
  <c r="BE88" i="5"/>
  <c r="BF88" i="5" s="1"/>
  <c r="BH88" i="5" s="1"/>
  <c r="BI88" i="5" s="1"/>
  <c r="V88" i="5"/>
  <c r="W88" i="5" s="1"/>
  <c r="Y88" i="5" s="1"/>
  <c r="Z88" i="5" s="1"/>
  <c r="AZ88" i="5"/>
  <c r="BA88" i="5" s="1"/>
  <c r="BC88" i="5" s="1"/>
  <c r="BD88" i="5" s="1"/>
  <c r="AU88" i="5"/>
  <c r="AB88" i="5"/>
  <c r="AD88" i="5" s="1"/>
  <c r="AE88" i="5" s="1"/>
  <c r="AI38" i="5"/>
  <c r="AJ38" i="5" s="1"/>
  <c r="AN38" i="5"/>
  <c r="AO38" i="5" s="1"/>
  <c r="S87" i="5"/>
  <c r="S88" i="5" s="1"/>
  <c r="BK88" i="5"/>
  <c r="M88" i="5"/>
  <c r="N88" i="5" s="1"/>
  <c r="AZ39" i="5"/>
  <c r="BE39" i="5"/>
  <c r="V39" i="5"/>
  <c r="AI87" i="5"/>
  <c r="AJ87" i="5" s="1"/>
  <c r="AE38" i="5"/>
  <c r="BS38" i="5"/>
  <c r="P38" i="5"/>
  <c r="AC38" i="5"/>
  <c r="I88" i="5"/>
  <c r="AM88" i="5"/>
  <c r="AT38" i="5"/>
  <c r="BN38" i="5"/>
  <c r="AB39" i="5"/>
  <c r="N38" i="5"/>
  <c r="BQ38" i="5"/>
  <c r="AR38" i="5"/>
  <c r="S38" i="5"/>
  <c r="I38" i="5"/>
  <c r="BI35" i="5"/>
  <c r="BI36" i="5" s="1"/>
  <c r="BI37" i="5" s="1"/>
  <c r="BI38" i="5" s="1"/>
  <c r="BG35" i="5"/>
  <c r="BG36" i="5" s="1"/>
  <c r="BG37" i="5" s="1"/>
  <c r="BG38" i="5" s="1"/>
  <c r="R39" i="5"/>
  <c r="AG39" i="5"/>
  <c r="H39" i="5"/>
  <c r="AQ39" i="5"/>
  <c r="AS39" i="5" s="1"/>
  <c r="BP39" i="5"/>
  <c r="BR39" i="5" s="1"/>
  <c r="M39" i="5"/>
  <c r="O39" i="5" s="1"/>
  <c r="AL39" i="5"/>
  <c r="BK39" i="5"/>
  <c r="BM39" i="5" s="1"/>
  <c r="Z35" i="5"/>
  <c r="Z36" i="5" s="1"/>
  <c r="Z37" i="5" s="1"/>
  <c r="Z38" i="5" s="1"/>
  <c r="X35" i="5"/>
  <c r="X36" i="5" s="1"/>
  <c r="X37" i="5" s="1"/>
  <c r="X38" i="5" s="1"/>
  <c r="AH38" i="5"/>
  <c r="BD35" i="5"/>
  <c r="BD36" i="5" s="1"/>
  <c r="BD37" i="5" s="1"/>
  <c r="BD38" i="5" s="1"/>
  <c r="BB35" i="5"/>
  <c r="BB36" i="5" s="1"/>
  <c r="BB37" i="5" s="1"/>
  <c r="BB38" i="5" s="1"/>
  <c r="AM38" i="5"/>
  <c r="BL38" i="5"/>
  <c r="AY35" i="5"/>
  <c r="AY36" i="5" s="1"/>
  <c r="AY37" i="5" s="1"/>
  <c r="AY38" i="5" s="1"/>
  <c r="AW35" i="5"/>
  <c r="AW36" i="5" s="1"/>
  <c r="AW37" i="5" s="1"/>
  <c r="AW38" i="5" s="1"/>
  <c r="BG88" i="5" l="1"/>
  <c r="BB88" i="5"/>
  <c r="U88" i="5"/>
  <c r="AL89" i="5"/>
  <c r="AM89" i="5" s="1"/>
  <c r="X88" i="5"/>
  <c r="AQ89" i="5"/>
  <c r="AS89" i="5" s="1"/>
  <c r="BK89" i="5"/>
  <c r="BM89" i="5" s="1"/>
  <c r="H89" i="5"/>
  <c r="R89" i="5"/>
  <c r="T89" i="5" s="1"/>
  <c r="M89" i="5"/>
  <c r="O89" i="5" s="1"/>
  <c r="AC88" i="5"/>
  <c r="BP89" i="5"/>
  <c r="BQ89" i="5" s="1"/>
  <c r="BM88" i="5"/>
  <c r="BN88" i="5" s="1"/>
  <c r="AI88" i="5"/>
  <c r="AJ88" i="5" s="1"/>
  <c r="AI39" i="5"/>
  <c r="AJ39" i="5" s="1"/>
  <c r="AN89" i="5"/>
  <c r="AO89" i="5" s="1"/>
  <c r="AI89" i="5"/>
  <c r="BL88" i="5"/>
  <c r="BE40" i="5"/>
  <c r="V40" i="5"/>
  <c r="AZ40" i="5"/>
  <c r="BR88" i="5"/>
  <c r="BS88" i="5" s="1"/>
  <c r="AS88" i="5"/>
  <c r="AT88" i="5" s="1"/>
  <c r="J89" i="5"/>
  <c r="AN39" i="5"/>
  <c r="AO39" i="5" s="1"/>
  <c r="J39" i="5"/>
  <c r="K39" i="5" s="1"/>
  <c r="T39" i="5"/>
  <c r="U39" i="5" s="1"/>
  <c r="AD39" i="5"/>
  <c r="AE39" i="5" s="1"/>
  <c r="AH88" i="5"/>
  <c r="AH89" i="5" s="1"/>
  <c r="O88" i="5"/>
  <c r="P88" i="5" s="1"/>
  <c r="AV88" i="5"/>
  <c r="BK90" i="5"/>
  <c r="AZ89" i="5"/>
  <c r="BA89" i="5" s="1"/>
  <c r="BC89" i="5" s="1"/>
  <c r="BD89" i="5" s="1"/>
  <c r="AU89" i="5"/>
  <c r="AV89" i="5" s="1"/>
  <c r="BE89" i="5"/>
  <c r="BF89" i="5" s="1"/>
  <c r="BH89" i="5" s="1"/>
  <c r="BI89" i="5" s="1"/>
  <c r="V89" i="5"/>
  <c r="W89" i="5" s="1"/>
  <c r="Y89" i="5" s="1"/>
  <c r="Z89" i="5" s="1"/>
  <c r="AB89" i="5"/>
  <c r="AD89" i="5" s="1"/>
  <c r="AE89" i="5" s="1"/>
  <c r="J88" i="5"/>
  <c r="K88" i="5" s="1"/>
  <c r="BS39" i="5"/>
  <c r="P39" i="5"/>
  <c r="BN39" i="5"/>
  <c r="AT39" i="5"/>
  <c r="AC39" i="5"/>
  <c r="AR89" i="5"/>
  <c r="H90" i="5"/>
  <c r="AQ90" i="5"/>
  <c r="BG89" i="5"/>
  <c r="X89" i="5"/>
  <c r="I89" i="5"/>
  <c r="AB40" i="5"/>
  <c r="I39" i="5"/>
  <c r="BQ39" i="5"/>
  <c r="AR39" i="5"/>
  <c r="AH39" i="5"/>
  <c r="S39" i="5"/>
  <c r="BL39" i="5"/>
  <c r="R40" i="5"/>
  <c r="M40" i="5"/>
  <c r="O40" i="5" s="1"/>
  <c r="BP40" i="5"/>
  <c r="BR40" i="5" s="1"/>
  <c r="BK40" i="5"/>
  <c r="BM40" i="5" s="1"/>
  <c r="AL40" i="5"/>
  <c r="AG40" i="5"/>
  <c r="H40" i="5"/>
  <c r="AQ40" i="5"/>
  <c r="AS40" i="5" s="1"/>
  <c r="N39" i="5"/>
  <c r="AM39" i="5"/>
  <c r="U89" i="5" l="1"/>
  <c r="S89" i="5"/>
  <c r="K89" i="5"/>
  <c r="BL89" i="5"/>
  <c r="BL90" i="5" s="1"/>
  <c r="AG90" i="5"/>
  <c r="AI90" i="5" s="1"/>
  <c r="N89" i="5"/>
  <c r="AJ89" i="5"/>
  <c r="BR89" i="5"/>
  <c r="BS89" i="5" s="1"/>
  <c r="BN89" i="5"/>
  <c r="P89" i="5"/>
  <c r="AT89" i="5"/>
  <c r="AC89" i="5"/>
  <c r="AD40" i="5"/>
  <c r="AE40" i="5" s="1"/>
  <c r="BM90" i="5"/>
  <c r="M91" i="5"/>
  <c r="AZ90" i="5"/>
  <c r="BA90" i="5" s="1"/>
  <c r="BC90" i="5" s="1"/>
  <c r="BD90" i="5" s="1"/>
  <c r="AU90" i="5"/>
  <c r="AV90" i="5" s="1"/>
  <c r="BE90" i="5"/>
  <c r="BF90" i="5" s="1"/>
  <c r="BG90" i="5" s="1"/>
  <c r="V90" i="5"/>
  <c r="W90" i="5" s="1"/>
  <c r="Y90" i="5" s="1"/>
  <c r="Z90" i="5" s="1"/>
  <c r="AB90" i="5"/>
  <c r="AD90" i="5" s="1"/>
  <c r="AE90" i="5" s="1"/>
  <c r="AN40" i="5"/>
  <c r="AO40" i="5" s="1"/>
  <c r="T40" i="5"/>
  <c r="U40" i="5" s="1"/>
  <c r="R90" i="5"/>
  <c r="AL90" i="5"/>
  <c r="AM90" i="5" s="1"/>
  <c r="AX88" i="5"/>
  <c r="AY88" i="5" s="1"/>
  <c r="AW88" i="5"/>
  <c r="AW89" i="5" s="1"/>
  <c r="J40" i="5"/>
  <c r="K40" i="5" s="1"/>
  <c r="AS90" i="5"/>
  <c r="BE41" i="5"/>
  <c r="BF41" i="5" s="1"/>
  <c r="BH41" i="5" s="1"/>
  <c r="V41" i="5"/>
  <c r="W41" i="5" s="1"/>
  <c r="Y41" i="5" s="1"/>
  <c r="AZ41" i="5"/>
  <c r="BA41" i="5" s="1"/>
  <c r="BC41" i="5" s="1"/>
  <c r="AI40" i="5"/>
  <c r="AJ40" i="5" s="1"/>
  <c r="J90" i="5"/>
  <c r="BB89" i="5"/>
  <c r="BP90" i="5"/>
  <c r="M90" i="5"/>
  <c r="AX89" i="5"/>
  <c r="BS40" i="5"/>
  <c r="I90" i="5"/>
  <c r="P40" i="5"/>
  <c r="S90" i="5"/>
  <c r="AT40" i="5"/>
  <c r="BN40" i="5"/>
  <c r="X90" i="5"/>
  <c r="AR90" i="5"/>
  <c r="AC40" i="5"/>
  <c r="R91" i="5"/>
  <c r="AL91" i="5"/>
  <c r="BP91" i="5"/>
  <c r="H91" i="5"/>
  <c r="BK91" i="5"/>
  <c r="BQ90" i="5"/>
  <c r="AB41" i="5"/>
  <c r="N40" i="5"/>
  <c r="BA40" i="5"/>
  <c r="BC40" i="5" s="1"/>
  <c r="BQ40" i="5"/>
  <c r="AV40" i="5"/>
  <c r="AX40" i="5" s="1"/>
  <c r="S40" i="5"/>
  <c r="AH40" i="5"/>
  <c r="AR40" i="5"/>
  <c r="I40" i="5"/>
  <c r="AQ41" i="5"/>
  <c r="AS41" i="5" s="1"/>
  <c r="M41" i="5"/>
  <c r="O41" i="5" s="1"/>
  <c r="AV41" i="5"/>
  <c r="AX41" i="5" s="1"/>
  <c r="H41" i="5"/>
  <c r="BP41" i="5"/>
  <c r="BR41" i="5" s="1"/>
  <c r="R41" i="5"/>
  <c r="AG41" i="5"/>
  <c r="BK41" i="5"/>
  <c r="AL41" i="5"/>
  <c r="BF39" i="5"/>
  <c r="BH39" i="5" s="1"/>
  <c r="AV39" i="5"/>
  <c r="AX39" i="5" s="1"/>
  <c r="BA39" i="5"/>
  <c r="BC39" i="5" s="1"/>
  <c r="W39" i="5"/>
  <c r="Y39" i="5" s="1"/>
  <c r="AM40" i="5"/>
  <c r="W40" i="5"/>
  <c r="Y40" i="5" s="1"/>
  <c r="BF40" i="5"/>
  <c r="BH40" i="5" s="1"/>
  <c r="BL40" i="5"/>
  <c r="K90" i="5" l="1"/>
  <c r="AH90" i="5"/>
  <c r="BB90" i="5"/>
  <c r="AT90" i="5"/>
  <c r="AW90" i="5"/>
  <c r="AJ90" i="5"/>
  <c r="AY89" i="5"/>
  <c r="BN90" i="5"/>
  <c r="O91" i="5"/>
  <c r="AN91" i="5"/>
  <c r="O90" i="5"/>
  <c r="P90" i="5" s="1"/>
  <c r="BM41" i="5"/>
  <c r="BN41" i="5" s="1"/>
  <c r="BM91" i="5"/>
  <c r="T91" i="5"/>
  <c r="BR90" i="5"/>
  <c r="BS90" i="5" s="1"/>
  <c r="AI41" i="5"/>
  <c r="AJ41" i="5" s="1"/>
  <c r="AD41" i="5"/>
  <c r="AE41" i="5" s="1"/>
  <c r="AG91" i="5"/>
  <c r="AH91" i="5" s="1"/>
  <c r="N90" i="5"/>
  <c r="N91" i="5" s="1"/>
  <c r="AZ42" i="5"/>
  <c r="BE42" i="5"/>
  <c r="V42" i="5"/>
  <c r="AN90" i="5"/>
  <c r="AO90" i="5" s="1"/>
  <c r="BH90" i="5"/>
  <c r="BI90" i="5" s="1"/>
  <c r="AC90" i="5"/>
  <c r="AN41" i="5"/>
  <c r="AO41" i="5" s="1"/>
  <c r="J91" i="5"/>
  <c r="J41" i="5"/>
  <c r="K41" i="5" s="1"/>
  <c r="BR91" i="5"/>
  <c r="AG92" i="5"/>
  <c r="BE91" i="5"/>
  <c r="V91" i="5"/>
  <c r="AB91" i="5"/>
  <c r="AD91" i="5" s="1"/>
  <c r="AE91" i="5" s="1"/>
  <c r="AU91" i="5"/>
  <c r="AZ91" i="5"/>
  <c r="T41" i="5"/>
  <c r="U41" i="5" s="1"/>
  <c r="AQ91" i="5"/>
  <c r="T90" i="5"/>
  <c r="U90" i="5" s="1"/>
  <c r="AX90" i="5"/>
  <c r="AY90" i="5" s="1"/>
  <c r="BS41" i="5"/>
  <c r="P41" i="5"/>
  <c r="S91" i="5"/>
  <c r="AT41" i="5"/>
  <c r="AM91" i="5"/>
  <c r="I91" i="5"/>
  <c r="BQ91" i="5"/>
  <c r="AC41" i="5"/>
  <c r="R92" i="5"/>
  <c r="BP92" i="5"/>
  <c r="BL91" i="5"/>
  <c r="AB42" i="5"/>
  <c r="N41" i="5"/>
  <c r="AM41" i="5"/>
  <c r="AY39" i="5"/>
  <c r="AY40" i="5" s="1"/>
  <c r="AY41" i="5" s="1"/>
  <c r="AW39" i="5"/>
  <c r="AW40" i="5" s="1"/>
  <c r="AW41" i="5" s="1"/>
  <c r="BL41" i="5"/>
  <c r="M42" i="5"/>
  <c r="O42" i="5" s="1"/>
  <c r="AG42" i="5"/>
  <c r="R42" i="5"/>
  <c r="H42" i="5"/>
  <c r="AQ42" i="5"/>
  <c r="AS42" i="5" s="1"/>
  <c r="BP42" i="5"/>
  <c r="AL42" i="5"/>
  <c r="BK42" i="5"/>
  <c r="I41" i="5"/>
  <c r="Z39" i="5"/>
  <c r="Z40" i="5" s="1"/>
  <c r="Z41" i="5" s="1"/>
  <c r="X39" i="5"/>
  <c r="X40" i="5" s="1"/>
  <c r="X41" i="5" s="1"/>
  <c r="AR41" i="5"/>
  <c r="S41" i="5"/>
  <c r="BI39" i="5"/>
  <c r="BI40" i="5" s="1"/>
  <c r="BI41" i="5" s="1"/>
  <c r="BG39" i="5"/>
  <c r="BG40" i="5" s="1"/>
  <c r="BG41" i="5" s="1"/>
  <c r="AH41" i="5"/>
  <c r="BD39" i="5"/>
  <c r="BD40" i="5" s="1"/>
  <c r="BD41" i="5" s="1"/>
  <c r="BB39" i="5"/>
  <c r="BB40" i="5" s="1"/>
  <c r="BB41" i="5" s="1"/>
  <c r="BQ41" i="5"/>
  <c r="K91" i="5" l="1"/>
  <c r="AO91" i="5"/>
  <c r="AQ92" i="5"/>
  <c r="M92" i="5"/>
  <c r="BN91" i="5"/>
  <c r="U91" i="5"/>
  <c r="BS91" i="5"/>
  <c r="AI92" i="5"/>
  <c r="P91" i="5"/>
  <c r="T92" i="5"/>
  <c r="U92" i="5" s="1"/>
  <c r="J42" i="5"/>
  <c r="K42" i="5" s="1"/>
  <c r="AS91" i="5"/>
  <c r="AT91" i="5" s="1"/>
  <c r="AN42" i="5"/>
  <c r="AO42" i="5" s="1"/>
  <c r="T42" i="5"/>
  <c r="U42" i="5" s="1"/>
  <c r="AD42" i="5"/>
  <c r="AE42" i="5" s="1"/>
  <c r="H92" i="5"/>
  <c r="AR91" i="5"/>
  <c r="AR92" i="5" s="1"/>
  <c r="AC91" i="5"/>
  <c r="AZ43" i="5"/>
  <c r="BE43" i="5"/>
  <c r="V43" i="5"/>
  <c r="AS92" i="5"/>
  <c r="AI91" i="5"/>
  <c r="AJ91" i="5" s="1"/>
  <c r="BM42" i="5"/>
  <c r="BN42" i="5" s="1"/>
  <c r="BR92" i="5"/>
  <c r="O92" i="5"/>
  <c r="AV91" i="5"/>
  <c r="BP93" i="5"/>
  <c r="BE92" i="5"/>
  <c r="V92" i="5"/>
  <c r="AZ92" i="5"/>
  <c r="AU92" i="5"/>
  <c r="AV92" i="5" s="1"/>
  <c r="AB92" i="5"/>
  <c r="AD92" i="5" s="1"/>
  <c r="AE92" i="5" s="1"/>
  <c r="BR42" i="5"/>
  <c r="BS42" i="5" s="1"/>
  <c r="AI42" i="5"/>
  <c r="AJ42" i="5" s="1"/>
  <c r="BK92" i="5"/>
  <c r="BL92" i="5" s="1"/>
  <c r="AL92" i="5"/>
  <c r="P42" i="5"/>
  <c r="AT42" i="5"/>
  <c r="N92" i="5"/>
  <c r="I92" i="5"/>
  <c r="AH92" i="5"/>
  <c r="BQ92" i="5"/>
  <c r="S92" i="5"/>
  <c r="AM92" i="5"/>
  <c r="AC42" i="5"/>
  <c r="AB43" i="5"/>
  <c r="S42" i="5"/>
  <c r="N42" i="5"/>
  <c r="AM42" i="5"/>
  <c r="BQ42" i="5"/>
  <c r="AQ43" i="5"/>
  <c r="AS43" i="5" s="1"/>
  <c r="BK43" i="5"/>
  <c r="R43" i="5"/>
  <c r="BP43" i="5"/>
  <c r="H43" i="5"/>
  <c r="AG43" i="5"/>
  <c r="M43" i="5"/>
  <c r="AL43" i="5"/>
  <c r="AH42" i="5"/>
  <c r="I42" i="5"/>
  <c r="BL42" i="5"/>
  <c r="AR42" i="5"/>
  <c r="BS92" i="5" l="1"/>
  <c r="P92" i="5"/>
  <c r="AT92" i="5"/>
  <c r="M93" i="5"/>
  <c r="O93" i="5" s="1"/>
  <c r="AC92" i="5"/>
  <c r="H93" i="5"/>
  <c r="J93" i="5" s="1"/>
  <c r="BR93" i="5"/>
  <c r="AJ92" i="5"/>
  <c r="T43" i="5"/>
  <c r="U43" i="5" s="1"/>
  <c r="AX92" i="5"/>
  <c r="AZ44" i="5"/>
  <c r="BE44" i="5"/>
  <c r="V44" i="5"/>
  <c r="BM43" i="5"/>
  <c r="BN43" i="5" s="1"/>
  <c r="AQ93" i="5"/>
  <c r="J43" i="5"/>
  <c r="K43" i="5" s="1"/>
  <c r="R93" i="5"/>
  <c r="S93" i="5" s="1"/>
  <c r="BK93" i="5"/>
  <c r="BL93" i="5" s="1"/>
  <c r="BM92" i="5"/>
  <c r="BN92" i="5" s="1"/>
  <c r="AX91" i="5"/>
  <c r="AY91" i="5" s="1"/>
  <c r="AW91" i="5"/>
  <c r="AW92" i="5" s="1"/>
  <c r="O43" i="5"/>
  <c r="P43" i="5" s="1"/>
  <c r="AL94" i="5"/>
  <c r="V93" i="5"/>
  <c r="AZ93" i="5"/>
  <c r="AU93" i="5"/>
  <c r="AV93" i="5" s="1"/>
  <c r="BE93" i="5"/>
  <c r="AB93" i="5"/>
  <c r="AD93" i="5" s="1"/>
  <c r="AE93" i="5" s="1"/>
  <c r="AI43" i="5"/>
  <c r="AJ43" i="5" s="1"/>
  <c r="AL93" i="5"/>
  <c r="AN92" i="5"/>
  <c r="AO92" i="5" s="1"/>
  <c r="AN43" i="5"/>
  <c r="AO43" i="5" s="1"/>
  <c r="BR43" i="5"/>
  <c r="BS43" i="5" s="1"/>
  <c r="AD43" i="5"/>
  <c r="AE43" i="5" s="1"/>
  <c r="AG93" i="5"/>
  <c r="AH93" i="5" s="1"/>
  <c r="J92" i="5"/>
  <c r="K92" i="5" s="1"/>
  <c r="AT43" i="5"/>
  <c r="BQ93" i="5"/>
  <c r="N93" i="5"/>
  <c r="R94" i="5"/>
  <c r="BP94" i="5"/>
  <c r="AB44" i="5"/>
  <c r="AC43" i="5"/>
  <c r="I43" i="5"/>
  <c r="AR43" i="5"/>
  <c r="N43" i="5"/>
  <c r="BL43" i="5"/>
  <c r="AH43" i="5"/>
  <c r="S43" i="5"/>
  <c r="BP44" i="5"/>
  <c r="H44" i="5"/>
  <c r="AG44" i="5"/>
  <c r="R44" i="5"/>
  <c r="BK44" i="5"/>
  <c r="M44" i="5"/>
  <c r="AQ44" i="5"/>
  <c r="AS44" i="5" s="1"/>
  <c r="AL44" i="5"/>
  <c r="AM43" i="5"/>
  <c r="BQ43" i="5"/>
  <c r="BS93" i="5" l="1"/>
  <c r="P93" i="5"/>
  <c r="I93" i="5"/>
  <c r="AC93" i="5"/>
  <c r="AY92" i="5"/>
  <c r="AN94" i="5"/>
  <c r="K93" i="5"/>
  <c r="O44" i="5"/>
  <c r="P44" i="5" s="1"/>
  <c r="BR94" i="5"/>
  <c r="BS94" i="5" s="1"/>
  <c r="AN93" i="5"/>
  <c r="AO93" i="5" s="1"/>
  <c r="BM44" i="5"/>
  <c r="BN44" i="5" s="1"/>
  <c r="M94" i="5"/>
  <c r="N94" i="5" s="1"/>
  <c r="AX93" i="5"/>
  <c r="T93" i="5"/>
  <c r="U93" i="5" s="1"/>
  <c r="AS93" i="5"/>
  <c r="AT93" i="5" s="1"/>
  <c r="T44" i="5"/>
  <c r="U44" i="5" s="1"/>
  <c r="H94" i="5"/>
  <c r="AW93" i="5"/>
  <c r="J44" i="5"/>
  <c r="K44" i="5" s="1"/>
  <c r="T94" i="5"/>
  <c r="AL95" i="5"/>
  <c r="AZ94" i="5"/>
  <c r="AU94" i="5"/>
  <c r="AV94" i="5" s="1"/>
  <c r="BE94" i="5"/>
  <c r="V94" i="5"/>
  <c r="AB94" i="5"/>
  <c r="AD94" i="5" s="1"/>
  <c r="AE94" i="5" s="1"/>
  <c r="BM93" i="5"/>
  <c r="BN93" i="5" s="1"/>
  <c r="BR44" i="5"/>
  <c r="BS44" i="5" s="1"/>
  <c r="AD44" i="5"/>
  <c r="AE44" i="5" s="1"/>
  <c r="AN44" i="5"/>
  <c r="AO44" i="5" s="1"/>
  <c r="AR93" i="5"/>
  <c r="AI44" i="5"/>
  <c r="AJ44" i="5" s="1"/>
  <c r="AG94" i="5"/>
  <c r="AH94" i="5" s="1"/>
  <c r="AQ94" i="5"/>
  <c r="BK94" i="5"/>
  <c r="BL94" i="5" s="1"/>
  <c r="AM93" i="5"/>
  <c r="AM94" i="5" s="1"/>
  <c r="AI93" i="5"/>
  <c r="AJ93" i="5" s="1"/>
  <c r="BE45" i="5"/>
  <c r="V45" i="5"/>
  <c r="AZ45" i="5"/>
  <c r="AT44" i="5"/>
  <c r="I44" i="5"/>
  <c r="AC44" i="5"/>
  <c r="BQ94" i="5"/>
  <c r="S94" i="5"/>
  <c r="H95" i="5"/>
  <c r="M95" i="5"/>
  <c r="AB45" i="5"/>
  <c r="BQ44" i="5"/>
  <c r="BL44" i="5"/>
  <c r="N44" i="5"/>
  <c r="AM44" i="5"/>
  <c r="AH44" i="5"/>
  <c r="H45" i="5"/>
  <c r="AL45" i="5"/>
  <c r="BK45" i="5"/>
  <c r="R45" i="5"/>
  <c r="AG45" i="5"/>
  <c r="M45" i="5"/>
  <c r="AQ45" i="5"/>
  <c r="BP45" i="5"/>
  <c r="S44" i="5"/>
  <c r="AR44" i="5"/>
  <c r="AG95" i="5" l="1"/>
  <c r="BK95" i="5"/>
  <c r="BP95" i="5"/>
  <c r="BQ95" i="5" s="1"/>
  <c r="R95" i="5"/>
  <c r="T95" i="5" s="1"/>
  <c r="AQ95" i="5"/>
  <c r="AR94" i="5"/>
  <c r="AW94" i="5"/>
  <c r="AY93" i="5"/>
  <c r="U94" i="5"/>
  <c r="AO94" i="5"/>
  <c r="AS94" i="5"/>
  <c r="AT94" i="5" s="1"/>
  <c r="AX94" i="5"/>
  <c r="J94" i="5"/>
  <c r="K94" i="5" s="1"/>
  <c r="BM45" i="5"/>
  <c r="BN45" i="5" s="1"/>
  <c r="AD45" i="5"/>
  <c r="AE45" i="5" s="1"/>
  <c r="BM95" i="5"/>
  <c r="O94" i="5"/>
  <c r="P94" i="5" s="1"/>
  <c r="AI45" i="5"/>
  <c r="AJ45" i="5" s="1"/>
  <c r="J45" i="5"/>
  <c r="K45" i="5" s="1"/>
  <c r="AS95" i="5"/>
  <c r="AN95" i="5"/>
  <c r="BR45" i="5"/>
  <c r="BS45" i="5" s="1"/>
  <c r="T45" i="5"/>
  <c r="U45" i="5" s="1"/>
  <c r="AI95" i="5"/>
  <c r="J95" i="5"/>
  <c r="AI94" i="5"/>
  <c r="AJ94" i="5" s="1"/>
  <c r="AS45" i="5"/>
  <c r="AT45" i="5" s="1"/>
  <c r="BR95" i="5"/>
  <c r="BS95" i="5" s="1"/>
  <c r="O45" i="5"/>
  <c r="P45" i="5" s="1"/>
  <c r="AN45" i="5"/>
  <c r="AO45" i="5" s="1"/>
  <c r="I94" i="5"/>
  <c r="I95" i="5" s="1"/>
  <c r="O95" i="5"/>
  <c r="AZ46" i="5"/>
  <c r="BE46" i="5"/>
  <c r="V46" i="5"/>
  <c r="BM94" i="5"/>
  <c r="BN94" i="5" s="1"/>
  <c r="AC94" i="5"/>
  <c r="R96" i="5"/>
  <c r="AZ95" i="5"/>
  <c r="BE95" i="5"/>
  <c r="V95" i="5"/>
  <c r="AB95" i="5"/>
  <c r="AD95" i="5" s="1"/>
  <c r="AE95" i="5" s="1"/>
  <c r="AU95" i="5"/>
  <c r="AV95" i="5" s="1"/>
  <c r="AW95" i="5" s="1"/>
  <c r="AC45" i="5"/>
  <c r="AM95" i="5"/>
  <c r="AH95" i="5"/>
  <c r="BL95" i="5"/>
  <c r="AR95" i="5"/>
  <c r="N95" i="5"/>
  <c r="AB46" i="5"/>
  <c r="N45" i="5"/>
  <c r="I45" i="5"/>
  <c r="S45" i="5"/>
  <c r="BL45" i="5"/>
  <c r="AR45" i="5"/>
  <c r="AH45" i="5"/>
  <c r="AM45" i="5"/>
  <c r="AQ46" i="5"/>
  <c r="R46" i="5"/>
  <c r="BK46" i="5"/>
  <c r="BP46" i="5"/>
  <c r="AL46" i="5"/>
  <c r="H46" i="5"/>
  <c r="AG46" i="5"/>
  <c r="M46" i="5"/>
  <c r="BQ45" i="5"/>
  <c r="AY94" i="5" l="1"/>
  <c r="S95" i="5"/>
  <c r="AO95" i="5"/>
  <c r="P95" i="5"/>
  <c r="K95" i="5"/>
  <c r="AT95" i="5"/>
  <c r="AG96" i="5"/>
  <c r="AI96" i="5" s="1"/>
  <c r="H96" i="5"/>
  <c r="J96" i="5" s="1"/>
  <c r="U95" i="5"/>
  <c r="AJ95" i="5"/>
  <c r="T96" i="5"/>
  <c r="BN95" i="5"/>
  <c r="O46" i="5"/>
  <c r="P46" i="5" s="1"/>
  <c r="AI46" i="5"/>
  <c r="AJ46" i="5" s="1"/>
  <c r="BK96" i="5"/>
  <c r="J46" i="5"/>
  <c r="K46" i="5" s="1"/>
  <c r="T46" i="5"/>
  <c r="U46" i="5" s="1"/>
  <c r="AQ96" i="5"/>
  <c r="BR46" i="5"/>
  <c r="BS46" i="5" s="1"/>
  <c r="AG97" i="5"/>
  <c r="BE96" i="5"/>
  <c r="V96" i="5"/>
  <c r="AZ96" i="5"/>
  <c r="AU96" i="5"/>
  <c r="AV96" i="5" s="1"/>
  <c r="AW96" i="5" s="1"/>
  <c r="AB96" i="5"/>
  <c r="AD96" i="5" s="1"/>
  <c r="AE96" i="5" s="1"/>
  <c r="BM46" i="5"/>
  <c r="BN46" i="5" s="1"/>
  <c r="M96" i="5"/>
  <c r="N96" i="5" s="1"/>
  <c r="AC95" i="5"/>
  <c r="AN46" i="5"/>
  <c r="AO46" i="5" s="1"/>
  <c r="AS46" i="5"/>
  <c r="AT46" i="5" s="1"/>
  <c r="AD46" i="5"/>
  <c r="AE46" i="5" s="1"/>
  <c r="BP96" i="5"/>
  <c r="BQ96" i="5" s="1"/>
  <c r="AL96" i="5"/>
  <c r="AM96" i="5" s="1"/>
  <c r="AX95" i="5"/>
  <c r="AZ47" i="5"/>
  <c r="BE47" i="5"/>
  <c r="V47" i="5"/>
  <c r="S96" i="5"/>
  <c r="BL96" i="5"/>
  <c r="AR96" i="5"/>
  <c r="H97" i="5"/>
  <c r="AL97" i="5"/>
  <c r="M97" i="5"/>
  <c r="R97" i="5"/>
  <c r="AC46" i="5"/>
  <c r="AB47" i="5"/>
  <c r="BQ46" i="5"/>
  <c r="AR46" i="5"/>
  <c r="S46" i="5"/>
  <c r="I46" i="5"/>
  <c r="AH46" i="5"/>
  <c r="AG47" i="5"/>
  <c r="BP47" i="5"/>
  <c r="BK47" i="5"/>
  <c r="AL47" i="5"/>
  <c r="R47" i="5"/>
  <c r="H47" i="5"/>
  <c r="J47" i="5" s="1"/>
  <c r="M47" i="5"/>
  <c r="AQ47" i="5"/>
  <c r="AM46" i="5"/>
  <c r="N46" i="5"/>
  <c r="BL46" i="5"/>
  <c r="AY95" i="5" l="1"/>
  <c r="AJ96" i="5"/>
  <c r="AQ97" i="5"/>
  <c r="BK97" i="5"/>
  <c r="BM97" i="5" s="1"/>
  <c r="BP97" i="5"/>
  <c r="AH96" i="5"/>
  <c r="AH97" i="5" s="1"/>
  <c r="K96" i="5"/>
  <c r="AC96" i="5"/>
  <c r="U96" i="5"/>
  <c r="I96" i="5"/>
  <c r="I97" i="5" s="1"/>
  <c r="O47" i="5"/>
  <c r="P47" i="5" s="1"/>
  <c r="BM47" i="5"/>
  <c r="BN47" i="5" s="1"/>
  <c r="AD47" i="5"/>
  <c r="AE47" i="5" s="1"/>
  <c r="BR97" i="5"/>
  <c r="BR47" i="5"/>
  <c r="BS47" i="5" s="1"/>
  <c r="T97" i="5"/>
  <c r="AI97" i="5"/>
  <c r="AI47" i="5"/>
  <c r="AJ47" i="5" s="1"/>
  <c r="AN97" i="5"/>
  <c r="AN96" i="5"/>
  <c r="AO96" i="5" s="1"/>
  <c r="AS96" i="5"/>
  <c r="AT96" i="5" s="1"/>
  <c r="T47" i="5"/>
  <c r="U47" i="5" s="1"/>
  <c r="O97" i="5"/>
  <c r="AS47" i="5"/>
  <c r="AT47" i="5" s="1"/>
  <c r="AN47" i="5"/>
  <c r="AO47" i="5" s="1"/>
  <c r="AS97" i="5"/>
  <c r="J97" i="5"/>
  <c r="K97" i="5" s="1"/>
  <c r="BE48" i="5"/>
  <c r="V48" i="5"/>
  <c r="AZ48" i="5"/>
  <c r="BR96" i="5"/>
  <c r="BS96" i="5" s="1"/>
  <c r="O96" i="5"/>
  <c r="P96" i="5" s="1"/>
  <c r="AX96" i="5"/>
  <c r="AY96" i="5" s="1"/>
  <c r="BP98" i="5"/>
  <c r="AZ97" i="5"/>
  <c r="AU97" i="5"/>
  <c r="AV97" i="5" s="1"/>
  <c r="AW97" i="5" s="1"/>
  <c r="BE97" i="5"/>
  <c r="V97" i="5"/>
  <c r="AB97" i="5"/>
  <c r="AD97" i="5" s="1"/>
  <c r="AE97" i="5" s="1"/>
  <c r="BM96" i="5"/>
  <c r="BN96" i="5" s="1"/>
  <c r="BL97" i="5"/>
  <c r="N97" i="5"/>
  <c r="R98" i="5"/>
  <c r="M98" i="5"/>
  <c r="AR97" i="5"/>
  <c r="S97" i="5"/>
  <c r="AM97" i="5"/>
  <c r="BQ97" i="5"/>
  <c r="AB48" i="5"/>
  <c r="AC47" i="5"/>
  <c r="K47" i="5"/>
  <c r="BQ47" i="5"/>
  <c r="AM47" i="5"/>
  <c r="AH47" i="5"/>
  <c r="BL47" i="5"/>
  <c r="I47" i="5"/>
  <c r="N47" i="5"/>
  <c r="AR47" i="5"/>
  <c r="BP48" i="5"/>
  <c r="BK48" i="5"/>
  <c r="AQ48" i="5"/>
  <c r="R48" i="5"/>
  <c r="H48" i="5"/>
  <c r="J48" i="5" s="1"/>
  <c r="M48" i="5"/>
  <c r="AL48" i="5"/>
  <c r="AG48" i="5"/>
  <c r="S47" i="5"/>
  <c r="AJ97" i="5" l="1"/>
  <c r="P97" i="5"/>
  <c r="U97" i="5"/>
  <c r="H98" i="5"/>
  <c r="AG98" i="5"/>
  <c r="AI98" i="5" s="1"/>
  <c r="AJ98" i="5" s="1"/>
  <c r="AL98" i="5"/>
  <c r="AN98" i="5" s="1"/>
  <c r="AT97" i="5"/>
  <c r="AC97" i="5"/>
  <c r="BK98" i="5"/>
  <c r="BM98" i="5" s="1"/>
  <c r="AQ98" i="5"/>
  <c r="AS98" i="5" s="1"/>
  <c r="BS97" i="5"/>
  <c r="AO97" i="5"/>
  <c r="BN97" i="5"/>
  <c r="T48" i="5"/>
  <c r="U48" i="5" s="1"/>
  <c r="AN48" i="5"/>
  <c r="AO48" i="5" s="1"/>
  <c r="AD48" i="5"/>
  <c r="AE48" i="5" s="1"/>
  <c r="O98" i="5"/>
  <c r="P98" i="5" s="1"/>
  <c r="BR98" i="5"/>
  <c r="BE49" i="5"/>
  <c r="V49" i="5"/>
  <c r="AZ49" i="5"/>
  <c r="O48" i="5"/>
  <c r="P48" i="5" s="1"/>
  <c r="BM48" i="5"/>
  <c r="BN48" i="5" s="1"/>
  <c r="J98" i="5"/>
  <c r="K98" i="5" s="1"/>
  <c r="T98" i="5"/>
  <c r="AI48" i="5"/>
  <c r="AJ48" i="5" s="1"/>
  <c r="AS48" i="5"/>
  <c r="AT48" i="5" s="1"/>
  <c r="AX97" i="5"/>
  <c r="AY97" i="5" s="1"/>
  <c r="BR48" i="5"/>
  <c r="BS48" i="5" s="1"/>
  <c r="M99" i="5"/>
  <c r="AZ98" i="5"/>
  <c r="AU98" i="5"/>
  <c r="AV98" i="5" s="1"/>
  <c r="AW98" i="5" s="1"/>
  <c r="BE98" i="5"/>
  <c r="V98" i="5"/>
  <c r="AB98" i="5"/>
  <c r="AD98" i="5" s="1"/>
  <c r="AE98" i="5" s="1"/>
  <c r="BQ98" i="5"/>
  <c r="I98" i="5"/>
  <c r="AC48" i="5"/>
  <c r="S98" i="5"/>
  <c r="AM98" i="5"/>
  <c r="BP99" i="5"/>
  <c r="AQ99" i="5"/>
  <c r="BK99" i="5"/>
  <c r="R99" i="5"/>
  <c r="AG99" i="5"/>
  <c r="N98" i="5"/>
  <c r="AB49" i="5"/>
  <c r="K48" i="5"/>
  <c r="S48" i="5"/>
  <c r="BQ48" i="5"/>
  <c r="BP49" i="5"/>
  <c r="AL49" i="5"/>
  <c r="H49" i="5"/>
  <c r="J49" i="5" s="1"/>
  <c r="AG49" i="5"/>
  <c r="M49" i="5"/>
  <c r="R49" i="5"/>
  <c r="AQ49" i="5"/>
  <c r="BK49" i="5"/>
  <c r="I48" i="5"/>
  <c r="AR48" i="5"/>
  <c r="BL48" i="5"/>
  <c r="AH48" i="5"/>
  <c r="N48" i="5"/>
  <c r="AM48" i="5"/>
  <c r="U98" i="5" l="1"/>
  <c r="AO98" i="5"/>
  <c r="BN98" i="5"/>
  <c r="AH98" i="5"/>
  <c r="BL98" i="5"/>
  <c r="AT98" i="5"/>
  <c r="BS98" i="5"/>
  <c r="AR98" i="5"/>
  <c r="AR99" i="5" s="1"/>
  <c r="AN49" i="5"/>
  <c r="AO49" i="5" s="1"/>
  <c r="AI99" i="5"/>
  <c r="AJ99" i="5" s="1"/>
  <c r="O49" i="5"/>
  <c r="P49" i="5" s="1"/>
  <c r="AD49" i="5"/>
  <c r="AE49" i="5" s="1"/>
  <c r="O99" i="5"/>
  <c r="P99" i="5" s="1"/>
  <c r="AI49" i="5"/>
  <c r="AJ49" i="5" s="1"/>
  <c r="BM99" i="5"/>
  <c r="BN99" i="5" s="1"/>
  <c r="AG100" i="5"/>
  <c r="AU99" i="5"/>
  <c r="AV99" i="5" s="1"/>
  <c r="AW99" i="5" s="1"/>
  <c r="AB99" i="5"/>
  <c r="AD99" i="5" s="1"/>
  <c r="AE99" i="5" s="1"/>
  <c r="BE99" i="5"/>
  <c r="V99" i="5"/>
  <c r="AZ99" i="5"/>
  <c r="T49" i="5"/>
  <c r="U49" i="5" s="1"/>
  <c r="AS99" i="5"/>
  <c r="AT99" i="5" s="1"/>
  <c r="AX98" i="5"/>
  <c r="AY98" i="5" s="1"/>
  <c r="BR49" i="5"/>
  <c r="BS49" i="5" s="1"/>
  <c r="T99" i="5"/>
  <c r="U99" i="5" s="1"/>
  <c r="BM49" i="5"/>
  <c r="BN49" i="5" s="1"/>
  <c r="BR99" i="5"/>
  <c r="AS49" i="5"/>
  <c r="AT49" i="5" s="1"/>
  <c r="H99" i="5"/>
  <c r="I99" i="5" s="1"/>
  <c r="AL99" i="5"/>
  <c r="AM99" i="5" s="1"/>
  <c r="AC98" i="5"/>
  <c r="BE50" i="5"/>
  <c r="AZ50" i="5"/>
  <c r="V50" i="5"/>
  <c r="N99" i="5"/>
  <c r="AH99" i="5"/>
  <c r="AC49" i="5"/>
  <c r="BL99" i="5"/>
  <c r="BP100" i="5"/>
  <c r="S99" i="5"/>
  <c r="BQ99" i="5"/>
  <c r="AB50" i="5"/>
  <c r="K49" i="5"/>
  <c r="AR49" i="5"/>
  <c r="AM49" i="5"/>
  <c r="BL49" i="5"/>
  <c r="N49" i="5"/>
  <c r="I49" i="5"/>
  <c r="AH49" i="5"/>
  <c r="S49" i="5"/>
  <c r="BQ49" i="5"/>
  <c r="BP50" i="5"/>
  <c r="AQ50" i="5"/>
  <c r="BK50" i="5"/>
  <c r="H50" i="5"/>
  <c r="J50" i="5" s="1"/>
  <c r="R50" i="5"/>
  <c r="M50" i="5"/>
  <c r="AG50" i="5"/>
  <c r="AL50" i="5"/>
  <c r="BS99" i="5" l="1"/>
  <c r="H100" i="5"/>
  <c r="J100" i="5" s="1"/>
  <c r="AC99" i="5"/>
  <c r="AI100" i="5"/>
  <c r="AJ100" i="5" s="1"/>
  <c r="AI50" i="5"/>
  <c r="AJ50" i="5" s="1"/>
  <c r="BM50" i="5"/>
  <c r="BN50" i="5" s="1"/>
  <c r="AD50" i="5"/>
  <c r="AE50" i="5" s="1"/>
  <c r="BR100" i="5"/>
  <c r="T50" i="5"/>
  <c r="U50" i="5" s="1"/>
  <c r="BR50" i="5"/>
  <c r="BS50" i="5" s="1"/>
  <c r="J99" i="5"/>
  <c r="K99" i="5" s="1"/>
  <c r="H101" i="5"/>
  <c r="BE100" i="5"/>
  <c r="V100" i="5"/>
  <c r="AZ100" i="5"/>
  <c r="AU100" i="5"/>
  <c r="AV100" i="5" s="1"/>
  <c r="AW100" i="5" s="1"/>
  <c r="AB100" i="5"/>
  <c r="AD100" i="5" s="1"/>
  <c r="AE100" i="5" s="1"/>
  <c r="O50" i="5"/>
  <c r="P50" i="5" s="1"/>
  <c r="AS50" i="5"/>
  <c r="AT50" i="5" s="1"/>
  <c r="M100" i="5"/>
  <c r="AQ100" i="5"/>
  <c r="AN99" i="5"/>
  <c r="AO99" i="5" s="1"/>
  <c r="AN50" i="5"/>
  <c r="AO50" i="5" s="1"/>
  <c r="R100" i="5"/>
  <c r="S100" i="5" s="1"/>
  <c r="BK100" i="5"/>
  <c r="BL100" i="5" s="1"/>
  <c r="AL100" i="5"/>
  <c r="AZ51" i="5"/>
  <c r="BE51" i="5"/>
  <c r="V51" i="5"/>
  <c r="AX99" i="5"/>
  <c r="AY99" i="5" s="1"/>
  <c r="K50" i="5"/>
  <c r="AH100" i="5"/>
  <c r="AC50" i="5"/>
  <c r="BQ100" i="5"/>
  <c r="BK101" i="5"/>
  <c r="I100" i="5"/>
  <c r="AB51" i="5"/>
  <c r="AR50" i="5"/>
  <c r="BL50" i="5"/>
  <c r="AH50" i="5"/>
  <c r="N50" i="5"/>
  <c r="AM50" i="5"/>
  <c r="AG51" i="5"/>
  <c r="R51" i="5"/>
  <c r="H51" i="5"/>
  <c r="BP51" i="5"/>
  <c r="AL51" i="5"/>
  <c r="M51" i="5"/>
  <c r="AQ51" i="5"/>
  <c r="BK51" i="5"/>
  <c r="BQ50" i="5"/>
  <c r="S50" i="5"/>
  <c r="I50" i="5"/>
  <c r="BS100" i="5" l="1"/>
  <c r="M101" i="5"/>
  <c r="AG101" i="5"/>
  <c r="R101" i="5"/>
  <c r="S101" i="5" s="1"/>
  <c r="BP101" i="5"/>
  <c r="BR101" i="5" s="1"/>
  <c r="BS101" i="5" s="1"/>
  <c r="AQ101" i="5"/>
  <c r="AL101" i="5"/>
  <c r="K100" i="5"/>
  <c r="AI51" i="5"/>
  <c r="AJ51" i="5" s="1"/>
  <c r="BE52" i="5"/>
  <c r="V52" i="5"/>
  <c r="AZ52" i="5"/>
  <c r="BM51" i="5"/>
  <c r="BN51" i="5" s="1"/>
  <c r="BR51" i="5"/>
  <c r="BS51" i="5" s="1"/>
  <c r="AN101" i="5"/>
  <c r="J101" i="5"/>
  <c r="K101" i="5" s="1"/>
  <c r="AN100" i="5"/>
  <c r="AO100" i="5" s="1"/>
  <c r="O100" i="5"/>
  <c r="P100" i="5" s="1"/>
  <c r="AS51" i="5"/>
  <c r="AT51" i="5" s="1"/>
  <c r="J51" i="5"/>
  <c r="K51" i="5" s="1"/>
  <c r="AD51" i="5"/>
  <c r="AE51" i="5" s="1"/>
  <c r="BM101" i="5"/>
  <c r="O101" i="5"/>
  <c r="N100" i="5"/>
  <c r="N101" i="5" s="1"/>
  <c r="BM100" i="5"/>
  <c r="BN100" i="5" s="1"/>
  <c r="AC100" i="5"/>
  <c r="AN51" i="5"/>
  <c r="AO51" i="5" s="1"/>
  <c r="T101" i="5"/>
  <c r="AS100" i="5"/>
  <c r="AT100" i="5" s="1"/>
  <c r="O51" i="5"/>
  <c r="P51" i="5" s="1"/>
  <c r="T51" i="5"/>
  <c r="U51" i="5" s="1"/>
  <c r="AM100" i="5"/>
  <c r="AM101" i="5" s="1"/>
  <c r="AS101" i="5"/>
  <c r="AI101" i="5"/>
  <c r="AJ101" i="5" s="1"/>
  <c r="AR100" i="5"/>
  <c r="T100" i="5"/>
  <c r="U100" i="5" s="1"/>
  <c r="AX100" i="5"/>
  <c r="AY100" i="5" s="1"/>
  <c r="BE101" i="5"/>
  <c r="AZ101" i="5"/>
  <c r="AU101" i="5"/>
  <c r="AV101" i="5" s="1"/>
  <c r="AW101" i="5" s="1"/>
  <c r="V101" i="5"/>
  <c r="AB101" i="5"/>
  <c r="AD101" i="5" s="1"/>
  <c r="AE101" i="5" s="1"/>
  <c r="I101" i="5"/>
  <c r="AH101" i="5"/>
  <c r="AC51" i="5"/>
  <c r="M102" i="5"/>
  <c r="BL101" i="5"/>
  <c r="AB52" i="5"/>
  <c r="S51" i="5"/>
  <c r="BQ51" i="5"/>
  <c r="BL51" i="5"/>
  <c r="I51" i="5"/>
  <c r="AM51" i="5"/>
  <c r="AG52" i="5"/>
  <c r="R52" i="5"/>
  <c r="M52" i="5"/>
  <c r="H52" i="5"/>
  <c r="BK52" i="5"/>
  <c r="AQ52" i="5"/>
  <c r="AL52" i="5"/>
  <c r="BP52" i="5"/>
  <c r="N51" i="5"/>
  <c r="AR51" i="5"/>
  <c r="AH51" i="5"/>
  <c r="BQ101" i="5" l="1"/>
  <c r="AR101" i="5"/>
  <c r="AC101" i="5"/>
  <c r="AT101" i="5"/>
  <c r="U101" i="5"/>
  <c r="BN101" i="5"/>
  <c r="P101" i="5"/>
  <c r="AO101" i="5"/>
  <c r="O52" i="5"/>
  <c r="P52" i="5" s="1"/>
  <c r="AD52" i="5"/>
  <c r="AE52" i="5" s="1"/>
  <c r="O102" i="5"/>
  <c r="AQ103" i="5"/>
  <c r="AZ102" i="5"/>
  <c r="BA102" i="5" s="1"/>
  <c r="BC102" i="5" s="1"/>
  <c r="AU102" i="5"/>
  <c r="AV102" i="5" s="1"/>
  <c r="AW102" i="5" s="1"/>
  <c r="BE102" i="5"/>
  <c r="BF102" i="5" s="1"/>
  <c r="BH102" i="5" s="1"/>
  <c r="V102" i="5"/>
  <c r="W102" i="5" s="1"/>
  <c r="Y102" i="5" s="1"/>
  <c r="AB102" i="5"/>
  <c r="AD102" i="5" s="1"/>
  <c r="AE102" i="5" s="1"/>
  <c r="T52" i="5"/>
  <c r="U52" i="5" s="1"/>
  <c r="R102" i="5"/>
  <c r="S102" i="5" s="1"/>
  <c r="AG102" i="5"/>
  <c r="AH102" i="5" s="1"/>
  <c r="BM52" i="5"/>
  <c r="BN52" i="5" s="1"/>
  <c r="BK102" i="5"/>
  <c r="BP102" i="5"/>
  <c r="H102" i="5"/>
  <c r="I102" i="5" s="1"/>
  <c r="AN52" i="5"/>
  <c r="AO52" i="5" s="1"/>
  <c r="AS52" i="5"/>
  <c r="AT52" i="5" s="1"/>
  <c r="AX101" i="5"/>
  <c r="AY101" i="5" s="1"/>
  <c r="AI52" i="5"/>
  <c r="AJ52" i="5" s="1"/>
  <c r="BR52" i="5"/>
  <c r="BS52" i="5" s="1"/>
  <c r="J52" i="5"/>
  <c r="K52" i="5" s="1"/>
  <c r="AQ102" i="5"/>
  <c r="AR102" i="5" s="1"/>
  <c r="AL102" i="5"/>
  <c r="BE53" i="5"/>
  <c r="BF53" i="5" s="1"/>
  <c r="BH53" i="5" s="1"/>
  <c r="V53" i="5"/>
  <c r="W53" i="5" s="1"/>
  <c r="Y53" i="5" s="1"/>
  <c r="AZ53" i="5"/>
  <c r="BA53" i="5" s="1"/>
  <c r="BC53" i="5" s="1"/>
  <c r="N102" i="5"/>
  <c r="AC52" i="5"/>
  <c r="AB53" i="5"/>
  <c r="N52" i="5"/>
  <c r="BA91" i="5"/>
  <c r="BC91" i="5" s="1"/>
  <c r="W93" i="5"/>
  <c r="Y93" i="5" s="1"/>
  <c r="BF94" i="5"/>
  <c r="BH94" i="5" s="1"/>
  <c r="BA95" i="5"/>
  <c r="BC95" i="5" s="1"/>
  <c r="W97" i="5"/>
  <c r="Y97" i="5" s="1"/>
  <c r="BA98" i="5"/>
  <c r="BC98" i="5" s="1"/>
  <c r="W99" i="5"/>
  <c r="Y99" i="5" s="1"/>
  <c r="BF101" i="5"/>
  <c r="BH101" i="5" s="1"/>
  <c r="W92" i="5"/>
  <c r="Y92" i="5" s="1"/>
  <c r="W94" i="5"/>
  <c r="Y94" i="5" s="1"/>
  <c r="BF96" i="5"/>
  <c r="BH96" i="5" s="1"/>
  <c r="W100" i="5"/>
  <c r="Y100" i="5" s="1"/>
  <c r="BF92" i="5"/>
  <c r="BH92" i="5" s="1"/>
  <c r="BF93" i="5"/>
  <c r="BH93" i="5" s="1"/>
  <c r="BA94" i="5"/>
  <c r="BC94" i="5" s="1"/>
  <c r="W96" i="5"/>
  <c r="Y96" i="5" s="1"/>
  <c r="BF97" i="5"/>
  <c r="BH97" i="5" s="1"/>
  <c r="BF98" i="5"/>
  <c r="BH98" i="5" s="1"/>
  <c r="BA100" i="5"/>
  <c r="BC100" i="5" s="1"/>
  <c r="W101" i="5"/>
  <c r="Y101" i="5" s="1"/>
  <c r="W91" i="5"/>
  <c r="Y91" i="5" s="1"/>
  <c r="BF95" i="5"/>
  <c r="BH95" i="5" s="1"/>
  <c r="W98" i="5"/>
  <c r="Y98" i="5" s="1"/>
  <c r="BF91" i="5"/>
  <c r="BH91" i="5" s="1"/>
  <c r="BA92" i="5"/>
  <c r="BC92" i="5" s="1"/>
  <c r="BA93" i="5"/>
  <c r="BC93" i="5" s="1"/>
  <c r="W95" i="5"/>
  <c r="Y95" i="5" s="1"/>
  <c r="BA96" i="5"/>
  <c r="BC96" i="5" s="1"/>
  <c r="BA97" i="5"/>
  <c r="BC97" i="5" s="1"/>
  <c r="BF99" i="5"/>
  <c r="BH99" i="5" s="1"/>
  <c r="BF100" i="5"/>
  <c r="BH100" i="5" s="1"/>
  <c r="BA101" i="5"/>
  <c r="BC101" i="5" s="1"/>
  <c r="BA99" i="5"/>
  <c r="BC99" i="5" s="1"/>
  <c r="BF52" i="5"/>
  <c r="BH52" i="5" s="1"/>
  <c r="S52" i="5"/>
  <c r="BQ52" i="5"/>
  <c r="W52" i="5"/>
  <c r="Y52" i="5" s="1"/>
  <c r="AV53" i="5"/>
  <c r="AX53" i="5" s="1"/>
  <c r="H53" i="5"/>
  <c r="AL53" i="5"/>
  <c r="AV42" i="5"/>
  <c r="AX42" i="5" s="1"/>
  <c r="BA43" i="5"/>
  <c r="BC43" i="5" s="1"/>
  <c r="AV44" i="5"/>
  <c r="AX44" i="5" s="1"/>
  <c r="AV45" i="5"/>
  <c r="AX45" i="5" s="1"/>
  <c r="BA46" i="5"/>
  <c r="BC46" i="5" s="1"/>
  <c r="W47" i="5"/>
  <c r="Y47" i="5" s="1"/>
  <c r="AV48" i="5"/>
  <c r="AX48" i="5" s="1"/>
  <c r="AG53" i="5"/>
  <c r="BF43" i="5"/>
  <c r="BH43" i="5" s="1"/>
  <c r="BA45" i="5"/>
  <c r="BC45" i="5" s="1"/>
  <c r="W46" i="5"/>
  <c r="Y46" i="5" s="1"/>
  <c r="BF48" i="5"/>
  <c r="BH48" i="5" s="1"/>
  <c r="R53" i="5"/>
  <c r="BA44" i="5"/>
  <c r="BC44" i="5" s="1"/>
  <c r="AV46" i="5"/>
  <c r="AX46" i="5" s="1"/>
  <c r="BA49" i="5"/>
  <c r="BC49" i="5" s="1"/>
  <c r="BK53" i="5"/>
  <c r="BA42" i="5"/>
  <c r="BC42" i="5" s="1"/>
  <c r="BF44" i="5"/>
  <c r="BH44" i="5" s="1"/>
  <c r="AV47" i="5"/>
  <c r="AX47" i="5" s="1"/>
  <c r="M53" i="5"/>
  <c r="AV43" i="5"/>
  <c r="AX43" i="5" s="1"/>
  <c r="BF47" i="5"/>
  <c r="BH47" i="5" s="1"/>
  <c r="BP53" i="5"/>
  <c r="AQ53" i="5"/>
  <c r="BF42" i="5"/>
  <c r="BH42" i="5" s="1"/>
  <c r="W43" i="5"/>
  <c r="Y43" i="5" s="1"/>
  <c r="W44" i="5"/>
  <c r="Y44" i="5" s="1"/>
  <c r="BF45" i="5"/>
  <c r="BH45" i="5" s="1"/>
  <c r="BF46" i="5"/>
  <c r="BH46" i="5" s="1"/>
  <c r="BA47" i="5"/>
  <c r="BC47" i="5" s="1"/>
  <c r="W48" i="5"/>
  <c r="Y48" i="5" s="1"/>
  <c r="W42" i="5"/>
  <c r="Y42" i="5" s="1"/>
  <c r="W45" i="5"/>
  <c r="Y45" i="5" s="1"/>
  <c r="BA48" i="5"/>
  <c r="BC48" i="5" s="1"/>
  <c r="AV49" i="5"/>
  <c r="AX49" i="5" s="1"/>
  <c r="W49" i="5"/>
  <c r="Y49" i="5" s="1"/>
  <c r="BF49" i="5"/>
  <c r="BH49" i="5" s="1"/>
  <c r="W50" i="5"/>
  <c r="Y50" i="5" s="1"/>
  <c r="AV50" i="5"/>
  <c r="AX50" i="5" s="1"/>
  <c r="BF50" i="5"/>
  <c r="BH50" i="5" s="1"/>
  <c r="BA50" i="5"/>
  <c r="BC50" i="5" s="1"/>
  <c r="BA51" i="5"/>
  <c r="BC51" i="5" s="1"/>
  <c r="BF51" i="5"/>
  <c r="BH51" i="5" s="1"/>
  <c r="W51" i="5"/>
  <c r="Y51" i="5" s="1"/>
  <c r="AV51" i="5"/>
  <c r="AX51" i="5" s="1"/>
  <c r="AM52" i="5"/>
  <c r="AH52" i="5"/>
  <c r="BA52" i="5"/>
  <c r="BC52" i="5" s="1"/>
  <c r="I52" i="5"/>
  <c r="AR52" i="5"/>
  <c r="AV52" i="5"/>
  <c r="AX52" i="5" s="1"/>
  <c r="BL52" i="5"/>
  <c r="AC102" i="5" l="1"/>
  <c r="P102" i="5"/>
  <c r="AG103" i="5"/>
  <c r="R103" i="5"/>
  <c r="BK103" i="5"/>
  <c r="H103" i="5"/>
  <c r="J103" i="5" s="1"/>
  <c r="BP103" i="5"/>
  <c r="AL103" i="5"/>
  <c r="AN103" i="5" s="1"/>
  <c r="M103" i="5"/>
  <c r="O103" i="5" s="1"/>
  <c r="AD53" i="5"/>
  <c r="AE53" i="5" s="1"/>
  <c r="AX102" i="5"/>
  <c r="AY102" i="5" s="1"/>
  <c r="AS53" i="5"/>
  <c r="AT53" i="5" s="1"/>
  <c r="BM53" i="5"/>
  <c r="BN53" i="5" s="1"/>
  <c r="T53" i="5"/>
  <c r="U53" i="5" s="1"/>
  <c r="BR53" i="5"/>
  <c r="BS53" i="5" s="1"/>
  <c r="AI53" i="5"/>
  <c r="AJ53" i="5" s="1"/>
  <c r="AN53" i="5"/>
  <c r="AO53" i="5" s="1"/>
  <c r="T103" i="5"/>
  <c r="AS102" i="5"/>
  <c r="AT102" i="5" s="1"/>
  <c r="T102" i="5"/>
  <c r="U102" i="5" s="1"/>
  <c r="AL104" i="5"/>
  <c r="AB103" i="5"/>
  <c r="AD103" i="5" s="1"/>
  <c r="AE103" i="5" s="1"/>
  <c r="BE103" i="5"/>
  <c r="V103" i="5"/>
  <c r="AU103" i="5"/>
  <c r="AV103" i="5" s="1"/>
  <c r="AW103" i="5" s="1"/>
  <c r="AZ103" i="5"/>
  <c r="AZ54" i="5"/>
  <c r="BE54" i="5"/>
  <c r="V54" i="5"/>
  <c r="BR102" i="5"/>
  <c r="BS102" i="5" s="1"/>
  <c r="O53" i="5"/>
  <c r="P53" i="5" s="1"/>
  <c r="AS103" i="5"/>
  <c r="AN102" i="5"/>
  <c r="AO102" i="5" s="1"/>
  <c r="BM102" i="5"/>
  <c r="BN102" i="5" s="1"/>
  <c r="AI102" i="5"/>
  <c r="AJ102" i="5" s="1"/>
  <c r="J53" i="5"/>
  <c r="K53" i="5" s="1"/>
  <c r="BQ102" i="5"/>
  <c r="BQ103" i="5" s="1"/>
  <c r="BR103" i="5"/>
  <c r="AI103" i="5"/>
  <c r="BL102" i="5"/>
  <c r="AM102" i="5"/>
  <c r="J102" i="5"/>
  <c r="K102" i="5" s="1"/>
  <c r="AR103" i="5"/>
  <c r="AH103" i="5"/>
  <c r="N103" i="5"/>
  <c r="BP104" i="5"/>
  <c r="BK104" i="5"/>
  <c r="S103" i="5"/>
  <c r="AB54" i="5"/>
  <c r="AH53" i="5"/>
  <c r="AC53" i="5"/>
  <c r="AR53" i="5"/>
  <c r="BD91" i="5"/>
  <c r="BD92" i="5" s="1"/>
  <c r="BD93" i="5" s="1"/>
  <c r="BD94" i="5" s="1"/>
  <c r="BD95" i="5" s="1"/>
  <c r="BD96" i="5" s="1"/>
  <c r="BD97" i="5" s="1"/>
  <c r="BD98" i="5" s="1"/>
  <c r="BD99" i="5" s="1"/>
  <c r="BD100" i="5" s="1"/>
  <c r="BD101" i="5" s="1"/>
  <c r="BD102" i="5" s="1"/>
  <c r="BB91" i="5"/>
  <c r="BB92" i="5" s="1"/>
  <c r="BB93" i="5" s="1"/>
  <c r="BB94" i="5" s="1"/>
  <c r="BB95" i="5" s="1"/>
  <c r="BB96" i="5" s="1"/>
  <c r="BB97" i="5" s="1"/>
  <c r="BB98" i="5" s="1"/>
  <c r="BB99" i="5" s="1"/>
  <c r="BB100" i="5" s="1"/>
  <c r="BB101" i="5" s="1"/>
  <c r="BB102" i="5" s="1"/>
  <c r="AM53" i="5"/>
  <c r="BI91" i="5"/>
  <c r="BI92" i="5" s="1"/>
  <c r="BI93" i="5" s="1"/>
  <c r="BI94" i="5" s="1"/>
  <c r="BI95" i="5" s="1"/>
  <c r="BI96" i="5" s="1"/>
  <c r="BI97" i="5" s="1"/>
  <c r="BI98" i="5" s="1"/>
  <c r="BI99" i="5" s="1"/>
  <c r="BI100" i="5" s="1"/>
  <c r="BI101" i="5" s="1"/>
  <c r="BI102" i="5" s="1"/>
  <c r="BG91" i="5"/>
  <c r="BG92" i="5" s="1"/>
  <c r="BG93" i="5" s="1"/>
  <c r="BG94" i="5" s="1"/>
  <c r="BG95" i="5" s="1"/>
  <c r="BG96" i="5" s="1"/>
  <c r="BG97" i="5" s="1"/>
  <c r="BG98" i="5" s="1"/>
  <c r="BG99" i="5" s="1"/>
  <c r="BG100" i="5" s="1"/>
  <c r="BG101" i="5" s="1"/>
  <c r="BG102" i="5" s="1"/>
  <c r="Z91" i="5"/>
  <c r="Z92" i="5" s="1"/>
  <c r="Z93" i="5" s="1"/>
  <c r="Z94" i="5" s="1"/>
  <c r="Z95" i="5" s="1"/>
  <c r="Z96" i="5" s="1"/>
  <c r="Z97" i="5" s="1"/>
  <c r="Z98" i="5" s="1"/>
  <c r="Z99" i="5" s="1"/>
  <c r="Z100" i="5" s="1"/>
  <c r="Z101" i="5" s="1"/>
  <c r="Z102" i="5" s="1"/>
  <c r="X91" i="5"/>
  <c r="X92" i="5" s="1"/>
  <c r="X93" i="5" s="1"/>
  <c r="X94" i="5" s="1"/>
  <c r="X95" i="5" s="1"/>
  <c r="X96" i="5" s="1"/>
  <c r="X97" i="5" s="1"/>
  <c r="X98" i="5" s="1"/>
  <c r="X99" i="5" s="1"/>
  <c r="X100" i="5" s="1"/>
  <c r="X101" i="5" s="1"/>
  <c r="X102" i="5" s="1"/>
  <c r="BL53" i="5"/>
  <c r="I53" i="5"/>
  <c r="N53" i="5"/>
  <c r="X42" i="5"/>
  <c r="X43" i="5" s="1"/>
  <c r="X44" i="5" s="1"/>
  <c r="X45" i="5" s="1"/>
  <c r="X46" i="5" s="1"/>
  <c r="X47" i="5" s="1"/>
  <c r="X48" i="5" s="1"/>
  <c r="X49" i="5" s="1"/>
  <c r="X50" i="5" s="1"/>
  <c r="X51" i="5" s="1"/>
  <c r="X52" i="5" s="1"/>
  <c r="X53" i="5" s="1"/>
  <c r="Z42" i="5"/>
  <c r="Z43" i="5" s="1"/>
  <c r="Z44" i="5" s="1"/>
  <c r="Z45" i="5" s="1"/>
  <c r="Z46" i="5" s="1"/>
  <c r="Z47" i="5" s="1"/>
  <c r="Z48" i="5" s="1"/>
  <c r="Z49" i="5" s="1"/>
  <c r="Z50" i="5" s="1"/>
  <c r="Z51" i="5" s="1"/>
  <c r="Z52" i="5" s="1"/>
  <c r="Z53" i="5" s="1"/>
  <c r="BQ53" i="5"/>
  <c r="BI42" i="5"/>
  <c r="BI43" i="5" s="1"/>
  <c r="BI44" i="5" s="1"/>
  <c r="BI45" i="5" s="1"/>
  <c r="BI46" i="5" s="1"/>
  <c r="BI47" i="5" s="1"/>
  <c r="BI48" i="5" s="1"/>
  <c r="BI49" i="5" s="1"/>
  <c r="BI50" i="5" s="1"/>
  <c r="BI51" i="5" s="1"/>
  <c r="BI52" i="5" s="1"/>
  <c r="BI53" i="5" s="1"/>
  <c r="BG42" i="5"/>
  <c r="BG43" i="5" s="1"/>
  <c r="BG44" i="5" s="1"/>
  <c r="BG45" i="5" s="1"/>
  <c r="BG46" i="5" s="1"/>
  <c r="BG47" i="5" s="1"/>
  <c r="BG48" i="5" s="1"/>
  <c r="BG49" i="5" s="1"/>
  <c r="BG50" i="5" s="1"/>
  <c r="BG51" i="5" s="1"/>
  <c r="BG52" i="5" s="1"/>
  <c r="BG53" i="5" s="1"/>
  <c r="BB42" i="5"/>
  <c r="BB43" i="5" s="1"/>
  <c r="BB44" i="5" s="1"/>
  <c r="BB45" i="5" s="1"/>
  <c r="BB46" i="5" s="1"/>
  <c r="BB47" i="5" s="1"/>
  <c r="BB48" i="5" s="1"/>
  <c r="BB49" i="5" s="1"/>
  <c r="BB50" i="5" s="1"/>
  <c r="BB51" i="5" s="1"/>
  <c r="BB52" i="5" s="1"/>
  <c r="BB53" i="5" s="1"/>
  <c r="BD42" i="5"/>
  <c r="BD43" i="5" s="1"/>
  <c r="BD44" i="5" s="1"/>
  <c r="BD45" i="5" s="1"/>
  <c r="BD46" i="5" s="1"/>
  <c r="BD47" i="5" s="1"/>
  <c r="BD48" i="5" s="1"/>
  <c r="BD49" i="5" s="1"/>
  <c r="BD50" i="5" s="1"/>
  <c r="BD51" i="5" s="1"/>
  <c r="BD52" i="5" s="1"/>
  <c r="BD53" i="5" s="1"/>
  <c r="AW42" i="5"/>
  <c r="AW43" i="5" s="1"/>
  <c r="AW44" i="5" s="1"/>
  <c r="AW45" i="5" s="1"/>
  <c r="AW46" i="5" s="1"/>
  <c r="AW47" i="5" s="1"/>
  <c r="AW48" i="5" s="1"/>
  <c r="AW49" i="5" s="1"/>
  <c r="AW50" i="5" s="1"/>
  <c r="AW51" i="5" s="1"/>
  <c r="AW52" i="5" s="1"/>
  <c r="AW53" i="5" s="1"/>
  <c r="AY42" i="5"/>
  <c r="AY43" i="5" s="1"/>
  <c r="AY44" i="5" s="1"/>
  <c r="AY45" i="5" s="1"/>
  <c r="AY46" i="5" s="1"/>
  <c r="AY47" i="5" s="1"/>
  <c r="AY48" i="5" s="1"/>
  <c r="AY49" i="5" s="1"/>
  <c r="AY50" i="5" s="1"/>
  <c r="AY51" i="5" s="1"/>
  <c r="AY52" i="5" s="1"/>
  <c r="AY53" i="5" s="1"/>
  <c r="S53" i="5"/>
  <c r="BP54" i="5"/>
  <c r="AQ54" i="5"/>
  <c r="AL54" i="5"/>
  <c r="R54" i="5"/>
  <c r="AG54" i="5"/>
  <c r="BK54" i="5"/>
  <c r="M54" i="5"/>
  <c r="H54" i="5"/>
  <c r="P103" i="5" l="1"/>
  <c r="BL103" i="5"/>
  <c r="AG104" i="5"/>
  <c r="I103" i="5"/>
  <c r="R104" i="5"/>
  <c r="T104" i="5" s="1"/>
  <c r="H104" i="5"/>
  <c r="J104" i="5" s="1"/>
  <c r="BM103" i="5"/>
  <c r="BN103" i="5" s="1"/>
  <c r="AQ104" i="5"/>
  <c r="AS104" i="5" s="1"/>
  <c r="K103" i="5"/>
  <c r="M104" i="5"/>
  <c r="N104" i="5" s="1"/>
  <c r="AO103" i="5"/>
  <c r="U103" i="5"/>
  <c r="BS103" i="5"/>
  <c r="AM103" i="5"/>
  <c r="AM104" i="5" s="1"/>
  <c r="AJ103" i="5"/>
  <c r="AT103" i="5"/>
  <c r="AZ55" i="5"/>
  <c r="BE55" i="5"/>
  <c r="V55" i="5"/>
  <c r="O54" i="5"/>
  <c r="P54" i="5" s="1"/>
  <c r="AN54" i="5"/>
  <c r="AO54" i="5" s="1"/>
  <c r="O104" i="5"/>
  <c r="P104" i="5" s="1"/>
  <c r="AC103" i="5"/>
  <c r="AX103" i="5"/>
  <c r="AY103" i="5" s="1"/>
  <c r="AG105" i="5"/>
  <c r="BE104" i="5"/>
  <c r="V104" i="5"/>
  <c r="AZ104" i="5"/>
  <c r="AU104" i="5"/>
  <c r="AV104" i="5" s="1"/>
  <c r="AW104" i="5" s="1"/>
  <c r="AB104" i="5"/>
  <c r="AD104" i="5" s="1"/>
  <c r="AE104" i="5" s="1"/>
  <c r="AI54" i="5"/>
  <c r="AJ54" i="5" s="1"/>
  <c r="BR54" i="5"/>
  <c r="BS54" i="5" s="1"/>
  <c r="AD54" i="5"/>
  <c r="AE54" i="5" s="1"/>
  <c r="AI104" i="5"/>
  <c r="J54" i="5"/>
  <c r="K54" i="5" s="1"/>
  <c r="T54" i="5"/>
  <c r="U54" i="5" s="1"/>
  <c r="BM54" i="5"/>
  <c r="BN54" i="5" s="1"/>
  <c r="AS54" i="5"/>
  <c r="AT54" i="5" s="1"/>
  <c r="BM104" i="5"/>
  <c r="BR104" i="5"/>
  <c r="AN104" i="5"/>
  <c r="S104" i="5"/>
  <c r="AC54" i="5"/>
  <c r="BQ104" i="5"/>
  <c r="BL104" i="5"/>
  <c r="AL105" i="5"/>
  <c r="M105" i="5"/>
  <c r="BP105" i="5"/>
  <c r="R105" i="5"/>
  <c r="AH104" i="5"/>
  <c r="AB55" i="5"/>
  <c r="S54" i="5"/>
  <c r="H55" i="5"/>
  <c r="R55" i="5"/>
  <c r="BK55" i="5"/>
  <c r="BP55" i="5"/>
  <c r="AQ55" i="5"/>
  <c r="AL55" i="5"/>
  <c r="AG55" i="5"/>
  <c r="M55" i="5"/>
  <c r="I54" i="5"/>
  <c r="N54" i="5"/>
  <c r="BL54" i="5"/>
  <c r="AM54" i="5"/>
  <c r="AH54" i="5"/>
  <c r="BQ54" i="5"/>
  <c r="AR54" i="5"/>
  <c r="AR104" i="5" l="1"/>
  <c r="AO104" i="5"/>
  <c r="U104" i="5"/>
  <c r="K104" i="5"/>
  <c r="AQ105" i="5"/>
  <c r="H105" i="5"/>
  <c r="J105" i="5" s="1"/>
  <c r="BS104" i="5"/>
  <c r="BK105" i="5"/>
  <c r="BM105" i="5" s="1"/>
  <c r="I104" i="5"/>
  <c r="BN104" i="5"/>
  <c r="AJ104" i="5"/>
  <c r="AT104" i="5"/>
  <c r="AI55" i="5"/>
  <c r="AJ55" i="5" s="1"/>
  <c r="AD55" i="5"/>
  <c r="AE55" i="5" s="1"/>
  <c r="AN55" i="5"/>
  <c r="AO55" i="5" s="1"/>
  <c r="AI105" i="5"/>
  <c r="AC104" i="5"/>
  <c r="J55" i="5"/>
  <c r="K55" i="5" s="1"/>
  <c r="T105" i="5"/>
  <c r="U105" i="5" s="1"/>
  <c r="AX104" i="5"/>
  <c r="AY104" i="5" s="1"/>
  <c r="R106" i="5"/>
  <c r="V105" i="5"/>
  <c r="W105" i="5" s="1"/>
  <c r="Y105" i="5" s="1"/>
  <c r="AZ105" i="5"/>
  <c r="BA105" i="5" s="1"/>
  <c r="BC105" i="5" s="1"/>
  <c r="AU105" i="5"/>
  <c r="AV105" i="5" s="1"/>
  <c r="AW105" i="5" s="1"/>
  <c r="BE105" i="5"/>
  <c r="BF105" i="5" s="1"/>
  <c r="BH105" i="5" s="1"/>
  <c r="AB105" i="5"/>
  <c r="AD105" i="5" s="1"/>
  <c r="AE105" i="5" s="1"/>
  <c r="BM55" i="5"/>
  <c r="BN55" i="5" s="1"/>
  <c r="T55" i="5"/>
  <c r="U55" i="5" s="1"/>
  <c r="AS55" i="5"/>
  <c r="AT55" i="5" s="1"/>
  <c r="O105" i="5"/>
  <c r="P105" i="5" s="1"/>
  <c r="O55" i="5"/>
  <c r="P55" i="5" s="1"/>
  <c r="BR55" i="5"/>
  <c r="BS55" i="5" s="1"/>
  <c r="AS105" i="5"/>
  <c r="BR105" i="5"/>
  <c r="AN105" i="5"/>
  <c r="AO105" i="5" s="1"/>
  <c r="AZ56" i="5"/>
  <c r="BA56" i="5" s="1"/>
  <c r="BC56" i="5" s="1"/>
  <c r="BE56" i="5"/>
  <c r="BF56" i="5" s="1"/>
  <c r="BH56" i="5" s="1"/>
  <c r="V56" i="5"/>
  <c r="W56" i="5" s="1"/>
  <c r="Y56" i="5" s="1"/>
  <c r="N105" i="5"/>
  <c r="AH105" i="5"/>
  <c r="AC55" i="5"/>
  <c r="AR105" i="5"/>
  <c r="AM105" i="5"/>
  <c r="M106" i="5"/>
  <c r="S105" i="5"/>
  <c r="BQ105" i="5"/>
  <c r="AB56" i="5"/>
  <c r="S55" i="5"/>
  <c r="BF55" i="5"/>
  <c r="BH55" i="5" s="1"/>
  <c r="BF103" i="5"/>
  <c r="BH103" i="5" s="1"/>
  <c r="BF104" i="5"/>
  <c r="BH104" i="5" s="1"/>
  <c r="W104" i="5"/>
  <c r="Y104" i="5" s="1"/>
  <c r="BA103" i="5"/>
  <c r="BC103" i="5" s="1"/>
  <c r="W103" i="5"/>
  <c r="Y103" i="5" s="1"/>
  <c r="BA104" i="5"/>
  <c r="BC104" i="5" s="1"/>
  <c r="W55" i="5"/>
  <c r="Y55" i="5" s="1"/>
  <c r="BQ55" i="5"/>
  <c r="BA55" i="5"/>
  <c r="BC55" i="5" s="1"/>
  <c r="AV55" i="5"/>
  <c r="AX55" i="5" s="1"/>
  <c r="N55" i="5"/>
  <c r="AM55" i="5"/>
  <c r="AR55" i="5"/>
  <c r="BL55" i="5"/>
  <c r="I55" i="5"/>
  <c r="AH55" i="5"/>
  <c r="AV56" i="5"/>
  <c r="AX56" i="5" s="1"/>
  <c r="H56" i="5"/>
  <c r="R56" i="5"/>
  <c r="M56" i="5"/>
  <c r="AG56" i="5"/>
  <c r="AL56" i="5"/>
  <c r="AQ56" i="5"/>
  <c r="BK56" i="5"/>
  <c r="BP56" i="5"/>
  <c r="BA54" i="5"/>
  <c r="BC54" i="5" s="1"/>
  <c r="W54" i="5"/>
  <c r="Y54" i="5" s="1"/>
  <c r="BF54" i="5"/>
  <c r="BH54" i="5" s="1"/>
  <c r="AV54" i="5"/>
  <c r="AX54" i="5" s="1"/>
  <c r="AT105" i="5" l="1"/>
  <c r="K105" i="5"/>
  <c r="I105" i="5"/>
  <c r="BN105" i="5"/>
  <c r="AL106" i="5"/>
  <c r="AM106" i="5" s="1"/>
  <c r="BL105" i="5"/>
  <c r="AJ105" i="5"/>
  <c r="AQ106" i="5"/>
  <c r="AR106" i="5" s="1"/>
  <c r="BS105" i="5"/>
  <c r="T106" i="5"/>
  <c r="U106" i="5" s="1"/>
  <c r="O56" i="5"/>
  <c r="P56" i="5" s="1"/>
  <c r="AC105" i="5"/>
  <c r="AS56" i="5"/>
  <c r="AT56" i="5" s="1"/>
  <c r="AN106" i="5"/>
  <c r="AO106" i="5" s="1"/>
  <c r="O106" i="5"/>
  <c r="P106" i="5" s="1"/>
  <c r="J56" i="5"/>
  <c r="K56" i="5" s="1"/>
  <c r="BP106" i="5"/>
  <c r="BQ106" i="5" s="1"/>
  <c r="BK106" i="5"/>
  <c r="BL106" i="5" s="1"/>
  <c r="AX105" i="5"/>
  <c r="AY105" i="5" s="1"/>
  <c r="BM56" i="5"/>
  <c r="BN56" i="5" s="1"/>
  <c r="AD56" i="5"/>
  <c r="AE56" i="5" s="1"/>
  <c r="T56" i="5"/>
  <c r="U56" i="5" s="1"/>
  <c r="M107" i="5"/>
  <c r="AZ106" i="5"/>
  <c r="BA106" i="5" s="1"/>
  <c r="BC106" i="5" s="1"/>
  <c r="AU106" i="5"/>
  <c r="AV106" i="5" s="1"/>
  <c r="AW106" i="5" s="1"/>
  <c r="BE106" i="5"/>
  <c r="BF106" i="5" s="1"/>
  <c r="BH106" i="5" s="1"/>
  <c r="V106" i="5"/>
  <c r="W106" i="5" s="1"/>
  <c r="Y106" i="5" s="1"/>
  <c r="AB106" i="5"/>
  <c r="AD106" i="5" s="1"/>
  <c r="AE106" i="5" s="1"/>
  <c r="AN56" i="5"/>
  <c r="AO56" i="5" s="1"/>
  <c r="BR56" i="5"/>
  <c r="BS56" i="5" s="1"/>
  <c r="AI56" i="5"/>
  <c r="AJ56" i="5" s="1"/>
  <c r="AG106" i="5"/>
  <c r="H106" i="5"/>
  <c r="BE57" i="5"/>
  <c r="BF57" i="5" s="1"/>
  <c r="BH57" i="5" s="1"/>
  <c r="V57" i="5"/>
  <c r="W57" i="5" s="1"/>
  <c r="Y57" i="5" s="1"/>
  <c r="AZ57" i="5"/>
  <c r="BA57" i="5" s="1"/>
  <c r="BC57" i="5" s="1"/>
  <c r="S106" i="5"/>
  <c r="I106" i="5"/>
  <c r="N106" i="5"/>
  <c r="AH106" i="5"/>
  <c r="AC56" i="5"/>
  <c r="AB57" i="5"/>
  <c r="BD103" i="5"/>
  <c r="BD104" i="5" s="1"/>
  <c r="BD105" i="5" s="1"/>
  <c r="BB103" i="5"/>
  <c r="BB104" i="5" s="1"/>
  <c r="BB105" i="5" s="1"/>
  <c r="Z103" i="5"/>
  <c r="Z104" i="5" s="1"/>
  <c r="Z105" i="5" s="1"/>
  <c r="X103" i="5"/>
  <c r="X104" i="5" s="1"/>
  <c r="X105" i="5" s="1"/>
  <c r="BI103" i="5"/>
  <c r="BI104" i="5" s="1"/>
  <c r="BI105" i="5" s="1"/>
  <c r="BG103" i="5"/>
  <c r="BG104" i="5" s="1"/>
  <c r="BG105" i="5" s="1"/>
  <c r="AM56" i="5"/>
  <c r="AR56" i="5"/>
  <c r="N56" i="5"/>
  <c r="BQ56" i="5"/>
  <c r="BI54" i="5"/>
  <c r="BI55" i="5" s="1"/>
  <c r="BI56" i="5" s="1"/>
  <c r="BG54" i="5"/>
  <c r="BG55" i="5" s="1"/>
  <c r="BG56" i="5" s="1"/>
  <c r="AV57" i="5"/>
  <c r="AX57" i="5" s="1"/>
  <c r="M57" i="5"/>
  <c r="R57" i="5"/>
  <c r="H57" i="5"/>
  <c r="AG57" i="5"/>
  <c r="AL57" i="5"/>
  <c r="AQ57" i="5"/>
  <c r="BK57" i="5"/>
  <c r="BP57" i="5"/>
  <c r="I56" i="5"/>
  <c r="AY54" i="5"/>
  <c r="AY55" i="5" s="1"/>
  <c r="AY56" i="5" s="1"/>
  <c r="AW54" i="5"/>
  <c r="AW55" i="5" s="1"/>
  <c r="AW56" i="5" s="1"/>
  <c r="Z54" i="5"/>
  <c r="Z55" i="5" s="1"/>
  <c r="Z56" i="5" s="1"/>
  <c r="X54" i="5"/>
  <c r="X55" i="5" s="1"/>
  <c r="X56" i="5" s="1"/>
  <c r="BL56" i="5"/>
  <c r="BD54" i="5"/>
  <c r="BD55" i="5" s="1"/>
  <c r="BD56" i="5" s="1"/>
  <c r="BB54" i="5"/>
  <c r="BB55" i="5" s="1"/>
  <c r="BB56" i="5" s="1"/>
  <c r="AH56" i="5"/>
  <c r="S56" i="5"/>
  <c r="AS106" i="5" l="1"/>
  <c r="AT106" i="5" s="1"/>
  <c r="BG106" i="5"/>
  <c r="BP107" i="5"/>
  <c r="BR107" i="5" s="1"/>
  <c r="BI106" i="5"/>
  <c r="BD106" i="5"/>
  <c r="H107" i="5"/>
  <c r="X106" i="5"/>
  <c r="BK107" i="5"/>
  <c r="BM107" i="5" s="1"/>
  <c r="BR57" i="5"/>
  <c r="BS57" i="5" s="1"/>
  <c r="AI57" i="5"/>
  <c r="AJ57" i="5" s="1"/>
  <c r="O107" i="5"/>
  <c r="P107" i="5" s="1"/>
  <c r="AI106" i="5"/>
  <c r="AJ106" i="5" s="1"/>
  <c r="AB107" i="5"/>
  <c r="AD107" i="5" s="1"/>
  <c r="AE107" i="5" s="1"/>
  <c r="AZ107" i="5"/>
  <c r="BA107" i="5" s="1"/>
  <c r="BE107" i="5"/>
  <c r="BF107" i="5" s="1"/>
  <c r="V107" i="5"/>
  <c r="V72" i="5" s="1"/>
  <c r="X72" i="5" s="1"/>
  <c r="AU107" i="5"/>
  <c r="AS57" i="5"/>
  <c r="AT57" i="5" s="1"/>
  <c r="T57" i="5"/>
  <c r="U57" i="5" s="1"/>
  <c r="Z106" i="5"/>
  <c r="AD57" i="5"/>
  <c r="AE57" i="5" s="1"/>
  <c r="AL107" i="5"/>
  <c r="AM107" i="5" s="1"/>
  <c r="AM108" i="5" s="1"/>
  <c r="R107" i="5"/>
  <c r="S107" i="5" s="1"/>
  <c r="S108" i="5" s="1"/>
  <c r="BM106" i="5"/>
  <c r="BN106" i="5" s="1"/>
  <c r="AC106" i="5"/>
  <c r="AC107" i="5" s="1"/>
  <c r="J106" i="5"/>
  <c r="K106" i="5" s="1"/>
  <c r="BM57" i="5"/>
  <c r="BN57" i="5" s="1"/>
  <c r="J57" i="5"/>
  <c r="K57" i="5" s="1"/>
  <c r="J107" i="5"/>
  <c r="AN57" i="5"/>
  <c r="AO57" i="5" s="1"/>
  <c r="O57" i="5"/>
  <c r="P57" i="5" s="1"/>
  <c r="BB106" i="5"/>
  <c r="AG107" i="5"/>
  <c r="AQ107" i="5"/>
  <c r="AR107" i="5" s="1"/>
  <c r="AR108" i="5" s="1"/>
  <c r="AZ58" i="5"/>
  <c r="AZ23" i="5" s="1"/>
  <c r="BB23" i="5" s="1"/>
  <c r="V58" i="5"/>
  <c r="BE58" i="5"/>
  <c r="BE23" i="5" s="1"/>
  <c r="BG23" i="5" s="1"/>
  <c r="AX106" i="5"/>
  <c r="AY106" i="5" s="1"/>
  <c r="BR106" i="5"/>
  <c r="BS106" i="5" s="1"/>
  <c r="N107" i="5"/>
  <c r="N108" i="5" s="1"/>
  <c r="AC57" i="5"/>
  <c r="AZ72" i="5"/>
  <c r="BB72" i="5" s="1"/>
  <c r="I107" i="5"/>
  <c r="I108" i="5" s="1"/>
  <c r="AB58" i="5"/>
  <c r="V23" i="5"/>
  <c r="X23" i="5" s="1"/>
  <c r="BB57" i="5"/>
  <c r="AH57" i="5"/>
  <c r="AW57" i="5"/>
  <c r="BL57" i="5"/>
  <c r="X57" i="5"/>
  <c r="N57" i="5"/>
  <c r="S57" i="5"/>
  <c r="I57" i="5"/>
  <c r="Z57" i="5"/>
  <c r="AM57" i="5"/>
  <c r="BD57" i="5"/>
  <c r="AR57" i="5"/>
  <c r="BI57" i="5"/>
  <c r="R58" i="5"/>
  <c r="BP58" i="5"/>
  <c r="AL58" i="5"/>
  <c r="AG58" i="5"/>
  <c r="AV58" i="5"/>
  <c r="AX58" i="5" s="1"/>
  <c r="M58" i="5"/>
  <c r="BK58" i="5"/>
  <c r="AQ58" i="5"/>
  <c r="H58" i="5"/>
  <c r="AY57" i="5"/>
  <c r="BG57" i="5"/>
  <c r="BQ57" i="5"/>
  <c r="W107" i="5" l="1"/>
  <c r="BQ107" i="5"/>
  <c r="BQ108" i="5" s="1"/>
  <c r="K107" i="5"/>
  <c r="BN107" i="5"/>
  <c r="BL107" i="5"/>
  <c r="BL108" i="5" s="1"/>
  <c r="BS107" i="5"/>
  <c r="BC107" i="5"/>
  <c r="BD107" i="5" s="1"/>
  <c r="BH107" i="5"/>
  <c r="BI107" i="5" s="1"/>
  <c r="BR58" i="5"/>
  <c r="BS58" i="5" s="1"/>
  <c r="T107" i="5"/>
  <c r="U107" i="5" s="1"/>
  <c r="J58" i="5"/>
  <c r="K58" i="5" s="1"/>
  <c r="T58" i="5"/>
  <c r="U58" i="5" s="1"/>
  <c r="AD58" i="5"/>
  <c r="AE58" i="5" s="1"/>
  <c r="BE72" i="5"/>
  <c r="BG72" i="5" s="1"/>
  <c r="AN107" i="5"/>
  <c r="AO107" i="5" s="1"/>
  <c r="AU72" i="5"/>
  <c r="AW72" i="5" s="1"/>
  <c r="AV107" i="5"/>
  <c r="BM58" i="5"/>
  <c r="BN58" i="5" s="1"/>
  <c r="AN58" i="5"/>
  <c r="AO58" i="5" s="1"/>
  <c r="AI107" i="5"/>
  <c r="AJ107" i="5" s="1"/>
  <c r="O58" i="5"/>
  <c r="P58" i="5" s="1"/>
  <c r="Y107" i="5"/>
  <c r="Z107" i="5" s="1"/>
  <c r="AS58" i="5"/>
  <c r="AT58" i="5" s="1"/>
  <c r="AI58" i="5"/>
  <c r="AJ58" i="5" s="1"/>
  <c r="AH107" i="5"/>
  <c r="AH108" i="5" s="1"/>
  <c r="AS107" i="5"/>
  <c r="AT107" i="5" s="1"/>
  <c r="BF58" i="5"/>
  <c r="BH58" i="5" s="1"/>
  <c r="BI58" i="5" s="1"/>
  <c r="W58" i="5"/>
  <c r="BB107" i="5"/>
  <c r="BB108" i="5" s="1"/>
  <c r="BA58" i="5"/>
  <c r="BG107" i="5"/>
  <c r="BG108" i="5" s="1"/>
  <c r="X107" i="5"/>
  <c r="X108" i="5" s="1"/>
  <c r="AC58" i="5"/>
  <c r="AC59" i="5" s="1"/>
  <c r="AY58" i="5"/>
  <c r="BQ58" i="5"/>
  <c r="BQ59" i="5" s="1"/>
  <c r="S58" i="5"/>
  <c r="S59" i="5" s="1"/>
  <c r="AM58" i="5"/>
  <c r="AM59" i="5" s="1"/>
  <c r="AW58" i="5"/>
  <c r="AW59" i="5" s="1"/>
  <c r="I58" i="5"/>
  <c r="I59" i="5" s="1"/>
  <c r="BL58" i="5"/>
  <c r="BL59" i="5" s="1"/>
  <c r="AR58" i="5"/>
  <c r="AR59" i="5" s="1"/>
  <c r="N58" i="5"/>
  <c r="N59" i="5" s="1"/>
  <c r="AH58" i="5"/>
  <c r="AH59" i="5" s="1"/>
  <c r="BC58" i="5" l="1"/>
  <c r="BD58" i="5" s="1"/>
  <c r="AX107" i="5"/>
  <c r="AY107" i="5" s="1"/>
  <c r="AW107" i="5"/>
  <c r="AW108" i="5" s="1"/>
  <c r="Y58" i="5"/>
  <c r="Z58" i="5" s="1"/>
  <c r="BG58" i="5"/>
  <c r="BG59" i="5" s="1"/>
  <c r="X58" i="5"/>
  <c r="X59" i="5" s="1"/>
  <c r="BB58" i="5"/>
  <c r="BB59" i="5" s="1"/>
</calcChain>
</file>

<file path=xl/sharedStrings.xml><?xml version="1.0" encoding="utf-8"?>
<sst xmlns="http://schemas.openxmlformats.org/spreadsheetml/2006/main" count="2821" uniqueCount="402">
  <si>
    <t>Nitrate</t>
  </si>
  <si>
    <t>Sulfate</t>
  </si>
  <si>
    <t>Conc</t>
  </si>
  <si>
    <t>Total</t>
  </si>
  <si>
    <t>COPC</t>
  </si>
  <si>
    <t>Assessment Threshold</t>
  </si>
  <si>
    <t>Total Content</t>
  </si>
  <si>
    <t>(mg/L)</t>
  </si>
  <si>
    <t>(mg/kg)</t>
  </si>
  <si>
    <t>Aluminum</t>
  </si>
  <si>
    <t>Antimony</t>
  </si>
  <si>
    <t>Arsenic</t>
  </si>
  <si>
    <t>Barium</t>
  </si>
  <si>
    <t>Beryllium</t>
  </si>
  <si>
    <t>Boron</t>
  </si>
  <si>
    <t>Cadmium</t>
  </si>
  <si>
    <t>Chloride</t>
  </si>
  <si>
    <t>Chromium</t>
  </si>
  <si>
    <t>Copper</t>
  </si>
  <si>
    <t>Fluoride</t>
  </si>
  <si>
    <t>Iron</t>
  </si>
  <si>
    <t>Lead</t>
  </si>
  <si>
    <t>Magnesium</t>
  </si>
  <si>
    <t>Manganese</t>
  </si>
  <si>
    <t>Molybdenum</t>
  </si>
  <si>
    <t>Nickel</t>
  </si>
  <si>
    <t>Potassium</t>
  </si>
  <si>
    <t>Selenium</t>
  </si>
  <si>
    <t>Sodium</t>
  </si>
  <si>
    <t>Strontium</t>
  </si>
  <si>
    <t>Thallium</t>
  </si>
  <si>
    <t>Zinc</t>
  </si>
  <si>
    <t>Vanadium</t>
  </si>
  <si>
    <t>Calcium</t>
  </si>
  <si>
    <t>Cobalt</t>
  </si>
  <si>
    <t>Lithium</t>
  </si>
  <si>
    <t>Available Content</t>
  </si>
  <si>
    <t>(-)</t>
  </si>
  <si>
    <t>AR</t>
  </si>
  <si>
    <t>Cesium</t>
  </si>
  <si>
    <t>Silicon</t>
  </si>
  <si>
    <t>Tin</t>
  </si>
  <si>
    <t>Titanium</t>
  </si>
  <si>
    <t>Uranium</t>
  </si>
  <si>
    <t>NA</t>
  </si>
  <si>
    <t xml:space="preserve"> L/kg</t>
  </si>
  <si>
    <t>-</t>
  </si>
  <si>
    <t>Solubility</t>
  </si>
  <si>
    <t>Nashville, TN</t>
  </si>
  <si>
    <t>Volume-Mass Calcs</t>
  </si>
  <si>
    <t>Annual Infiltration (L/S per year)</t>
  </si>
  <si>
    <t xml:space="preserve"> Meyer &amp; Gee, 1999</t>
  </si>
  <si>
    <t>Estimated L/S Values</t>
  </si>
  <si>
    <t>L/S porewater (sat'n)</t>
  </si>
  <si>
    <t>L/S porewater (field cap)</t>
  </si>
  <si>
    <t xml:space="preserve"> full capacity of soil bed</t>
  </si>
  <si>
    <t xml:space="preserve"> effective capacity of soil bed</t>
  </si>
  <si>
    <t>Annual Total # of Events</t>
  </si>
  <si>
    <t>L/S</t>
  </si>
  <si>
    <t>TN</t>
  </si>
  <si>
    <t>OR</t>
  </si>
  <si>
    <t xml:space="preserve"> m</t>
  </si>
  <si>
    <t xml:space="preserve"> assumed for rock</t>
  </si>
  <si>
    <t xml:space="preserve"> cm</t>
  </si>
  <si>
    <t xml:space="preserve"> L</t>
  </si>
  <si>
    <t>Year</t>
  </si>
  <si>
    <t>mg/L</t>
  </si>
  <si>
    <t>mg/kg</t>
  </si>
  <si>
    <t>% Available Content Remaining</t>
  </si>
  <si>
    <t>Concentration Threshold</t>
  </si>
  <si>
    <t>Value</t>
  </si>
  <si>
    <t>Units</t>
  </si>
  <si>
    <t>Notes</t>
  </si>
  <si>
    <t xml:space="preserve"> scenario definition</t>
  </si>
  <si>
    <t xml:space="preserve"> conversion = 1,000 kg / MT</t>
  </si>
  <si>
    <t xml:space="preserve"> from above</t>
  </si>
  <si>
    <t xml:space="preserve"> calc'd = (infil / 100) * volume * 1000</t>
  </si>
  <si>
    <t xml:space="preserve"> calc'd = annual infil / dry soil mass</t>
  </si>
  <si>
    <t>Annual Infiltration Volume</t>
  </si>
  <si>
    <t>m</t>
  </si>
  <si>
    <r>
      <rPr>
        <sz val="11"/>
        <rFont val="Symbol"/>
        <family val="1"/>
        <charset val="2"/>
      </rPr>
      <t>S</t>
    </r>
    <r>
      <rPr>
        <sz val="11"/>
        <rFont val="Calibri"/>
        <family val="2"/>
        <scheme val="minor"/>
      </rPr>
      <t>R</t>
    </r>
    <r>
      <rPr>
        <vertAlign val="subscript"/>
        <sz val="11"/>
        <rFont val="Calibri"/>
        <family val="2"/>
        <scheme val="minor"/>
      </rPr>
      <t>1</t>
    </r>
  </si>
  <si>
    <r>
      <rPr>
        <sz val="11"/>
        <rFont val="Symbol"/>
        <family val="1"/>
        <charset val="2"/>
      </rPr>
      <t>S</t>
    </r>
    <r>
      <rPr>
        <sz val="11"/>
        <rFont val="Calibri"/>
        <family val="2"/>
        <scheme val="minor"/>
      </rPr>
      <t>R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</si>
  <si>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Symbol"/>
        <family val="1"/>
        <charset val="2"/>
      </rPr>
      <t>S</t>
    </r>
    <r>
      <rPr>
        <sz val="11"/>
        <rFont val="Calibri"/>
        <family val="2"/>
        <scheme val="minor"/>
      </rPr>
      <t>R</t>
    </r>
    <r>
      <rPr>
        <vertAlign val="subscript"/>
        <sz val="11"/>
        <rFont val="Calibri"/>
        <family val="2"/>
        <scheme val="minor"/>
      </rPr>
      <t>0</t>
    </r>
  </si>
  <si>
    <t>Nashville, TN Site Location</t>
  </si>
  <si>
    <t xml:space="preserve">Available Content </t>
  </si>
  <si>
    <t>1-year Average</t>
  </si>
  <si>
    <t>5-year Average</t>
  </si>
  <si>
    <t>30-year Average</t>
  </si>
  <si>
    <t>% of the precipiation</t>
  </si>
  <si>
    <t>% of the total precip events</t>
  </si>
  <si>
    <t>Infiltration Events</t>
  </si>
  <si>
    <r>
      <t xml:space="preserve">Events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1 day (N1)</t>
    </r>
  </si>
  <si>
    <r>
      <t xml:space="preserve">Events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 xml:space="preserve"> 1 day (N2)</t>
    </r>
  </si>
  <si>
    <t>Annual Precipitation</t>
  </si>
  <si>
    <t>Average Duration of Multi-day Events</t>
  </si>
  <si>
    <t>Net Infiltration</t>
  </si>
  <si>
    <t xml:space="preserve"> cm/yr</t>
  </si>
  <si>
    <t xml:space="preserve"> cm/event</t>
  </si>
  <si>
    <t>L/S for Infiltration</t>
  </si>
  <si>
    <r>
      <t xml:space="preserve">Max LSP over pH Domain (6.0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pH ≤ 7.6)</t>
    </r>
  </si>
  <si>
    <t>Ave. Infiltration per 1-day Event (Pav1)</t>
  </si>
  <si>
    <t>Ave. Infiltration per 2-day Event (Pav2)</t>
  </si>
  <si>
    <t>Av. Infiltration per 1-day Event (Pav1)</t>
  </si>
  <si>
    <t>Av. Infiltration per 2-day Event (Pav2)</t>
  </si>
  <si>
    <t xml:space="preserve"> days</t>
  </si>
  <si>
    <t>Percolation Scenario (mg/L)</t>
  </si>
  <si>
    <t>Mass Transport Scenario (mg/L)</t>
  </si>
  <si>
    <t>Percolation Scenario</t>
  </si>
  <si>
    <t>Mass Transport Scenario</t>
  </si>
  <si>
    <t>Pendleton, OR</t>
  </si>
  <si>
    <t>Soil</t>
  </si>
  <si>
    <t>S/S Soil</t>
  </si>
  <si>
    <t>Threshold (mg/L)</t>
  </si>
  <si>
    <t>1-year Average Assessment</t>
  </si>
  <si>
    <t>Concentration</t>
  </si>
  <si>
    <t>Assessment Ratio</t>
  </si>
  <si>
    <t>5-year Average Assessment</t>
  </si>
  <si>
    <t>Change from 5-year to 30-year</t>
  </si>
  <si>
    <t>Change from 1-year to 5-year</t>
  </si>
  <si>
    <t>Available Content Limited Species</t>
  </si>
  <si>
    <t xml:space="preserve"> Solubility-Controlled Species</t>
  </si>
  <si>
    <t>30-year Average Assessment</t>
  </si>
  <si>
    <t>CFS (wet)</t>
  </si>
  <si>
    <t>S/S-CFS (wet)</t>
  </si>
  <si>
    <t>CFS (dry)</t>
  </si>
  <si>
    <t>S/S-CFS (dry)</t>
  </si>
  <si>
    <t>Nashville, TN vs Pendleton, OR</t>
  </si>
  <si>
    <t>CFS</t>
  </si>
  <si>
    <t>SS-CFS</t>
  </si>
  <si>
    <t>Change from wet to dry</t>
  </si>
  <si>
    <t>Change from 1-year to 30-year</t>
  </si>
  <si>
    <t xml:space="preserve"> assumed for loamy sand</t>
  </si>
  <si>
    <t xml:space="preserve"> silica</t>
  </si>
  <si>
    <r>
      <t xml:space="preserve"> calc'd =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/[(1-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) * </t>
    </r>
    <r>
      <rPr>
        <sz val="11"/>
        <color theme="1"/>
        <rFont val="Symbol"/>
        <family val="1"/>
        <charset val="2"/>
      </rPr>
      <t>r</t>
    </r>
    <r>
      <rPr>
        <sz val="11"/>
        <color theme="1"/>
        <rFont val="Calibri"/>
        <family val="2"/>
        <scheme val="minor"/>
      </rPr>
      <t>s]</t>
    </r>
  </si>
  <si>
    <t xml:space="preserve"> assumed for S/S matrix</t>
  </si>
  <si>
    <t>Material</t>
  </si>
  <si>
    <t>pH Domain</t>
  </si>
  <si>
    <t>5.5-9.0</t>
  </si>
  <si>
    <t>8.0-13</t>
  </si>
  <si>
    <t>natural</t>
  </si>
  <si>
    <t>L/S Domain</t>
  </si>
  <si>
    <t>Max. Conc. over Applicable pH Domain</t>
  </si>
  <si>
    <t>Max. Conc. over Applicable pH Domain and L/S Range</t>
  </si>
  <si>
    <t>Threshold</t>
  </si>
  <si>
    <t>Updated:</t>
  </si>
  <si>
    <t>A. Garrabrants</t>
  </si>
  <si>
    <t xml:space="preserve"> 10/17/2018</t>
  </si>
  <si>
    <t xml:space="preserve"> A. Garrabrants</t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</si>
  <si>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pore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</si>
  <si>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kg/m</t>
    </r>
    <r>
      <rPr>
        <vertAlign val="superscript"/>
        <sz val="11"/>
        <color theme="1"/>
        <rFont val="Calibri"/>
        <family val="2"/>
        <scheme val="minor"/>
      </rPr>
      <t>3</t>
    </r>
  </si>
  <si>
    <t>S/S-Treated Smelter Soil (S/S-CFS)</t>
  </si>
  <si>
    <t>Contaminated Smelter Soil (CFS)</t>
  </si>
  <si>
    <t>E1</t>
  </si>
  <si>
    <r>
      <t xml:space="preserve"> calc'd =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/[(1-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) * </t>
    </r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]</t>
    </r>
  </si>
  <si>
    <r>
      <t>Skeletal Density [</t>
    </r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]</t>
    </r>
  </si>
  <si>
    <r>
      <t>Porewater L/S [(L/S)</t>
    </r>
    <r>
      <rPr>
        <vertAlign val="subscript"/>
        <sz val="11"/>
        <color theme="1"/>
        <rFont val="Calibri"/>
        <family val="2"/>
        <scheme val="minor"/>
      </rPr>
      <t>pw</t>
    </r>
    <r>
      <rPr>
        <sz val="11"/>
        <color theme="1"/>
        <rFont val="Calibri"/>
        <family val="2"/>
        <scheme val="minor"/>
      </rPr>
      <t>]</t>
    </r>
  </si>
  <si>
    <r>
      <t>Bed Porosity [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</si>
  <si>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leach_max</t>
    </r>
  </si>
  <si>
    <t>E6</t>
  </si>
  <si>
    <r>
      <t>LiBO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melt</t>
    </r>
  </si>
  <si>
    <t>Reference</t>
  </si>
  <si>
    <t>M1313</t>
  </si>
  <si>
    <t>M1313, M1314</t>
  </si>
  <si>
    <t>E2</t>
  </si>
  <si>
    <t>E3, E4</t>
  </si>
  <si>
    <t>Total Content Screening</t>
  </si>
  <si>
    <t>Available  Content Screening</t>
  </si>
  <si>
    <t>Equilibrium-pH Screening</t>
  </si>
  <si>
    <t>Full LSP Screening</t>
  </si>
  <si>
    <t>Max. - pH Domain</t>
  </si>
  <si>
    <t>Max. - L/S Range</t>
  </si>
  <si>
    <t>LSP Limitation</t>
  </si>
  <si>
    <t>E5</t>
  </si>
  <si>
    <t>Evaluated from M1313/M1314 data</t>
  </si>
  <si>
    <t>User:</t>
  </si>
  <si>
    <t>from M1313</t>
  </si>
  <si>
    <t xml:space="preserve">Table 2. </t>
  </si>
  <si>
    <t>Total Content (mg/kg)</t>
  </si>
  <si>
    <t>Available Content (mg/kg)</t>
  </si>
  <si>
    <t>Max. Conc. over Applicable pH Domain (mg/L)</t>
  </si>
  <si>
    <t>Max. Conc. over Applicable pH Domain and L/S Range (mg/L)</t>
  </si>
  <si>
    <t xml:space="preserve">Table 3. </t>
  </si>
  <si>
    <t>Screening-level assessment ratios.</t>
  </si>
  <si>
    <t>Screening-level assessment concentrations.</t>
  </si>
  <si>
    <t xml:space="preserve"> AR value is less than 1.0</t>
  </si>
  <si>
    <t>conc.</t>
  </si>
  <si>
    <t xml:space="preserve"> MDL value as measured concentration is less than the MDL (reported in table as "&lt;'MDL Value'").</t>
  </si>
  <si>
    <t xml:space="preserve"> AR value greater than 1,000 (reported in table as "&gt;1,000")</t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</si>
  <si>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</si>
  <si>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</si>
  <si>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pore</t>
    </r>
  </si>
  <si>
    <t>OR has …</t>
  </si>
  <si>
    <t xml:space="preserve"> … relative to that of TN</t>
  </si>
  <si>
    <t xml:space="preserve"> mg/L</t>
  </si>
  <si>
    <t xml:space="preserve"> mg/kg</t>
  </si>
  <si>
    <t xml:space="preserve"> mg/L </t>
  </si>
  <si>
    <t xml:space="preserve"> assumed for loamy sand bed</t>
  </si>
  <si>
    <r>
      <t>Porosity [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]</t>
    </r>
  </si>
  <si>
    <r>
      <t>Relative Saturation (full) [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>]</t>
    </r>
  </si>
  <si>
    <r>
      <t xml:space="preserve"> calc'd = fc / </t>
    </r>
    <r>
      <rPr>
        <sz val="11"/>
        <color theme="1"/>
        <rFont val="Symbol"/>
        <family val="1"/>
        <charset val="2"/>
      </rPr>
      <t>e</t>
    </r>
  </si>
  <si>
    <r>
      <t xml:space="preserve"> 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</si>
  <si>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calc'd = D * A</t>
  </si>
  <si>
    <r>
      <t xml:space="preserve"> calc'd =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 xml:space="preserve"> * V</t>
    </r>
  </si>
  <si>
    <r>
      <t xml:space="preserve"> calc'd = (1-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  <scheme val="minor"/>
      </rPr>
      <t>) * V</t>
    </r>
  </si>
  <si>
    <r>
      <t>Dry Soil Mass [M</t>
    </r>
    <r>
      <rPr>
        <vertAlign val="subscript"/>
        <sz val="11"/>
        <color theme="1"/>
        <rFont val="Calibri"/>
        <family val="2"/>
        <scheme val="minor"/>
      </rPr>
      <t>soil</t>
    </r>
    <r>
      <rPr>
        <sz val="11"/>
        <color theme="1"/>
        <rFont val="Calibri"/>
        <family val="2"/>
        <scheme val="minor"/>
      </rPr>
      <t>]</t>
    </r>
  </si>
  <si>
    <t xml:space="preserve"> amount of space in soil bed before drainage occurs</t>
  </si>
  <si>
    <t>Precipitation Parameters</t>
  </si>
  <si>
    <t>Initial</t>
  </si>
  <si>
    <t>(cm)</t>
  </si>
  <si>
    <t>(L)</t>
  </si>
  <si>
    <t>(L/kg)</t>
  </si>
  <si>
    <r>
      <t>(mg/m</t>
    </r>
    <r>
      <rPr>
        <vertAlign val="superscript"/>
        <sz val="11"/>
        <color theme="0" tint="-0.249977111117893"/>
        <rFont val="Calibri"/>
        <family val="2"/>
        <scheme val="minor"/>
      </rPr>
      <t>2</t>
    </r>
    <r>
      <rPr>
        <sz val="11"/>
        <color theme="0" tint="-0.249977111117893"/>
        <rFont val="Calibri"/>
        <family val="2"/>
        <scheme val="minor"/>
      </rPr>
      <t>)</t>
    </r>
  </si>
  <si>
    <t>Interval #</t>
  </si>
  <si>
    <t>Nashville, TN (wet environment)</t>
  </si>
  <si>
    <t>Infiltration Volume</t>
  </si>
  <si>
    <t xml:space="preserve"> 17-Oct-2018</t>
  </si>
  <si>
    <t>SCREENING-LEVEL ASSESSMENT CALCULATIONS</t>
  </si>
  <si>
    <t>Scenario and Precipitation Summary</t>
  </si>
  <si>
    <t>PERCOLATION SCENARIO ASSESSMENT CALCULATIONS</t>
  </si>
  <si>
    <t>MASS TRANSPORT SCENARIO ASSESSMENT CALCULATIONS</t>
  </si>
  <si>
    <t>SCENARIO-BASED ASSESSMENT TABLES</t>
  </si>
  <si>
    <t>SCENARIO-BASED ASSESSMENT GRAPHS</t>
  </si>
  <si>
    <r>
      <t>Cumulative L/S [</t>
    </r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L/S]</t>
    </r>
  </si>
  <si>
    <r>
      <t xml:space="preserve">Max. LSP Conc. over pH Domain (5.9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pH ≤ 7.9)</t>
    </r>
  </si>
  <si>
    <t xml:space="preserve">Initial Available Content </t>
  </si>
  <si>
    <r>
      <t xml:space="preserve"> mg/m</t>
    </r>
    <r>
      <rPr>
        <vertAlign val="superscript"/>
        <sz val="11"/>
        <color theme="0" tint="-0.249977111117893"/>
        <rFont val="Calibri"/>
        <family val="2"/>
        <scheme val="minor"/>
      </rPr>
      <t>2</t>
    </r>
  </si>
  <si>
    <t xml:space="preserve">converts to </t>
  </si>
  <si>
    <t xml:space="preserve">Mean Assessment Results </t>
  </si>
  <si>
    <t>Conc.</t>
  </si>
  <si>
    <r>
      <t>Average Conc. [C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vertAlign val="superscript"/>
        <sz val="11"/>
        <color theme="1"/>
        <rFont val="Calibri"/>
        <family val="2"/>
        <scheme val="minor"/>
      </rPr>
      <t>av</t>
    </r>
    <r>
      <rPr>
        <b/>
        <sz val="11"/>
        <color theme="1"/>
        <rFont val="Calibri"/>
        <family val="2"/>
        <scheme val="minor"/>
      </rPr>
      <t>]</t>
    </r>
  </si>
  <si>
    <t>Interval Infiltration</t>
  </si>
  <si>
    <t>Precip. Events</t>
  </si>
  <si>
    <t>Mass Release</t>
  </si>
  <si>
    <r>
      <t>Release [</t>
    </r>
    <r>
      <rPr>
        <b/>
        <sz val="11"/>
        <color theme="0" tint="-0.249977111117893"/>
        <rFont val="Symbol"/>
        <family val="1"/>
        <charset val="2"/>
      </rPr>
      <t>S</t>
    </r>
    <r>
      <rPr>
        <b/>
        <sz val="11"/>
        <color theme="0" tint="-0.249977111117893"/>
        <rFont val="Calibri"/>
        <family val="2"/>
        <scheme val="minor"/>
      </rPr>
      <t>Rel]</t>
    </r>
  </si>
  <si>
    <t>Mean Data from M1314</t>
  </si>
  <si>
    <t>E7</t>
  </si>
  <si>
    <t>E8</t>
  </si>
  <si>
    <t>(mg/m2)</t>
  </si>
  <si>
    <t>Scenario Information</t>
  </si>
  <si>
    <t xml:space="preserve">Exposed Surface Area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</si>
  <si>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</si>
  <si>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Max. LSP Conc. over pH Domain (8.0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pH ≤ 13.3)</t>
    </r>
  </si>
  <si>
    <t xml:space="preserve">Initial Total Content </t>
  </si>
  <si>
    <t>converts to</t>
  </si>
  <si>
    <r>
      <t>mg/m</t>
    </r>
    <r>
      <rPr>
        <vertAlign val="superscript"/>
        <sz val="11"/>
        <rFont val="Calibri"/>
        <family val="2"/>
        <scheme val="minor"/>
      </rPr>
      <t>2</t>
    </r>
  </si>
  <si>
    <r>
      <t xml:space="preserve"> mg/m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</si>
  <si>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mg/m</t>
    </r>
    <r>
      <rPr>
        <vertAlign val="superscript"/>
        <sz val="11"/>
        <rFont val="Calibri"/>
        <family val="2"/>
        <scheme val="minor"/>
      </rPr>
      <t>2</t>
    </r>
  </si>
  <si>
    <t>kg</t>
  </si>
  <si>
    <r>
      <t>Mass of S/S-treated Soil [M</t>
    </r>
    <r>
      <rPr>
        <vertAlign val="subscript"/>
        <sz val="11"/>
        <color theme="1"/>
        <rFont val="Calibri"/>
        <family val="2"/>
        <scheme val="minor"/>
      </rPr>
      <t>ss</t>
    </r>
    <r>
      <rPr>
        <sz val="11"/>
        <color theme="1"/>
        <rFont val="Calibri"/>
        <family val="2"/>
        <scheme val="minor"/>
      </rPr>
      <t>]</t>
    </r>
  </si>
  <si>
    <r>
      <t>Surface Area Exposed to Infiltration [A</t>
    </r>
    <r>
      <rPr>
        <vertAlign val="subscript"/>
        <sz val="11"/>
        <color theme="1"/>
        <rFont val="Calibri"/>
        <family val="2"/>
        <scheme val="minor"/>
      </rPr>
      <t>exp</t>
    </r>
    <r>
      <rPr>
        <sz val="11"/>
        <color theme="1"/>
        <rFont val="Calibri"/>
        <family val="2"/>
        <scheme val="minor"/>
      </rPr>
      <t>]</t>
    </r>
  </si>
  <si>
    <r>
      <t>Surface Area of Infilltration [A</t>
    </r>
    <r>
      <rPr>
        <vertAlign val="subscript"/>
        <sz val="11"/>
        <color theme="1"/>
        <rFont val="Calibri"/>
        <family val="2"/>
        <scheme val="minor"/>
      </rPr>
      <t>inf</t>
    </r>
    <r>
      <rPr>
        <sz val="11"/>
        <color theme="1"/>
        <rFont val="Calibri"/>
        <family val="2"/>
        <scheme val="minor"/>
      </rPr>
      <t>]</t>
    </r>
  </si>
  <si>
    <t>(m)</t>
  </si>
  <si>
    <t>(#)</t>
  </si>
  <si>
    <t>(mg)</t>
  </si>
  <si>
    <r>
      <t>(mg/m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</si>
  <si>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 xml:space="preserve"># Events      </t>
    </r>
    <r>
      <rPr>
        <b/>
        <sz val="11"/>
        <color theme="1"/>
        <rFont val="Calibri"/>
        <family val="2"/>
      </rPr>
      <t>≤1-day [</t>
    </r>
    <r>
      <rPr>
        <b/>
        <sz val="11"/>
        <color theme="1"/>
        <rFont val="Calibri"/>
        <family val="2"/>
        <scheme val="minor"/>
      </rPr>
      <t>N1]</t>
    </r>
  </si>
  <si>
    <r>
      <t xml:space="preserve"># Events     </t>
    </r>
    <r>
      <rPr>
        <b/>
        <sz val="11"/>
        <color theme="1"/>
        <rFont val="Calibri"/>
        <family val="2"/>
      </rPr>
      <t>&gt;1-day [</t>
    </r>
    <r>
      <rPr>
        <b/>
        <sz val="11"/>
        <color theme="1"/>
        <rFont val="Calibri"/>
        <family val="2"/>
        <scheme val="minor"/>
      </rPr>
      <t>N2]</t>
    </r>
  </si>
  <si>
    <t>Eff. Conc.     2-day Event</t>
  </si>
  <si>
    <t>Eff. Conc.      1-day Event</t>
  </si>
  <si>
    <t>E10</t>
  </si>
  <si>
    <t>E11</t>
  </si>
  <si>
    <t>E12</t>
  </si>
  <si>
    <r>
      <t>Average Conc. [C</t>
    </r>
    <r>
      <rPr>
        <b/>
        <vertAlign val="subscript"/>
        <sz val="11"/>
        <rFont val="Calibri"/>
        <family val="2"/>
        <scheme val="minor"/>
      </rPr>
      <t>i</t>
    </r>
    <r>
      <rPr>
        <b/>
        <vertAlign val="superscript"/>
        <sz val="11"/>
        <rFont val="Calibri"/>
        <family val="2"/>
        <scheme val="minor"/>
      </rPr>
      <t>av</t>
    </r>
    <r>
      <rPr>
        <b/>
        <sz val="11"/>
        <rFont val="Calibri"/>
        <family val="2"/>
        <scheme val="minor"/>
      </rPr>
      <t>]</t>
    </r>
  </si>
  <si>
    <t>Mass Rel.        2-day [M2]</t>
  </si>
  <si>
    <t>Mass Rel.       1-day [M1]</t>
  </si>
  <si>
    <r>
      <t>Interval Release [M</t>
    </r>
    <r>
      <rPr>
        <b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>]</t>
    </r>
  </si>
  <si>
    <r>
      <t>Cumulative Rel. [</t>
    </r>
    <r>
      <rPr>
        <b/>
        <sz val="11"/>
        <rFont val="Symbol"/>
        <family val="1"/>
        <charset val="2"/>
      </rPr>
      <t>S</t>
    </r>
    <r>
      <rPr>
        <b/>
        <sz val="11"/>
        <rFont val="Calibri"/>
        <family val="2"/>
        <scheme val="minor"/>
      </rPr>
      <t>Rel]</t>
    </r>
  </si>
  <si>
    <r>
      <rPr>
        <b/>
        <sz val="11"/>
        <rFont val="Symbol"/>
        <family val="1"/>
        <charset val="2"/>
      </rPr>
      <t>S</t>
    </r>
    <r>
      <rPr>
        <b/>
        <sz val="11"/>
        <rFont val="Calibri"/>
        <family val="2"/>
        <scheme val="minor"/>
      </rPr>
      <t>Release Data from M1315</t>
    </r>
  </si>
  <si>
    <t>E13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</si>
  <si>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</si>
  <si>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Pendleton, OR (dry environment)</t>
  </si>
  <si>
    <t>Series Names</t>
  </si>
  <si>
    <t>Table 4.</t>
  </si>
  <si>
    <t>1-Year Assessment</t>
  </si>
  <si>
    <t>AR (-)</t>
  </si>
  <si>
    <t>5-Year Assessment</t>
  </si>
  <si>
    <t>30-Year Assessment</t>
  </si>
  <si>
    <t>Table 3.</t>
  </si>
  <si>
    <r>
      <t>C</t>
    </r>
    <r>
      <rPr>
        <vertAlign val="subscript"/>
        <sz val="11"/>
        <color theme="1"/>
        <rFont val="Times New Roman"/>
        <family val="1"/>
      </rPr>
      <t>av</t>
    </r>
    <r>
      <rPr>
        <sz val="11"/>
        <color theme="1"/>
        <rFont val="Times New Roman"/>
        <family val="1"/>
      </rPr>
      <t xml:space="preserve"> (mg/L)</t>
    </r>
  </si>
  <si>
    <t>Table 5.</t>
  </si>
  <si>
    <t>CFS in Percolation Scenario</t>
  </si>
  <si>
    <t>S/S-CFS in Mass Transport Scenario</t>
  </si>
  <si>
    <t>Scenario-based assessment results for 30-year assessments of CFS and S/S-CFS for wet and dry environments.</t>
  </si>
  <si>
    <t>Scenario-based Assessment of S/S-CFS in a mass transport scenario for a wet environment (Nashville, TN)</t>
  </si>
  <si>
    <t>Scenario-based Assessment of CFS in a percolation scenario for a wet environment (Nashville, TN)</t>
  </si>
  <si>
    <t xml:space="preserve"> AR value is less than 0.01 (reported in table as "&lt;0.01")</t>
  </si>
  <si>
    <t>S/S-CFS</t>
  </si>
  <si>
    <t>Contaminated Field Soil</t>
  </si>
  <si>
    <t>Meaning</t>
  </si>
  <si>
    <t>Abbreviations and Acronyms</t>
  </si>
  <si>
    <t>SCENARIO INFORMATION</t>
  </si>
  <si>
    <t>DATA DICTIONARY</t>
  </si>
  <si>
    <t>Screening-level and Scenario-based Assessments</t>
  </si>
  <si>
    <t>Equation Parameters</t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</si>
  <si>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L/S</t>
    </r>
  </si>
  <si>
    <t>Ave. Infiltration per 1-day Event [Pav1]</t>
  </si>
  <si>
    <t>Ave. Infiltration per 2-day Event [Pav2]</t>
  </si>
  <si>
    <t>Tab Name</t>
  </si>
  <si>
    <t>A</t>
  </si>
  <si>
    <t>D</t>
  </si>
  <si>
    <t>V</t>
  </si>
  <si>
    <t>Derivation</t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</si>
  <si>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s</t>
    </r>
  </si>
  <si>
    <t>e</t>
  </si>
  <si>
    <r>
      <t>W</t>
    </r>
    <r>
      <rPr>
        <vertAlign val="subscript"/>
        <sz val="11"/>
        <color theme="1"/>
        <rFont val="Calibri"/>
        <family val="2"/>
        <scheme val="minor"/>
      </rPr>
      <t>fc</t>
    </r>
  </si>
  <si>
    <r>
      <t>V</t>
    </r>
    <r>
      <rPr>
        <vertAlign val="subscript"/>
        <sz val="11"/>
        <color theme="1"/>
        <rFont val="Calibri"/>
        <family val="2"/>
        <scheme val="minor"/>
      </rPr>
      <t>dry</t>
    </r>
  </si>
  <si>
    <r>
      <t>M</t>
    </r>
    <r>
      <rPr>
        <vertAlign val="subscript"/>
        <sz val="11"/>
        <color theme="1"/>
        <rFont val="Calibri"/>
        <family val="2"/>
        <scheme val="minor"/>
      </rPr>
      <t>dry</t>
    </r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</si>
  <si>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dry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</si>
  <si>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fc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</si>
  <si>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sat</t>
    </r>
  </si>
  <si>
    <t>N1</t>
  </si>
  <si>
    <t>N2</t>
  </si>
  <si>
    <t>Pav1</t>
  </si>
  <si>
    <t>LSP</t>
  </si>
  <si>
    <t>Pav2</t>
  </si>
  <si>
    <t xml:space="preserve"> defined</t>
  </si>
  <si>
    <t xml:space="preserve"> calculated</t>
  </si>
  <si>
    <t xml:space="preserve"> Scenario_Info</t>
  </si>
  <si>
    <r>
      <t xml:space="preserve"> number of precipiation events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1-day</t>
    </r>
  </si>
  <si>
    <r>
      <t xml:space="preserve"> number of precipiation events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>1-day</t>
    </r>
  </si>
  <si>
    <t xml:space="preserve"> average infiltration for a 1-day event</t>
  </si>
  <si>
    <t xml:space="preserve"> average infiltration for a 2-day event</t>
  </si>
  <si>
    <r>
      <t>C</t>
    </r>
    <r>
      <rPr>
        <vertAlign val="subscript"/>
        <sz val="11"/>
        <color theme="1"/>
        <rFont val="Calibri"/>
        <family val="2"/>
        <scheme val="minor"/>
      </rPr>
      <t>leach_av</t>
    </r>
  </si>
  <si>
    <t xml:space="preserve"> average leachate concentration over time step i</t>
  </si>
  <si>
    <t xml:space="preserve"> average leachate concentration over an assessment interval</t>
  </si>
  <si>
    <t xml:space="preserve"> assessment ratio of leachate concentration to threshold</t>
  </si>
  <si>
    <r>
      <t>A</t>
    </r>
    <r>
      <rPr>
        <vertAlign val="subscript"/>
        <sz val="11"/>
        <color theme="1"/>
        <rFont val="Calibri"/>
        <family val="2"/>
        <scheme val="minor"/>
      </rPr>
      <t>exp</t>
    </r>
  </si>
  <si>
    <r>
      <t>A</t>
    </r>
    <r>
      <rPr>
        <vertAlign val="subscript"/>
        <sz val="11"/>
        <color theme="1"/>
        <rFont val="Calibri"/>
        <family val="2"/>
        <scheme val="minor"/>
      </rPr>
      <t>inf</t>
    </r>
  </si>
  <si>
    <r>
      <t>Water Content at Field Capacity [W</t>
    </r>
    <r>
      <rPr>
        <vertAlign val="subscript"/>
        <sz val="11"/>
        <color theme="1"/>
        <rFont val="Calibri"/>
        <family val="2"/>
        <scheme val="minor"/>
      </rPr>
      <t>fc</t>
    </r>
    <r>
      <rPr>
        <sz val="11"/>
        <color theme="1"/>
        <rFont val="Calibri"/>
        <family val="2"/>
        <scheme val="minor"/>
      </rPr>
      <t>]</t>
    </r>
  </si>
  <si>
    <t xml:space="preserve"> all pores filled with water</t>
  </si>
  <si>
    <r>
      <t>Relative Saturation (field capacity) [</t>
    </r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fc</t>
    </r>
    <r>
      <rPr>
        <sz val="11"/>
        <color theme="1"/>
        <rFont val="Calibri"/>
        <family val="2"/>
        <scheme val="minor"/>
      </rPr>
      <t>]</t>
    </r>
  </si>
  <si>
    <t>Material Fill Depth [D]</t>
  </si>
  <si>
    <t>Material Fill Area [A]</t>
  </si>
  <si>
    <t>Material Fill Volume [V]</t>
  </si>
  <si>
    <r>
      <t>Total Fill Pore Volume [V</t>
    </r>
    <r>
      <rPr>
        <vertAlign val="subscript"/>
        <sz val="11"/>
        <color theme="1"/>
        <rFont val="Calibri"/>
        <family val="2"/>
        <scheme val="minor"/>
      </rPr>
      <t>pore</t>
    </r>
    <r>
      <rPr>
        <sz val="11"/>
        <color theme="1"/>
        <rFont val="Calibri"/>
        <family val="2"/>
        <scheme val="minor"/>
      </rPr>
      <t>]</t>
    </r>
  </si>
  <si>
    <r>
      <t>Dry Soil Volume [V</t>
    </r>
    <r>
      <rPr>
        <vertAlign val="subscript"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>]</t>
    </r>
  </si>
  <si>
    <r>
      <t>Dry Soil Mass [M</t>
    </r>
    <r>
      <rPr>
        <vertAlign val="subscript"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>]</t>
    </r>
  </si>
  <si>
    <r>
      <t xml:space="preserve"> calc'd = V</t>
    </r>
    <r>
      <rPr>
        <vertAlign val="subscript"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s</t>
    </r>
  </si>
  <si>
    <r>
      <t xml:space="preserve"> calc'd = M</t>
    </r>
    <r>
      <rPr>
        <vertAlign val="subscript"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 xml:space="preserve"> / V</t>
    </r>
  </si>
  <si>
    <r>
      <t>Dry Fill Density [</t>
    </r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>]</t>
    </r>
  </si>
  <si>
    <t>.</t>
  </si>
  <si>
    <t xml:space="preserve">L/S difference to fill pores </t>
  </si>
  <si>
    <t xml:space="preserve"> mass of SS-CFS in material fill</t>
  </si>
  <si>
    <t xml:space="preserve"> plan view area of material fill</t>
  </si>
  <si>
    <t xml:space="preserve"> depth of material fill</t>
  </si>
  <si>
    <t xml:space="preserve"> skeletal density of CFS</t>
  </si>
  <si>
    <t xml:space="preserve"> porosity of CFS</t>
  </si>
  <si>
    <t xml:space="preserve"> water content of CFS at field capacity</t>
  </si>
  <si>
    <t xml:space="preserve"> relative saturation of CFS (full pores)</t>
  </si>
  <si>
    <t xml:space="preserve"> relative saturation of CFS (field capacity)</t>
  </si>
  <si>
    <t xml:space="preserve"> surface area of SS-CFS exposed to infiltration</t>
  </si>
  <si>
    <t xml:space="preserve"> set to value of A</t>
  </si>
  <si>
    <t xml:space="preserve"> dry soil volume of CFS fill</t>
  </si>
  <si>
    <t xml:space="preserve"> dry soil mass of CFS fill</t>
  </si>
  <si>
    <t xml:space="preserve"> dry soil density of CFS fill</t>
  </si>
  <si>
    <r>
      <t>C</t>
    </r>
    <r>
      <rPr>
        <vertAlign val="subscript"/>
        <sz val="11"/>
        <color theme="1"/>
        <rFont val="Calibri"/>
        <family val="2"/>
        <scheme val="minor"/>
      </rPr>
      <t>av</t>
    </r>
  </si>
  <si>
    <r>
      <t>C</t>
    </r>
    <r>
      <rPr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av</t>
    </r>
  </si>
  <si>
    <r>
      <t>M</t>
    </r>
    <r>
      <rPr>
        <vertAlign val="subscript"/>
        <sz val="11"/>
        <color theme="1"/>
        <rFont val="Calibri"/>
        <family val="2"/>
        <scheme val="minor"/>
      </rPr>
      <t>ss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</si>
  <si>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</si>
  <si>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</si>
  <si>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</si>
  <si>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L/S</t>
    </r>
  </si>
  <si>
    <t xml:space="preserve"> L/kg-dry</t>
  </si>
  <si>
    <t xml:space="preserve"> Percolation</t>
  </si>
  <si>
    <t xml:space="preserve"> Mass Transport</t>
  </si>
  <si>
    <t xml:space="preserve"> measured from leaching test</t>
  </si>
  <si>
    <t xml:space="preserve"> cumulative mass release at 48-hr (Method 1315)</t>
  </si>
  <si>
    <t xml:space="preserve"> cumulative mass release at 23-hr (Method 1315)</t>
  </si>
  <si>
    <t xml:space="preserve"> cumulative mass release at 2-hr washoff (Method 1315)</t>
  </si>
  <si>
    <t xml:space="preserve"> cumulative L/S in percolation scenario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</si>
  <si>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</si>
  <si>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Note</t>
  </si>
  <si>
    <t xml:space="preserve"> LEAF parameter</t>
  </si>
  <si>
    <t xml:space="preserve"> LEAF definition</t>
  </si>
  <si>
    <t xml:space="preserve"> name for untreated material</t>
  </si>
  <si>
    <t xml:space="preserve"> name of treated material</t>
  </si>
  <si>
    <t xml:space="preserve"> liquid-to-solid ratio</t>
  </si>
  <si>
    <t xml:space="preserve"> liquid-solid partitioning</t>
  </si>
  <si>
    <t xml:space="preserve"> Solidified/Stabilized Contaminated Field Soil</t>
  </si>
  <si>
    <t xml:space="preserve"> maximum concentration over pH domain</t>
  </si>
  <si>
    <t xml:space="preserve"> maximum concentration over L/S range</t>
  </si>
  <si>
    <t xml:space="preserve"> average leachate concentration for the screen assessment</t>
  </si>
  <si>
    <t xml:space="preserve"> multiple</t>
  </si>
  <si>
    <t xml:space="preserve"> Screening_Assessment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</si>
  <si>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pore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</si>
  <si>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pore</t>
    </r>
  </si>
  <si>
    <r>
      <t xml:space="preserve"> kg</t>
    </r>
    <r>
      <rPr>
        <vertAlign val="subscript"/>
        <sz val="11"/>
        <color theme="1"/>
        <rFont val="Calibri"/>
        <family val="2"/>
        <scheme val="minor"/>
      </rPr>
      <t>dry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</si>
  <si>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kg</t>
    </r>
    <r>
      <rPr>
        <vertAlign val="subscript"/>
        <sz val="11"/>
        <color theme="1"/>
        <rFont val="Calibri"/>
        <family val="2"/>
        <scheme val="minor"/>
      </rPr>
      <t>dry</t>
    </r>
  </si>
  <si>
    <r>
      <t>MT</t>
    </r>
    <r>
      <rPr>
        <vertAlign val="subscript"/>
        <sz val="11"/>
        <color theme="1"/>
        <rFont val="Calibri"/>
        <family val="2"/>
        <scheme val="minor"/>
      </rPr>
      <t>dry</t>
    </r>
  </si>
  <si>
    <r>
      <t xml:space="preserve"> L/kg</t>
    </r>
    <r>
      <rPr>
        <vertAlign val="subscript"/>
        <sz val="11"/>
        <color theme="1"/>
        <rFont val="Calibri"/>
        <family val="2"/>
        <scheme val="minor"/>
      </rPr>
      <t>dry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</si>
  <si>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water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</si>
  <si>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vertAlign val="subscript"/>
        <sz val="11"/>
        <color theme="1"/>
        <rFont val="Calibri"/>
        <family val="2"/>
        <scheme val="minor"/>
      </rPr>
      <t>dry</t>
    </r>
  </si>
  <si>
    <t>cm/event</t>
  </si>
  <si>
    <t>#</t>
  </si>
  <si>
    <r>
      <t>mg/kg</t>
    </r>
    <r>
      <rPr>
        <vertAlign val="subscript"/>
        <sz val="11"/>
        <color theme="1"/>
        <rFont val="Calibri"/>
        <family val="2"/>
        <scheme val="minor"/>
      </rPr>
      <t>dry</t>
    </r>
  </si>
  <si>
    <r>
      <t>R</t>
    </r>
    <r>
      <rPr>
        <vertAlign val="subscript"/>
        <sz val="11"/>
        <color theme="1"/>
        <rFont val="Calibri"/>
        <family val="2"/>
        <scheme val="minor"/>
      </rPr>
      <t>i</t>
    </r>
  </si>
  <si>
    <r>
      <t>kg</t>
    </r>
    <r>
      <rPr>
        <vertAlign val="subscript"/>
        <sz val="11"/>
        <color theme="1"/>
        <rFont val="Calibri"/>
        <family val="2"/>
        <scheme val="minor"/>
      </rPr>
      <t>dry</t>
    </r>
  </si>
  <si>
    <r>
      <t>Mass Release [R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]</t>
    </r>
  </si>
  <si>
    <t xml:space="preserve"> 13-Aug-2020</t>
  </si>
  <si>
    <t>for Mass Transport Scenario (common basis)</t>
  </si>
  <si>
    <t xml:space="preserve"> volume of CFS fill</t>
  </si>
  <si>
    <t xml:space="preserve"> mass release over time step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</si>
</sst>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#,##0.000"/>
    <numFmt numFmtId="167" formatCode="#,##0.0"/>
    <numFmt numFmtId="168" formatCode="#,##0.0000"/>
    <numFmt numFmtId="169" formatCode="#,##0.00000"/>
    <numFmt numFmtId="170" formatCode="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0" tint="-0.249977111117893"/>
      <name val="Calibri"/>
      <family val="2"/>
      <scheme val="minor"/>
    </font>
    <font>
      <b/>
      <sz val="11"/>
      <color theme="0" tint="-0.249977111117893"/>
      <name val="Symbol"/>
      <family val="1"/>
      <charset val="2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1"/>
      <color theme="3"/>
      <name val="Calibri"/>
      <family val="2"/>
      <scheme val="minor"/>
    </font>
    <font>
      <sz val="11"/>
      <name val="Symbol"/>
      <family val="1"/>
      <charset val="2"/>
    </font>
    <font>
      <vertAlign val="subscript"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rgb="FF008000"/>
      <name val="Calibri"/>
      <family val="2"/>
      <scheme val="minor"/>
    </font>
    <font>
      <vertAlign val="superscript"/>
      <sz val="11"/>
      <color theme="0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0" fontId="3" fillId="0" borderId="0" xfId="0" applyFont="1"/>
    <xf numFmtId="166" fontId="0" fillId="0" borderId="0" xfId="0" applyNumberFormat="1" applyBorder="1"/>
    <xf numFmtId="166" fontId="0" fillId="0" borderId="1" xfId="0" applyNumberFormat="1" applyBorder="1"/>
    <xf numFmtId="4" fontId="0" fillId="0" borderId="0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4" fontId="0" fillId="0" borderId="1" xfId="0" applyNumberFormat="1" applyBorder="1"/>
    <xf numFmtId="167" fontId="0" fillId="0" borderId="1" xfId="0" applyNumberFormat="1" applyBorder="1"/>
    <xf numFmtId="3" fontId="0" fillId="0" borderId="0" xfId="0" applyNumberFormat="1"/>
    <xf numFmtId="167" fontId="0" fillId="0" borderId="0" xfId="0" applyNumberFormat="1" applyBorder="1"/>
    <xf numFmtId="167" fontId="0" fillId="0" borderId="13" xfId="0" applyNumberFormat="1" applyBorder="1"/>
    <xf numFmtId="166" fontId="0" fillId="0" borderId="13" xfId="0" applyNumberFormat="1" applyBorder="1"/>
    <xf numFmtId="168" fontId="6" fillId="0" borderId="0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/>
    </xf>
    <xf numFmtId="170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2" fillId="0" borderId="0" xfId="0" applyFont="1" applyAlignment="1">
      <alignment horizontal="right"/>
    </xf>
    <xf numFmtId="9" fontId="2" fillId="0" borderId="0" xfId="1" applyFont="1" applyFill="1" applyBorder="1"/>
    <xf numFmtId="3" fontId="0" fillId="0" borderId="0" xfId="0" applyNumberFormat="1" applyFont="1" applyFill="1" applyBorder="1" applyAlignment="1">
      <alignment horizontal="left"/>
    </xf>
    <xf numFmtId="4" fontId="0" fillId="0" borderId="1" xfId="0" applyNumberFormat="1" applyFill="1" applyBorder="1"/>
    <xf numFmtId="3" fontId="0" fillId="0" borderId="1" xfId="0" applyNumberFormat="1" applyFill="1" applyBorder="1"/>
    <xf numFmtId="4" fontId="0" fillId="0" borderId="0" xfId="0" applyNumberFormat="1" applyFill="1" applyBorder="1"/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3" borderId="0" xfId="0" applyFill="1"/>
    <xf numFmtId="166" fontId="6" fillId="0" borderId="0" xfId="0" applyNumberFormat="1" applyFont="1" applyBorder="1"/>
    <xf numFmtId="4" fontId="6" fillId="0" borderId="0" xfId="0" applyNumberFormat="1" applyFont="1" applyBorder="1"/>
    <xf numFmtId="4" fontId="6" fillId="0" borderId="2" xfId="0" applyNumberFormat="1" applyFont="1" applyBorder="1"/>
    <xf numFmtId="167" fontId="6" fillId="0" borderId="2" xfId="0" applyNumberFormat="1" applyFont="1" applyBorder="1"/>
    <xf numFmtId="2" fontId="6" fillId="0" borderId="0" xfId="0" applyNumberFormat="1" applyFont="1" applyBorder="1"/>
    <xf numFmtId="167" fontId="6" fillId="0" borderId="0" xfId="0" applyNumberFormat="1" applyFont="1" applyBorder="1"/>
    <xf numFmtId="3" fontId="6" fillId="0" borderId="2" xfId="0" applyNumberFormat="1" applyFont="1" applyBorder="1"/>
    <xf numFmtId="4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7" fontId="13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17" fillId="0" borderId="0" xfId="0" applyFont="1"/>
    <xf numFmtId="3" fontId="13" fillId="0" borderId="2" xfId="0" applyNumberFormat="1" applyFont="1" applyBorder="1"/>
    <xf numFmtId="16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7" fontId="13" fillId="0" borderId="2" xfId="0" applyNumberFormat="1" applyFont="1" applyBorder="1"/>
    <xf numFmtId="3" fontId="0" fillId="0" borderId="1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165" fontId="0" fillId="0" borderId="0" xfId="0" applyNumberFormat="1" applyAlignment="1">
      <alignment horizontal="center"/>
    </xf>
    <xf numFmtId="166" fontId="0" fillId="0" borderId="1" xfId="0" applyNumberFormat="1" applyFill="1" applyBorder="1"/>
    <xf numFmtId="4" fontId="0" fillId="0" borderId="0" xfId="0" applyNumberFormat="1" applyFill="1" applyBorder="1" applyAlignment="1">
      <alignment horizontal="center"/>
    </xf>
    <xf numFmtId="167" fontId="0" fillId="0" borderId="1" xfId="0" applyNumberFormat="1" applyFill="1" applyBorder="1"/>
    <xf numFmtId="168" fontId="0" fillId="0" borderId="1" xfId="0" applyNumberFormat="1" applyFill="1" applyBorder="1"/>
    <xf numFmtId="164" fontId="0" fillId="0" borderId="1" xfId="0" applyNumberFormat="1" applyFill="1" applyBorder="1"/>
    <xf numFmtId="169" fontId="0" fillId="0" borderId="1" xfId="0" applyNumberFormat="1" applyBorder="1"/>
    <xf numFmtId="169" fontId="0" fillId="0" borderId="1" xfId="0" applyNumberFormat="1" applyFill="1" applyBorder="1"/>
    <xf numFmtId="4" fontId="2" fillId="5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168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/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Border="1" applyAlignment="1">
      <alignment horizontal="right" vertical="center" wrapText="1"/>
    </xf>
    <xf numFmtId="170" fontId="22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170" fontId="22" fillId="0" borderId="13" xfId="0" applyNumberFormat="1" applyFont="1" applyFill="1" applyBorder="1" applyAlignment="1">
      <alignment horizontal="right" vertical="center" wrapText="1"/>
    </xf>
    <xf numFmtId="164" fontId="22" fillId="0" borderId="13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165" fontId="22" fillId="0" borderId="0" xfId="0" applyNumberFormat="1" applyFont="1" applyBorder="1" applyAlignment="1">
      <alignment horizontal="right" vertical="center" wrapText="1"/>
    </xf>
    <xf numFmtId="170" fontId="22" fillId="0" borderId="2" xfId="0" applyNumberFormat="1" applyFont="1" applyFill="1" applyBorder="1" applyAlignment="1">
      <alignment horizontal="right" vertical="center" wrapText="1"/>
    </xf>
    <xf numFmtId="164" fontId="22" fillId="0" borderId="2" xfId="0" applyNumberFormat="1" applyFont="1" applyFill="1" applyBorder="1" applyAlignment="1">
      <alignment horizontal="right" vertic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1" fontId="22" fillId="0" borderId="1" xfId="0" applyNumberFormat="1" applyFont="1" applyFill="1" applyBorder="1" applyAlignment="1">
      <alignment horizontal="right" vertical="center" wrapText="1"/>
    </xf>
    <xf numFmtId="165" fontId="22" fillId="0" borderId="12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right" vertical="center" wrapText="1"/>
    </xf>
    <xf numFmtId="2" fontId="22" fillId="0" borderId="2" xfId="0" applyNumberFormat="1" applyFont="1" applyFill="1" applyBorder="1" applyAlignment="1">
      <alignment horizontal="right" vertical="center" wrapText="1"/>
    </xf>
    <xf numFmtId="165" fontId="22" fillId="0" borderId="2" xfId="0" applyNumberFormat="1" applyFont="1" applyFill="1" applyBorder="1" applyAlignment="1">
      <alignment horizontal="right" vertical="center" wrapText="1"/>
    </xf>
    <xf numFmtId="1" fontId="22" fillId="0" borderId="2" xfId="0" applyNumberFormat="1" applyFont="1" applyFill="1" applyBorder="1" applyAlignment="1">
      <alignment horizontal="right" vertical="center" wrapText="1"/>
    </xf>
    <xf numFmtId="1" fontId="22" fillId="0" borderId="13" xfId="0" applyNumberFormat="1" applyFont="1" applyFill="1" applyBorder="1" applyAlignment="1">
      <alignment horizontal="right" vertical="center" wrapText="1"/>
    </xf>
    <xf numFmtId="1" fontId="22" fillId="0" borderId="12" xfId="0" applyNumberFormat="1" applyFont="1" applyFill="1" applyBorder="1" applyAlignment="1">
      <alignment horizontal="right" vertical="center" wrapText="1"/>
    </xf>
    <xf numFmtId="1" fontId="22" fillId="0" borderId="14" xfId="0" applyNumberFormat="1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3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right" vertical="center" wrapText="1"/>
    </xf>
    <xf numFmtId="167" fontId="20" fillId="3" borderId="1" xfId="1" applyNumberFormat="1" applyFont="1" applyFill="1" applyBorder="1" applyAlignment="1">
      <alignment horizontal="right" vertical="center" wrapText="1"/>
    </xf>
    <xf numFmtId="167" fontId="20" fillId="3" borderId="2" xfId="1" applyNumberFormat="1" applyFont="1" applyFill="1" applyBorder="1" applyAlignment="1">
      <alignment horizontal="right" vertical="center" wrapText="1"/>
    </xf>
    <xf numFmtId="167" fontId="20" fillId="3" borderId="12" xfId="1" applyNumberFormat="1" applyFont="1" applyFill="1" applyBorder="1" applyAlignment="1">
      <alignment horizontal="right" vertical="center" wrapText="1"/>
    </xf>
    <xf numFmtId="167" fontId="20" fillId="3" borderId="14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167" fontId="20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170" fontId="20" fillId="0" borderId="0" xfId="0" applyNumberFormat="1" applyFont="1" applyAlignment="1">
      <alignment vertical="center" wrapText="1"/>
    </xf>
    <xf numFmtId="166" fontId="20" fillId="0" borderId="0" xfId="0" applyNumberFormat="1" applyFont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6" fontId="0" fillId="2" borderId="10" xfId="0" applyNumberFormat="1" applyFill="1" applyBorder="1" applyAlignment="1">
      <alignment vertical="center"/>
    </xf>
    <xf numFmtId="166" fontId="0" fillId="2" borderId="11" xfId="0" applyNumberForma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2" borderId="2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8" fontId="0" fillId="2" borderId="0" xfId="0" applyNumberFormat="1" applyFill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7" fontId="0" fillId="2" borderId="0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68" fontId="6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6" fontId="0" fillId="2" borderId="2" xfId="0" applyNumberForma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0" fillId="2" borderId="14" xfId="0" applyNumberFormat="1" applyFill="1" applyBorder="1" applyAlignment="1">
      <alignment vertical="center"/>
    </xf>
    <xf numFmtId="166" fontId="0" fillId="0" borderId="13" xfId="0" applyNumberFormat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166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3" fontId="0" fillId="0" borderId="9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7" fontId="0" fillId="0" borderId="2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vertical="center" wrapText="1"/>
    </xf>
    <xf numFmtId="167" fontId="20" fillId="0" borderId="13" xfId="0" applyNumberFormat="1" applyFont="1" applyBorder="1" applyAlignment="1">
      <alignment vertical="center" wrapText="1"/>
    </xf>
    <xf numFmtId="1" fontId="20" fillId="0" borderId="13" xfId="0" applyNumberFormat="1" applyFont="1" applyBorder="1" applyAlignment="1">
      <alignment vertical="center" wrapText="1"/>
    </xf>
    <xf numFmtId="2" fontId="20" fillId="0" borderId="13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" fontId="0" fillId="0" borderId="0" xfId="1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167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5" fontId="0" fillId="0" borderId="0" xfId="0" applyNumberFormat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13" fillId="0" borderId="0" xfId="0" applyFont="1" applyFill="1" applyBorder="1"/>
    <xf numFmtId="0" fontId="0" fillId="8" borderId="0" xfId="0" applyFill="1"/>
    <xf numFmtId="4" fontId="2" fillId="0" borderId="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66" fontId="0" fillId="0" borderId="12" xfId="0" applyNumberFormat="1" applyBorder="1"/>
    <xf numFmtId="4" fontId="0" fillId="0" borderId="13" xfId="0" applyNumberFormat="1" applyBorder="1"/>
    <xf numFmtId="167" fontId="13" fillId="0" borderId="13" xfId="0" applyNumberFormat="1" applyFont="1" applyBorder="1"/>
    <xf numFmtId="167" fontId="13" fillId="0" borderId="14" xfId="0" applyNumberFormat="1" applyFont="1" applyBorder="1"/>
    <xf numFmtId="4" fontId="0" fillId="0" borderId="12" xfId="0" applyNumberFormat="1" applyBorder="1"/>
    <xf numFmtId="3" fontId="13" fillId="0" borderId="13" xfId="0" applyNumberFormat="1" applyFont="1" applyBorder="1"/>
    <xf numFmtId="3" fontId="13" fillId="0" borderId="14" xfId="0" applyNumberFormat="1" applyFont="1" applyBorder="1"/>
    <xf numFmtId="169" fontId="0" fillId="0" borderId="12" xfId="0" applyNumberFormat="1" applyBorder="1"/>
    <xf numFmtId="4" fontId="0" fillId="0" borderId="12" xfId="0" applyNumberFormat="1" applyFill="1" applyBorder="1"/>
    <xf numFmtId="4" fontId="0" fillId="0" borderId="13" xfId="0" applyNumberFormat="1" applyFill="1" applyBorder="1"/>
    <xf numFmtId="3" fontId="13" fillId="0" borderId="13" xfId="0" applyNumberFormat="1" applyFont="1" applyFill="1" applyBorder="1"/>
    <xf numFmtId="167" fontId="0" fillId="0" borderId="12" xfId="0" applyNumberFormat="1" applyBorder="1"/>
    <xf numFmtId="3" fontId="0" fillId="0" borderId="0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67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3" fontId="9" fillId="3" borderId="13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8" borderId="12" xfId="0" applyFill="1" applyBorder="1"/>
    <xf numFmtId="0" fontId="0" fillId="8" borderId="13" xfId="0" applyFill="1" applyBorder="1"/>
    <xf numFmtId="3" fontId="9" fillId="8" borderId="13" xfId="0" applyNumberFormat="1" applyFont="1" applyFill="1" applyBorder="1" applyAlignment="1">
      <alignment horizontal="center"/>
    </xf>
    <xf numFmtId="3" fontId="0" fillId="3" borderId="13" xfId="0" applyNumberFormat="1" applyFill="1" applyBorder="1"/>
    <xf numFmtId="0" fontId="0" fillId="0" borderId="3" xfId="0" applyFill="1" applyBorder="1"/>
    <xf numFmtId="3" fontId="0" fillId="0" borderId="4" xfId="0" applyNumberFormat="1" applyFon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3" fontId="13" fillId="0" borderId="2" xfId="0" applyNumberFormat="1" applyFont="1" applyFill="1" applyBorder="1"/>
    <xf numFmtId="3" fontId="13" fillId="0" borderId="14" xfId="0" applyNumberFormat="1" applyFont="1" applyFill="1" applyBorder="1"/>
    <xf numFmtId="4" fontId="13" fillId="0" borderId="0" xfId="0" applyNumberFormat="1" applyFont="1" applyBorder="1"/>
    <xf numFmtId="4" fontId="13" fillId="0" borderId="2" xfId="0" applyNumberFormat="1" applyFont="1" applyBorder="1"/>
    <xf numFmtId="4" fontId="13" fillId="0" borderId="13" xfId="0" applyNumberFormat="1" applyFont="1" applyBorder="1"/>
    <xf numFmtId="4" fontId="13" fillId="0" borderId="14" xfId="0" applyNumberFormat="1" applyFont="1" applyBorder="1"/>
    <xf numFmtId="0" fontId="0" fillId="0" borderId="2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65" fontId="0" fillId="0" borderId="1" xfId="0" applyNumberFormat="1" applyBorder="1"/>
    <xf numFmtId="2" fontId="0" fillId="0" borderId="2" xfId="0" applyNumberFormat="1" applyBorder="1"/>
    <xf numFmtId="165" fontId="0" fillId="0" borderId="12" xfId="0" applyNumberFormat="1" applyBorder="1"/>
    <xf numFmtId="2" fontId="0" fillId="0" borderId="14" xfId="0" applyNumberForma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2" xfId="0" applyNumberFormat="1" applyBorder="1"/>
    <xf numFmtId="164" fontId="0" fillId="0" borderId="14" xfId="0" applyNumberFormat="1" applyBorder="1"/>
    <xf numFmtId="3" fontId="0" fillId="0" borderId="2" xfId="0" applyNumberFormat="1" applyBorder="1"/>
    <xf numFmtId="3" fontId="0" fillId="0" borderId="14" xfId="0" applyNumberFormat="1" applyBorder="1"/>
    <xf numFmtId="166" fontId="13" fillId="0" borderId="0" xfId="0" applyNumberFormat="1" applyFont="1" applyBorder="1"/>
    <xf numFmtId="166" fontId="13" fillId="0" borderId="13" xfId="0" applyNumberFormat="1" applyFont="1" applyBorder="1"/>
    <xf numFmtId="166" fontId="13" fillId="0" borderId="14" xfId="0" applyNumberFormat="1" applyFont="1" applyBorder="1"/>
    <xf numFmtId="167" fontId="0" fillId="0" borderId="1" xfId="0" applyNumberFormat="1" applyBorder="1" applyAlignment="1">
      <alignment horizontal="right"/>
    </xf>
    <xf numFmtId="11" fontId="0" fillId="0" borderId="0" xfId="0" applyNumberFormat="1" applyBorder="1"/>
    <xf numFmtId="11" fontId="0" fillId="0" borderId="13" xfId="0" applyNumberFormat="1" applyBorder="1"/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4" fontId="14" fillId="5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0" fillId="0" borderId="0" xfId="0" applyNumberFormat="1" applyFill="1" applyBorder="1"/>
    <xf numFmtId="0" fontId="6" fillId="0" borderId="1" xfId="0" applyFont="1" applyFill="1" applyBorder="1"/>
    <xf numFmtId="0" fontId="1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7" borderId="15" xfId="0" applyFont="1" applyFill="1" applyBorder="1" applyAlignment="1">
      <alignment horizontal="left" vertical="center"/>
    </xf>
    <xf numFmtId="164" fontId="6" fillId="7" borderId="16" xfId="0" applyNumberFormat="1" applyFont="1" applyFill="1" applyBorder="1" applyAlignment="1">
      <alignment vertical="center"/>
    </xf>
    <xf numFmtId="3" fontId="6" fillId="7" borderId="17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3" fontId="6" fillId="0" borderId="5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9" fillId="3" borderId="1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8" fontId="6" fillId="0" borderId="1" xfId="0" applyNumberFormat="1" applyFont="1" applyBorder="1"/>
    <xf numFmtId="168" fontId="6" fillId="0" borderId="12" xfId="0" applyNumberFormat="1" applyFont="1" applyBorder="1"/>
    <xf numFmtId="168" fontId="6" fillId="0" borderId="13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0" fontId="0" fillId="0" borderId="14" xfId="0" applyBorder="1" applyAlignment="1">
      <alignment horizontal="center"/>
    </xf>
    <xf numFmtId="2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0" fillId="8" borderId="14" xfId="0" applyFill="1" applyBorder="1"/>
    <xf numFmtId="0" fontId="6" fillId="8" borderId="12" xfId="0" applyFont="1" applyFill="1" applyBorder="1"/>
    <xf numFmtId="0" fontId="6" fillId="8" borderId="13" xfId="0" applyFont="1" applyFill="1" applyBorder="1"/>
    <xf numFmtId="0" fontId="0" fillId="8" borderId="13" xfId="0" applyFill="1" applyBorder="1" applyAlignment="1">
      <alignment horizontal="center"/>
    </xf>
    <xf numFmtId="0" fontId="6" fillId="8" borderId="14" xfId="0" applyFont="1" applyFill="1" applyBorder="1"/>
    <xf numFmtId="0" fontId="2" fillId="8" borderId="5" xfId="0" applyFont="1" applyFill="1" applyBorder="1"/>
    <xf numFmtId="0" fontId="14" fillId="8" borderId="3" xfId="0" applyFont="1" applyFill="1" applyBorder="1"/>
    <xf numFmtId="0" fontId="14" fillId="8" borderId="4" xfId="0" applyFont="1" applyFill="1" applyBorder="1"/>
    <xf numFmtId="0" fontId="14" fillId="8" borderId="5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0" fillId="3" borderId="13" xfId="0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/>
    </xf>
    <xf numFmtId="0" fontId="6" fillId="3" borderId="14" xfId="0" applyFont="1" applyFill="1" applyBorder="1"/>
    <xf numFmtId="0" fontId="14" fillId="3" borderId="3" xfId="0" applyFont="1" applyFill="1" applyBorder="1"/>
    <xf numFmtId="0" fontId="14" fillId="3" borderId="4" xfId="0" applyFont="1" applyFill="1" applyBorder="1"/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/>
    <xf numFmtId="3" fontId="6" fillId="0" borderId="0" xfId="0" applyNumberFormat="1" applyFont="1" applyBorder="1" applyAlignment="1">
      <alignment horizontal="center" vertical="center"/>
    </xf>
    <xf numFmtId="3" fontId="6" fillId="0" borderId="13" xfId="0" applyNumberFormat="1" applyFont="1" applyBorder="1"/>
    <xf numFmtId="3" fontId="6" fillId="0" borderId="14" xfId="0" applyNumberFormat="1" applyFont="1" applyBorder="1"/>
    <xf numFmtId="166" fontId="6" fillId="0" borderId="13" xfId="0" applyNumberFormat="1" applyFont="1" applyBorder="1"/>
    <xf numFmtId="167" fontId="6" fillId="0" borderId="13" xfId="0" applyNumberFormat="1" applyFont="1" applyBorder="1"/>
    <xf numFmtId="0" fontId="6" fillId="0" borderId="2" xfId="0" applyFont="1" applyFill="1" applyBorder="1" applyAlignment="1">
      <alignment horizontal="right"/>
    </xf>
    <xf numFmtId="168" fontId="0" fillId="0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167" fontId="6" fillId="0" borderId="14" xfId="0" applyNumberFormat="1" applyFont="1" applyBorder="1"/>
    <xf numFmtId="3" fontId="6" fillId="0" borderId="13" xfId="0" applyNumberFormat="1" applyFont="1" applyBorder="1" applyAlignment="1">
      <alignment vertical="center"/>
    </xf>
    <xf numFmtId="166" fontId="6" fillId="0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0" fillId="8" borderId="0" xfId="0" applyFont="1" applyFill="1" applyBorder="1" applyAlignment="1">
      <alignment horizontal="left" vertical="center" wrapText="1"/>
    </xf>
    <xf numFmtId="165" fontId="20" fillId="8" borderId="1" xfId="0" applyNumberFormat="1" applyFont="1" applyFill="1" applyBorder="1" applyAlignment="1">
      <alignment horizontal="right" vertical="center" wrapText="1"/>
    </xf>
    <xf numFmtId="165" fontId="20" fillId="8" borderId="0" xfId="0" applyNumberFormat="1" applyFont="1" applyFill="1" applyBorder="1" applyAlignment="1">
      <alignment horizontal="right" vertical="center" wrapText="1"/>
    </xf>
    <xf numFmtId="167" fontId="20" fillId="8" borderId="1" xfId="1" applyNumberFormat="1" applyFont="1" applyFill="1" applyBorder="1" applyAlignment="1">
      <alignment horizontal="right" vertical="center" wrapText="1"/>
    </xf>
    <xf numFmtId="167" fontId="20" fillId="8" borderId="2" xfId="1" applyNumberFormat="1" applyFont="1" applyFill="1" applyBorder="1" applyAlignment="1">
      <alignment horizontal="right" vertical="center" wrapText="1"/>
    </xf>
    <xf numFmtId="1" fontId="20" fillId="8" borderId="1" xfId="0" applyNumberFormat="1" applyFont="1" applyFill="1" applyBorder="1" applyAlignment="1">
      <alignment horizontal="right" vertical="center" wrapText="1"/>
    </xf>
    <xf numFmtId="1" fontId="20" fillId="8" borderId="0" xfId="0" applyNumberFormat="1" applyFont="1" applyFill="1" applyBorder="1" applyAlignment="1">
      <alignment horizontal="right" vertical="center" wrapText="1"/>
    </xf>
    <xf numFmtId="0" fontId="26" fillId="0" borderId="0" xfId="0" applyFont="1" applyBorder="1"/>
    <xf numFmtId="0" fontId="26" fillId="0" borderId="0" xfId="0" applyFont="1"/>
    <xf numFmtId="0" fontId="34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/>
    <xf numFmtId="0" fontId="26" fillId="0" borderId="16" xfId="0" applyFont="1" applyBorder="1" applyAlignment="1">
      <alignment wrapText="1"/>
    </xf>
    <xf numFmtId="0" fontId="26" fillId="0" borderId="16" xfId="0" applyFont="1" applyBorder="1" applyAlignment="1">
      <alignment horizontal="center" wrapText="1"/>
    </xf>
    <xf numFmtId="166" fontId="26" fillId="0" borderId="0" xfId="0" applyNumberFormat="1" applyFont="1" applyBorder="1"/>
    <xf numFmtId="3" fontId="26" fillId="0" borderId="0" xfId="0" applyNumberFormat="1" applyFont="1"/>
    <xf numFmtId="166" fontId="26" fillId="0" borderId="0" xfId="0" applyNumberFormat="1" applyFont="1"/>
    <xf numFmtId="4" fontId="26" fillId="0" borderId="0" xfId="0" applyNumberFormat="1" applyFont="1" applyBorder="1"/>
    <xf numFmtId="167" fontId="26" fillId="0" borderId="0" xfId="0" applyNumberFormat="1" applyFont="1"/>
    <xf numFmtId="167" fontId="26" fillId="0" borderId="0" xfId="0" applyNumberFormat="1" applyFont="1" applyBorder="1"/>
    <xf numFmtId="3" fontId="26" fillId="0" borderId="0" xfId="0" applyNumberFormat="1" applyFont="1" applyBorder="1"/>
    <xf numFmtId="4" fontId="26" fillId="0" borderId="0" xfId="0" applyNumberFormat="1" applyFont="1"/>
    <xf numFmtId="4" fontId="26" fillId="0" borderId="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26" fillId="0" borderId="13" xfId="0" applyFont="1" applyBorder="1"/>
    <xf numFmtId="3" fontId="26" fillId="0" borderId="13" xfId="0" applyNumberFormat="1" applyFont="1" applyBorder="1"/>
    <xf numFmtId="167" fontId="26" fillId="0" borderId="13" xfId="0" applyNumberFormat="1" applyFont="1" applyBorder="1"/>
    <xf numFmtId="1" fontId="26" fillId="0" borderId="0" xfId="0" applyNumberFormat="1" applyFont="1"/>
    <xf numFmtId="164" fontId="26" fillId="0" borderId="0" xfId="0" applyNumberFormat="1" applyFont="1"/>
    <xf numFmtId="168" fontId="26" fillId="0" borderId="0" xfId="0" applyNumberFormat="1" applyFont="1" applyBorder="1"/>
    <xf numFmtId="168" fontId="26" fillId="0" borderId="0" xfId="0" applyNumberFormat="1" applyFont="1"/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13" xfId="0" applyNumberFormat="1" applyFont="1" applyBorder="1"/>
    <xf numFmtId="0" fontId="21" fillId="0" borderId="0" xfId="0" applyFont="1" applyAlignment="1">
      <alignment vertical="center"/>
    </xf>
    <xf numFmtId="0" fontId="21" fillId="0" borderId="0" xfId="0" applyFont="1"/>
    <xf numFmtId="168" fontId="26" fillId="0" borderId="0" xfId="0" applyNumberFormat="1" applyFont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4" fontId="26" fillId="0" borderId="13" xfId="0" applyNumberFormat="1" applyFont="1" applyBorder="1"/>
    <xf numFmtId="0" fontId="27" fillId="4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13" xfId="0" applyBorder="1"/>
    <xf numFmtId="0" fontId="0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2" borderId="3" xfId="0" applyFont="1" applyFill="1" applyBorder="1"/>
    <xf numFmtId="0" fontId="2" fillId="2" borderId="5" xfId="0" applyFont="1" applyFill="1" applyBorder="1"/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287"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</dxf>
    <dxf>
      <fill>
        <patternFill>
          <bgColor theme="0" tint="-0.14996795556505021"/>
        </patternFill>
      </fill>
    </dxf>
    <dxf>
      <font>
        <b/>
        <i/>
        <color rgb="FF008000"/>
      </font>
      <fill>
        <patternFill patternType="solid">
          <bgColor theme="6" tint="0.79998168889431442"/>
        </patternFill>
      </fill>
    </dxf>
    <dxf>
      <font>
        <b/>
        <i/>
        <color rgb="FF008000"/>
      </font>
      <fill>
        <patternFill patternType="solid">
          <bgColor theme="6" tint="0.79998168889431442"/>
        </patternFill>
      </fill>
    </dxf>
    <dxf>
      <font>
        <b/>
        <i/>
        <color rgb="FF008000"/>
      </font>
      <fill>
        <patternFill patternType="solid">
          <bgColor theme="6" tint="0.79998168889431442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b/>
        <i/>
        <color rgb="FF008000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b/>
        <i val="0"/>
        <color rgb="FF00800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Percolation!$K$29:$K$58</c:f>
              <c:numCache>
                <c:formatCode>#,##0.0</c:formatCode>
                <c:ptCount val="30"/>
                <c:pt idx="0">
                  <c:v>35.171499999999995</c:v>
                </c:pt>
                <c:pt idx="1">
                  <c:v>70.342999999999989</c:v>
                </c:pt>
                <c:pt idx="2">
                  <c:v>105.51449999999997</c:v>
                </c:pt>
                <c:pt idx="3">
                  <c:v>140.68599999999998</c:v>
                </c:pt>
                <c:pt idx="4">
                  <c:v>175.85749999999999</c:v>
                </c:pt>
                <c:pt idx="5">
                  <c:v>211.029</c:v>
                </c:pt>
                <c:pt idx="6">
                  <c:v>246.20050000000001</c:v>
                </c:pt>
                <c:pt idx="7">
                  <c:v>281.37200000000001</c:v>
                </c:pt>
                <c:pt idx="8">
                  <c:v>316.54349999999999</c:v>
                </c:pt>
                <c:pt idx="9">
                  <c:v>351.71500000000003</c:v>
                </c:pt>
                <c:pt idx="10">
                  <c:v>386.88650000000007</c:v>
                </c:pt>
                <c:pt idx="11">
                  <c:v>422.05800000000005</c:v>
                </c:pt>
                <c:pt idx="12">
                  <c:v>457.22950000000003</c:v>
                </c:pt>
                <c:pt idx="13">
                  <c:v>492.40100000000001</c:v>
                </c:pt>
                <c:pt idx="14">
                  <c:v>527.57249999999999</c:v>
                </c:pt>
                <c:pt idx="15">
                  <c:v>562.74399999999991</c:v>
                </c:pt>
                <c:pt idx="16">
                  <c:v>597.91549999999984</c:v>
                </c:pt>
                <c:pt idx="17">
                  <c:v>633.08699999999976</c:v>
                </c:pt>
                <c:pt idx="18">
                  <c:v>668.25849999999969</c:v>
                </c:pt>
                <c:pt idx="19">
                  <c:v>703.42999999999961</c:v>
                </c:pt>
                <c:pt idx="20">
                  <c:v>738.60149999999953</c:v>
                </c:pt>
                <c:pt idx="21">
                  <c:v>773.77299999999957</c:v>
                </c:pt>
                <c:pt idx="22">
                  <c:v>808.94449999999961</c:v>
                </c:pt>
                <c:pt idx="23">
                  <c:v>844.11599999999964</c:v>
                </c:pt>
                <c:pt idx="24">
                  <c:v>879.28749999999968</c:v>
                </c:pt>
                <c:pt idx="25">
                  <c:v>914.45899999999972</c:v>
                </c:pt>
                <c:pt idx="26">
                  <c:v>949.63049999999976</c:v>
                </c:pt>
                <c:pt idx="27">
                  <c:v>984.80199999999979</c:v>
                </c:pt>
                <c:pt idx="28">
                  <c:v>1019.9734999999998</c:v>
                </c:pt>
                <c:pt idx="29">
                  <c:v>1055.145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3-4F6E-95D2-18829C93ECBA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Transport'!$M$29:$M$58</c:f>
              <c:numCache>
                <c:formatCode>#,##0.00</c:formatCode>
                <c:ptCount val="30"/>
                <c:pt idx="0">
                  <c:v>0.84089284652322138</c:v>
                </c:pt>
                <c:pt idx="1">
                  <c:v>1.6817856930464428</c:v>
                </c:pt>
                <c:pt idx="2">
                  <c:v>2.522678539569664</c:v>
                </c:pt>
                <c:pt idx="3">
                  <c:v>3.3635713860928855</c:v>
                </c:pt>
                <c:pt idx="4">
                  <c:v>4.2044642326161066</c:v>
                </c:pt>
                <c:pt idx="5">
                  <c:v>5.0453570791393281</c:v>
                </c:pt>
                <c:pt idx="6">
                  <c:v>5.8862499256625496</c:v>
                </c:pt>
                <c:pt idx="7">
                  <c:v>6.7271427721857711</c:v>
                </c:pt>
                <c:pt idx="8">
                  <c:v>7.5680356187089926</c:v>
                </c:pt>
                <c:pt idx="9">
                  <c:v>8.4089284652322132</c:v>
                </c:pt>
                <c:pt idx="10">
                  <c:v>9.2498213117554346</c:v>
                </c:pt>
                <c:pt idx="11">
                  <c:v>10.090714158278656</c:v>
                </c:pt>
                <c:pt idx="12">
                  <c:v>10.931607004801878</c:v>
                </c:pt>
                <c:pt idx="13">
                  <c:v>11.772499851325099</c:v>
                </c:pt>
                <c:pt idx="14">
                  <c:v>12.613392697848321</c:v>
                </c:pt>
                <c:pt idx="15">
                  <c:v>13.454285544371542</c:v>
                </c:pt>
                <c:pt idx="16">
                  <c:v>14.295178390894764</c:v>
                </c:pt>
                <c:pt idx="17">
                  <c:v>15.136071237417985</c:v>
                </c:pt>
                <c:pt idx="18">
                  <c:v>15.976964083941207</c:v>
                </c:pt>
                <c:pt idx="19">
                  <c:v>16.817856930464426</c:v>
                </c:pt>
                <c:pt idx="20">
                  <c:v>17.658749776987648</c:v>
                </c:pt>
                <c:pt idx="21">
                  <c:v>18.499642623510869</c:v>
                </c:pt>
                <c:pt idx="22">
                  <c:v>19.340535470034091</c:v>
                </c:pt>
                <c:pt idx="23">
                  <c:v>20.181428316557312</c:v>
                </c:pt>
                <c:pt idx="24">
                  <c:v>21.022321163080534</c:v>
                </c:pt>
                <c:pt idx="25">
                  <c:v>21.863214009603755</c:v>
                </c:pt>
                <c:pt idx="26">
                  <c:v>22.704106856126977</c:v>
                </c:pt>
                <c:pt idx="27">
                  <c:v>23.544999702650198</c:v>
                </c:pt>
                <c:pt idx="28">
                  <c:v>24.38589254917342</c:v>
                </c:pt>
                <c:pt idx="29">
                  <c:v>25.226785395696641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3-4F6E-95D2-18829C93ECBA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(Percolation!$J$17,Percolation!$J$17)</c:f>
              <c:numCache>
                <c:formatCode>#,##0</c:formatCode>
                <c:ptCount val="2"/>
                <c:pt idx="0">
                  <c:v>51277.5</c:v>
                </c:pt>
                <c:pt idx="1">
                  <c:v>51277.5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B-49D6-987D-F7145A89C542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Transport'!$J$17,'Mass Transport'!$J$17)</c:f>
              <c:numCache>
                <c:formatCode>#,##0</c:formatCode>
                <c:ptCount val="2"/>
                <c:pt idx="0">
                  <c:v>240185.40000000008</c:v>
                </c:pt>
                <c:pt idx="1">
                  <c:v>240185.40000000008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B-49D6-987D-F7145A89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Antimony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295713035870506"/>
          <c:y val="0.67257917760279962"/>
          <c:w val="0.16315398075240592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Percolation!$AT$29:$AT$58</c:f>
              <c:numCache>
                <c:formatCode>#,##0</c:formatCode>
                <c:ptCount val="30"/>
                <c:pt idx="0">
                  <c:v>490.85500000000002</c:v>
                </c:pt>
                <c:pt idx="1">
                  <c:v>981.71</c:v>
                </c:pt>
                <c:pt idx="2">
                  <c:v>1472.5649999999998</c:v>
                </c:pt>
                <c:pt idx="3">
                  <c:v>1963.42</c:v>
                </c:pt>
                <c:pt idx="4">
                  <c:v>2454.2750000000001</c:v>
                </c:pt>
                <c:pt idx="5">
                  <c:v>2945.13</c:v>
                </c:pt>
                <c:pt idx="6">
                  <c:v>3435.9850000000001</c:v>
                </c:pt>
                <c:pt idx="7">
                  <c:v>3926.84</c:v>
                </c:pt>
                <c:pt idx="8">
                  <c:v>4417.6950000000006</c:v>
                </c:pt>
                <c:pt idx="9">
                  <c:v>4908.5500000000011</c:v>
                </c:pt>
                <c:pt idx="10">
                  <c:v>5399.4050000000016</c:v>
                </c:pt>
                <c:pt idx="11">
                  <c:v>5890.2600000000011</c:v>
                </c:pt>
                <c:pt idx="12">
                  <c:v>6381.1150000000007</c:v>
                </c:pt>
                <c:pt idx="13">
                  <c:v>6871.97</c:v>
                </c:pt>
                <c:pt idx="14">
                  <c:v>7362.8249999999998</c:v>
                </c:pt>
                <c:pt idx="15">
                  <c:v>7853.6799999999994</c:v>
                </c:pt>
                <c:pt idx="16">
                  <c:v>8344.5349999999999</c:v>
                </c:pt>
                <c:pt idx="17">
                  <c:v>8835.39</c:v>
                </c:pt>
                <c:pt idx="18">
                  <c:v>9326.244999999999</c:v>
                </c:pt>
                <c:pt idx="19">
                  <c:v>9817.0999999999985</c:v>
                </c:pt>
                <c:pt idx="20">
                  <c:v>10307.954999999998</c:v>
                </c:pt>
                <c:pt idx="21">
                  <c:v>10798.81</c:v>
                </c:pt>
                <c:pt idx="22">
                  <c:v>11289.665000000001</c:v>
                </c:pt>
                <c:pt idx="23">
                  <c:v>11780.520000000002</c:v>
                </c:pt>
                <c:pt idx="24">
                  <c:v>12271.375000000004</c:v>
                </c:pt>
                <c:pt idx="25">
                  <c:v>12762.230000000005</c:v>
                </c:pt>
                <c:pt idx="26">
                  <c:v>13253.085000000006</c:v>
                </c:pt>
                <c:pt idx="27">
                  <c:v>13743.940000000008</c:v>
                </c:pt>
                <c:pt idx="28">
                  <c:v>14234.795000000009</c:v>
                </c:pt>
                <c:pt idx="29">
                  <c:v>14725.650000000011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F3-40C5-A42E-3EF17AD57C19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Transport'!$BJ$29:$BJ$58</c:f>
              <c:numCache>
                <c:formatCode>#,##0</c:formatCode>
                <c:ptCount val="30"/>
                <c:pt idx="0">
                  <c:v>89.914882637443</c:v>
                </c:pt>
                <c:pt idx="1">
                  <c:v>179.829765274886</c:v>
                </c:pt>
                <c:pt idx="2">
                  <c:v>269.74464791232901</c:v>
                </c:pt>
                <c:pt idx="3">
                  <c:v>359.659530549772</c:v>
                </c:pt>
                <c:pt idx="4">
                  <c:v>449.57441318721499</c:v>
                </c:pt>
                <c:pt idx="5">
                  <c:v>539.48929582465803</c:v>
                </c:pt>
                <c:pt idx="6">
                  <c:v>629.40417846210107</c:v>
                </c:pt>
                <c:pt idx="7">
                  <c:v>719.31906109954411</c:v>
                </c:pt>
                <c:pt idx="8">
                  <c:v>809.23394373698716</c:v>
                </c:pt>
                <c:pt idx="9">
                  <c:v>899.1488263744302</c:v>
                </c:pt>
                <c:pt idx="10">
                  <c:v>989.06370901187324</c:v>
                </c:pt>
                <c:pt idx="11">
                  <c:v>1078.9785916493163</c:v>
                </c:pt>
                <c:pt idx="12">
                  <c:v>1168.8934742867593</c:v>
                </c:pt>
                <c:pt idx="13">
                  <c:v>1258.8083569242024</c:v>
                </c:pt>
                <c:pt idx="14">
                  <c:v>1348.7232395616454</c:v>
                </c:pt>
                <c:pt idx="15">
                  <c:v>1438.6381221990885</c:v>
                </c:pt>
                <c:pt idx="16">
                  <c:v>1528.5530048365315</c:v>
                </c:pt>
                <c:pt idx="17">
                  <c:v>1618.4678874739745</c:v>
                </c:pt>
                <c:pt idx="18">
                  <c:v>1708.3827701114176</c:v>
                </c:pt>
                <c:pt idx="19">
                  <c:v>1798.2976527488606</c:v>
                </c:pt>
                <c:pt idx="20">
                  <c:v>1888.2125353863037</c:v>
                </c:pt>
                <c:pt idx="21">
                  <c:v>1978.1274180237467</c:v>
                </c:pt>
                <c:pt idx="22">
                  <c:v>2068.0423006611895</c:v>
                </c:pt>
                <c:pt idx="23">
                  <c:v>2157.9571832986326</c:v>
                </c:pt>
                <c:pt idx="24">
                  <c:v>2247.8720659360756</c:v>
                </c:pt>
                <c:pt idx="25">
                  <c:v>2337.7869485735187</c:v>
                </c:pt>
                <c:pt idx="26">
                  <c:v>2427.7018312109617</c:v>
                </c:pt>
                <c:pt idx="27">
                  <c:v>2517.6167138484047</c:v>
                </c:pt>
                <c:pt idx="28">
                  <c:v>2607.5315964858478</c:v>
                </c:pt>
                <c:pt idx="29">
                  <c:v>2697.4464791232908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F3-40C5-A42E-3EF17AD57C19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(Percolation!$AS$17,Percolation!$AS$17)</c:f>
              <c:numCache>
                <c:formatCode>#,##0</c:formatCode>
                <c:ptCount val="2"/>
                <c:pt idx="0">
                  <c:v>501247.5</c:v>
                </c:pt>
                <c:pt idx="1">
                  <c:v>501247.5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F3-40C5-A42E-3EF17AD57C19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Transport'!$BG$17,'Mass Transport'!$BG$17)</c:f>
              <c:numCache>
                <c:formatCode>#,##0</c:formatCode>
                <c:ptCount val="2"/>
                <c:pt idx="0">
                  <c:v>507528.00000000006</c:v>
                </c:pt>
                <c:pt idx="1">
                  <c:v>507528.00000000006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F3-40C5-A42E-3EF17AD57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Lead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722085298280818"/>
          <c:y val="0.67257917760279962"/>
          <c:w val="0.16889012476082765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Percolation!$AY$29:$AY$58</c:f>
              <c:numCache>
                <c:formatCode>#,##0</c:formatCode>
                <c:ptCount val="30"/>
                <c:pt idx="0">
                  <c:v>52772.562282629675</c:v>
                </c:pt>
                <c:pt idx="1">
                  <c:v>105545.12456525935</c:v>
                </c:pt>
                <c:pt idx="2">
                  <c:v>106102.26098357014</c:v>
                </c:pt>
                <c:pt idx="3">
                  <c:v>106659.39740188094</c:v>
                </c:pt>
                <c:pt idx="4">
                  <c:v>107216.53382019173</c:v>
                </c:pt>
                <c:pt idx="5">
                  <c:v>107377.6836128685</c:v>
                </c:pt>
                <c:pt idx="6">
                  <c:v>107538.83340554526</c:v>
                </c:pt>
                <c:pt idx="7">
                  <c:v>107699.98319822202</c:v>
                </c:pt>
                <c:pt idx="8">
                  <c:v>107703.84819822203</c:v>
                </c:pt>
                <c:pt idx="9">
                  <c:v>107703.84819822203</c:v>
                </c:pt>
                <c:pt idx="10">
                  <c:v>107703.84819822203</c:v>
                </c:pt>
                <c:pt idx="11">
                  <c:v>107703.84819822203</c:v>
                </c:pt>
                <c:pt idx="12">
                  <c:v>107703.84819822203</c:v>
                </c:pt>
                <c:pt idx="13">
                  <c:v>107703.84819822203</c:v>
                </c:pt>
                <c:pt idx="14">
                  <c:v>107703.84819822203</c:v>
                </c:pt>
                <c:pt idx="15">
                  <c:v>107703.84819822203</c:v>
                </c:pt>
                <c:pt idx="16">
                  <c:v>107703.84819822203</c:v>
                </c:pt>
                <c:pt idx="17">
                  <c:v>107703.84819822203</c:v>
                </c:pt>
                <c:pt idx="18">
                  <c:v>107703.84819822203</c:v>
                </c:pt>
                <c:pt idx="19">
                  <c:v>107703.84819822203</c:v>
                </c:pt>
                <c:pt idx="20">
                  <c:v>107703.84819822203</c:v>
                </c:pt>
                <c:pt idx="21">
                  <c:v>107703.84819822203</c:v>
                </c:pt>
                <c:pt idx="22">
                  <c:v>107703.84819822203</c:v>
                </c:pt>
                <c:pt idx="23">
                  <c:v>107703.84819822203</c:v>
                </c:pt>
                <c:pt idx="24">
                  <c:v>107703.84819822203</c:v>
                </c:pt>
                <c:pt idx="25">
                  <c:v>107703.84819822203</c:v>
                </c:pt>
                <c:pt idx="26">
                  <c:v>107703.84819822203</c:v>
                </c:pt>
                <c:pt idx="27">
                  <c:v>107703.84819822203</c:v>
                </c:pt>
                <c:pt idx="28">
                  <c:v>107703.84819822203</c:v>
                </c:pt>
                <c:pt idx="29">
                  <c:v>107703.84819822203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63-4404-AEAA-72013B11DCAB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Transport'!$BQ$29:$BQ$58</c:f>
              <c:numCache>
                <c:formatCode>#,##0</c:formatCode>
                <c:ptCount val="30"/>
                <c:pt idx="0">
                  <c:v>1137.6600000000001</c:v>
                </c:pt>
                <c:pt idx="1">
                  <c:v>2275.3200000000002</c:v>
                </c:pt>
                <c:pt idx="2">
                  <c:v>3412.9800000000005</c:v>
                </c:pt>
                <c:pt idx="3">
                  <c:v>4550.6400000000003</c:v>
                </c:pt>
                <c:pt idx="4">
                  <c:v>5688.3</c:v>
                </c:pt>
                <c:pt idx="5">
                  <c:v>6825.96</c:v>
                </c:pt>
                <c:pt idx="6">
                  <c:v>7963.62</c:v>
                </c:pt>
                <c:pt idx="7">
                  <c:v>9101.2800000000007</c:v>
                </c:pt>
                <c:pt idx="8">
                  <c:v>10238.94</c:v>
                </c:pt>
                <c:pt idx="9">
                  <c:v>11376.6</c:v>
                </c:pt>
                <c:pt idx="10">
                  <c:v>12514.26</c:v>
                </c:pt>
                <c:pt idx="11">
                  <c:v>13651.92</c:v>
                </c:pt>
                <c:pt idx="12">
                  <c:v>14789.58</c:v>
                </c:pt>
                <c:pt idx="13">
                  <c:v>15927.24</c:v>
                </c:pt>
                <c:pt idx="14">
                  <c:v>17064.900000000001</c:v>
                </c:pt>
                <c:pt idx="15">
                  <c:v>18202.560000000001</c:v>
                </c:pt>
                <c:pt idx="16">
                  <c:v>19340.22</c:v>
                </c:pt>
                <c:pt idx="17">
                  <c:v>20477.88</c:v>
                </c:pt>
                <c:pt idx="18">
                  <c:v>21615.54</c:v>
                </c:pt>
                <c:pt idx="19">
                  <c:v>22753.200000000001</c:v>
                </c:pt>
                <c:pt idx="20">
                  <c:v>23890.86</c:v>
                </c:pt>
                <c:pt idx="21">
                  <c:v>25028.52</c:v>
                </c:pt>
                <c:pt idx="22">
                  <c:v>26166.18</c:v>
                </c:pt>
                <c:pt idx="23">
                  <c:v>27303.84</c:v>
                </c:pt>
                <c:pt idx="24">
                  <c:v>28441.5</c:v>
                </c:pt>
                <c:pt idx="25">
                  <c:v>29579.16</c:v>
                </c:pt>
                <c:pt idx="26">
                  <c:v>30716.82</c:v>
                </c:pt>
                <c:pt idx="27">
                  <c:v>31854.48</c:v>
                </c:pt>
                <c:pt idx="28">
                  <c:v>32992.14</c:v>
                </c:pt>
                <c:pt idx="29">
                  <c:v>34129.800000000003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63-4404-AEAA-72013B11DCAB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(Percolation!$AX$17,Percolation!$AX$17)</c:f>
              <c:numCache>
                <c:formatCode>#,##0</c:formatCode>
                <c:ptCount val="2"/>
                <c:pt idx="0">
                  <c:v>107722.5</c:v>
                </c:pt>
                <c:pt idx="1">
                  <c:v>107722.5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63-4404-AEAA-72013B11DCAB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Transport'!$BN$17,'Mass Transport'!$BN$17)</c:f>
              <c:numCache>
                <c:formatCode>#,##0</c:formatCode>
                <c:ptCount val="2"/>
                <c:pt idx="0">
                  <c:v>119313.60000000002</c:v>
                </c:pt>
                <c:pt idx="1">
                  <c:v>119313.60000000002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63-4404-AEAA-72013B11D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Nitrate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017935258092751"/>
          <c:y val="0.67257917760279962"/>
          <c:w val="0.16593175853018372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Percolation!$BD$29:$BD$58</c:f>
              <c:numCache>
                <c:formatCode>#,##0</c:formatCode>
                <c:ptCount val="30"/>
                <c:pt idx="0">
                  <c:v>703.42681948006282</c:v>
                </c:pt>
                <c:pt idx="1">
                  <c:v>1406.8536389601256</c:v>
                </c:pt>
                <c:pt idx="2">
                  <c:v>1542.641354352927</c:v>
                </c:pt>
                <c:pt idx="3">
                  <c:v>1678.4290697457284</c:v>
                </c:pt>
                <c:pt idx="4">
                  <c:v>1814.2167851385298</c:v>
                </c:pt>
                <c:pt idx="5">
                  <c:v>1844.292590614906</c:v>
                </c:pt>
                <c:pt idx="6">
                  <c:v>1874.3683960912822</c:v>
                </c:pt>
                <c:pt idx="7">
                  <c:v>1904.4442015676584</c:v>
                </c:pt>
                <c:pt idx="8">
                  <c:v>1934.5200070440346</c:v>
                </c:pt>
                <c:pt idx="9">
                  <c:v>1964.5958125204108</c:v>
                </c:pt>
                <c:pt idx="10">
                  <c:v>1984.680753076093</c:v>
                </c:pt>
                <c:pt idx="11">
                  <c:v>2004.7656936317751</c:v>
                </c:pt>
                <c:pt idx="12">
                  <c:v>2024.8506341874572</c:v>
                </c:pt>
                <c:pt idx="13">
                  <c:v>2044.9355747431393</c:v>
                </c:pt>
                <c:pt idx="14">
                  <c:v>2065.0205152988215</c:v>
                </c:pt>
                <c:pt idx="15">
                  <c:v>2079.574233238211</c:v>
                </c:pt>
                <c:pt idx="16">
                  <c:v>2094.1279511776006</c:v>
                </c:pt>
                <c:pt idx="17">
                  <c:v>2108.6816691169902</c:v>
                </c:pt>
                <c:pt idx="18">
                  <c:v>2123.2353870563797</c:v>
                </c:pt>
                <c:pt idx="19">
                  <c:v>2137.7891049957693</c:v>
                </c:pt>
                <c:pt idx="20">
                  <c:v>2145.368741995479</c:v>
                </c:pt>
                <c:pt idx="21">
                  <c:v>2152.9483789951887</c:v>
                </c:pt>
                <c:pt idx="22">
                  <c:v>2160.5280159948984</c:v>
                </c:pt>
                <c:pt idx="23">
                  <c:v>2168.1076529946081</c:v>
                </c:pt>
                <c:pt idx="24">
                  <c:v>2175.6872899943178</c:v>
                </c:pt>
                <c:pt idx="25">
                  <c:v>2183.2669269940275</c:v>
                </c:pt>
                <c:pt idx="26">
                  <c:v>2190.8465639937372</c:v>
                </c:pt>
                <c:pt idx="27">
                  <c:v>2198.4262009934469</c:v>
                </c:pt>
                <c:pt idx="28">
                  <c:v>2206.0058379931565</c:v>
                </c:pt>
                <c:pt idx="29">
                  <c:v>2213.5854749928662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26-41C7-97D8-318802C093C3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Transport'!$BX$29:$BX$58</c:f>
              <c:numCache>
                <c:formatCode>#,##0.00</c:formatCode>
                <c:ptCount val="30"/>
                <c:pt idx="0">
                  <c:v>5.2592919730174374</c:v>
                </c:pt>
                <c:pt idx="1">
                  <c:v>10.518583946034875</c:v>
                </c:pt>
                <c:pt idx="2">
                  <c:v>15.777875919052313</c:v>
                </c:pt>
                <c:pt idx="3">
                  <c:v>21.03716789206975</c:v>
                </c:pt>
                <c:pt idx="4">
                  <c:v>26.296459865087186</c:v>
                </c:pt>
                <c:pt idx="5">
                  <c:v>31.555751838104623</c:v>
                </c:pt>
                <c:pt idx="6">
                  <c:v>36.815043811122059</c:v>
                </c:pt>
                <c:pt idx="7">
                  <c:v>42.0743357841395</c:v>
                </c:pt>
                <c:pt idx="8">
                  <c:v>47.33362775715694</c:v>
                </c:pt>
                <c:pt idx="9">
                  <c:v>52.59291973017438</c:v>
                </c:pt>
                <c:pt idx="10">
                  <c:v>57.85221170319182</c:v>
                </c:pt>
                <c:pt idx="11">
                  <c:v>63.11150367620926</c:v>
                </c:pt>
                <c:pt idx="12">
                  <c:v>68.370795649226693</c:v>
                </c:pt>
                <c:pt idx="13">
                  <c:v>73.630087622244133</c:v>
                </c:pt>
                <c:pt idx="14">
                  <c:v>78.889379595261573</c:v>
                </c:pt>
                <c:pt idx="15">
                  <c:v>84.148671568279013</c:v>
                </c:pt>
                <c:pt idx="16">
                  <c:v>89.407963541296454</c:v>
                </c:pt>
                <c:pt idx="17">
                  <c:v>94.667255514313894</c:v>
                </c:pt>
                <c:pt idx="18">
                  <c:v>99.926547487331334</c:v>
                </c:pt>
                <c:pt idx="19">
                  <c:v>105.18583946034877</c:v>
                </c:pt>
                <c:pt idx="20">
                  <c:v>110.44513143336621</c:v>
                </c:pt>
                <c:pt idx="21">
                  <c:v>115.70442340638365</c:v>
                </c:pt>
                <c:pt idx="22">
                  <c:v>120.96371537940109</c:v>
                </c:pt>
                <c:pt idx="23">
                  <c:v>126.22300735241853</c:v>
                </c:pt>
                <c:pt idx="24">
                  <c:v>131.48229932543597</c:v>
                </c:pt>
                <c:pt idx="25">
                  <c:v>136.74159129845341</c:v>
                </c:pt>
                <c:pt idx="26">
                  <c:v>142.00088327147085</c:v>
                </c:pt>
                <c:pt idx="27">
                  <c:v>147.26017524448829</c:v>
                </c:pt>
                <c:pt idx="28">
                  <c:v>152.51946721750573</c:v>
                </c:pt>
                <c:pt idx="29">
                  <c:v>157.77875919052317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26-41C7-97D8-318802C093C3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(Percolation!$BC$17,Percolation!$BC$17)</c:f>
              <c:numCache>
                <c:formatCode>#,##0</c:formatCode>
                <c:ptCount val="2"/>
                <c:pt idx="0">
                  <c:v>19596.75</c:v>
                </c:pt>
                <c:pt idx="1">
                  <c:v>19596.75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26-41C7-97D8-318802C093C3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Transport'!$BU$17,'Mass Transport'!$BU$17)</c:f>
              <c:numCache>
                <c:formatCode>#,##0</c:formatCode>
                <c:ptCount val="2"/>
                <c:pt idx="0">
                  <c:v>22838.760000000006</c:v>
                </c:pt>
                <c:pt idx="1">
                  <c:v>22838.760000000006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26-41C7-97D8-318802C09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Selenium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999867521641097"/>
          <c:y val="0.67257917760279962"/>
          <c:w val="0.16611252480635041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Percolation!$BI$29:$BI$58</c:f>
              <c:numCache>
                <c:formatCode>#,##0</c:formatCode>
                <c:ptCount val="30"/>
                <c:pt idx="0">
                  <c:v>4694988.0169822648</c:v>
                </c:pt>
                <c:pt idx="1">
                  <c:v>9389976.0339645296</c:v>
                </c:pt>
                <c:pt idx="2">
                  <c:v>10924406.090344165</c:v>
                </c:pt>
                <c:pt idx="3">
                  <c:v>12458836.146723799</c:v>
                </c:pt>
                <c:pt idx="4">
                  <c:v>13993266.203103434</c:v>
                </c:pt>
                <c:pt idx="5">
                  <c:v>14943205.553297682</c:v>
                </c:pt>
                <c:pt idx="6">
                  <c:v>15893144.903491929</c:v>
                </c:pt>
                <c:pt idx="7">
                  <c:v>16843084.253686178</c:v>
                </c:pt>
                <c:pt idx="8">
                  <c:v>17793023.603880428</c:v>
                </c:pt>
                <c:pt idx="9">
                  <c:v>18742962.954074677</c:v>
                </c:pt>
                <c:pt idx="10">
                  <c:v>19548982.00799004</c:v>
                </c:pt>
                <c:pt idx="11">
                  <c:v>20355001.061905403</c:v>
                </c:pt>
                <c:pt idx="12">
                  <c:v>21161020.115820765</c:v>
                </c:pt>
                <c:pt idx="13">
                  <c:v>21967039.169736128</c:v>
                </c:pt>
                <c:pt idx="14">
                  <c:v>22773058.223651491</c:v>
                </c:pt>
                <c:pt idx="15">
                  <c:v>23541251.327995308</c:v>
                </c:pt>
                <c:pt idx="16">
                  <c:v>24309444.432339124</c:v>
                </c:pt>
                <c:pt idx="17">
                  <c:v>25077637.536682941</c:v>
                </c:pt>
                <c:pt idx="18">
                  <c:v>25845830.641026758</c:v>
                </c:pt>
                <c:pt idx="19">
                  <c:v>26614023.745370574</c:v>
                </c:pt>
                <c:pt idx="20">
                  <c:v>27344196.962520398</c:v>
                </c:pt>
                <c:pt idx="21">
                  <c:v>28074370.179670226</c:v>
                </c:pt>
                <c:pt idx="22">
                  <c:v>28804543.396820053</c:v>
                </c:pt>
                <c:pt idx="23">
                  <c:v>29534716.613969881</c:v>
                </c:pt>
                <c:pt idx="24">
                  <c:v>30264889.831119709</c:v>
                </c:pt>
                <c:pt idx="25">
                  <c:v>30995063.048269536</c:v>
                </c:pt>
                <c:pt idx="26">
                  <c:v>31725236.265419364</c:v>
                </c:pt>
                <c:pt idx="27">
                  <c:v>32455409.482569192</c:v>
                </c:pt>
                <c:pt idx="28">
                  <c:v>33185582.699719019</c:v>
                </c:pt>
                <c:pt idx="29">
                  <c:v>33915755.916868843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EC-4D91-9E7A-F62DD7DA3A39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Transport'!$CE$29:$CE$58</c:f>
              <c:numCache>
                <c:formatCode>#,##0</c:formatCode>
                <c:ptCount val="30"/>
                <c:pt idx="0">
                  <c:v>55367.03867087017</c:v>
                </c:pt>
                <c:pt idx="1">
                  <c:v>110734.07734174034</c:v>
                </c:pt>
                <c:pt idx="2">
                  <c:v>166101.1160126105</c:v>
                </c:pt>
                <c:pt idx="3">
                  <c:v>221468.15468348068</c:v>
                </c:pt>
                <c:pt idx="4">
                  <c:v>276835.19335435086</c:v>
                </c:pt>
                <c:pt idx="5">
                  <c:v>332202.23202522105</c:v>
                </c:pt>
                <c:pt idx="6">
                  <c:v>387569.27069609123</c:v>
                </c:pt>
                <c:pt idx="7">
                  <c:v>442936.30936696142</c:v>
                </c:pt>
                <c:pt idx="8">
                  <c:v>498303.3480378316</c:v>
                </c:pt>
                <c:pt idx="9">
                  <c:v>553670.38670870173</c:v>
                </c:pt>
                <c:pt idx="10">
                  <c:v>609037.42537957185</c:v>
                </c:pt>
                <c:pt idx="11">
                  <c:v>664404.46405044198</c:v>
                </c:pt>
                <c:pt idx="12">
                  <c:v>719771.50272131211</c:v>
                </c:pt>
                <c:pt idx="13">
                  <c:v>775138.54139218223</c:v>
                </c:pt>
                <c:pt idx="14">
                  <c:v>830505.58006305236</c:v>
                </c:pt>
                <c:pt idx="15">
                  <c:v>885872.61873392249</c:v>
                </c:pt>
                <c:pt idx="16">
                  <c:v>941239.65740479261</c:v>
                </c:pt>
                <c:pt idx="17">
                  <c:v>996606.69607566274</c:v>
                </c:pt>
                <c:pt idx="18">
                  <c:v>1051973.734746533</c:v>
                </c:pt>
                <c:pt idx="19">
                  <c:v>1107340.7734174032</c:v>
                </c:pt>
                <c:pt idx="20">
                  <c:v>1162707.8120882735</c:v>
                </c:pt>
                <c:pt idx="21">
                  <c:v>1218074.8507591437</c:v>
                </c:pt>
                <c:pt idx="22">
                  <c:v>1273441.889430014</c:v>
                </c:pt>
                <c:pt idx="23">
                  <c:v>1328808.9281008842</c:v>
                </c:pt>
                <c:pt idx="24">
                  <c:v>1384175.9667717544</c:v>
                </c:pt>
                <c:pt idx="25">
                  <c:v>1439543.0054426247</c:v>
                </c:pt>
                <c:pt idx="26">
                  <c:v>1494910.0441134949</c:v>
                </c:pt>
                <c:pt idx="27">
                  <c:v>1550277.0827843652</c:v>
                </c:pt>
                <c:pt idx="28">
                  <c:v>1605644.1214552354</c:v>
                </c:pt>
                <c:pt idx="29">
                  <c:v>1661011.1601261056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EC-4D91-9E7A-F62DD7DA3A39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(Percolation!$BH$17,Percolation!$BH$17)</c:f>
              <c:numCache>
                <c:formatCode>#,##0</c:formatCode>
                <c:ptCount val="2"/>
                <c:pt idx="0">
                  <c:v>178020375</c:v>
                </c:pt>
                <c:pt idx="1">
                  <c:v>178020375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EC-4D91-9E7A-F62DD7DA3A39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Transport'!$CB$17,'Mass Transport'!$CB$17)</c:f>
              <c:numCache>
                <c:formatCode>#,##0</c:formatCode>
                <c:ptCount val="2"/>
                <c:pt idx="0">
                  <c:v>94929996.000000015</c:v>
                </c:pt>
                <c:pt idx="1">
                  <c:v>94929996.000000015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EC-4D91-9E7A-F62DD7DA3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Sulfate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573490813648283"/>
          <c:y val="0.67257917760279962"/>
          <c:w val="0.16037620297462815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Percolation!$BN$29:$BN$58</c:f>
              <c:numCache>
                <c:formatCode>#,##0</c:formatCode>
                <c:ptCount val="30"/>
                <c:pt idx="0">
                  <c:v>156.91899999999998</c:v>
                </c:pt>
                <c:pt idx="1">
                  <c:v>313.83799999999997</c:v>
                </c:pt>
                <c:pt idx="2">
                  <c:v>470.75699999999995</c:v>
                </c:pt>
                <c:pt idx="3">
                  <c:v>627.67599999999993</c:v>
                </c:pt>
                <c:pt idx="4">
                  <c:v>784.59500000000003</c:v>
                </c:pt>
                <c:pt idx="5">
                  <c:v>941.51400000000012</c:v>
                </c:pt>
                <c:pt idx="6">
                  <c:v>1098.4330000000002</c:v>
                </c:pt>
                <c:pt idx="7">
                  <c:v>1255.3520000000003</c:v>
                </c:pt>
                <c:pt idx="8">
                  <c:v>1412.2710000000004</c:v>
                </c:pt>
                <c:pt idx="9">
                  <c:v>1569.1900000000005</c:v>
                </c:pt>
                <c:pt idx="10">
                  <c:v>1726.1090000000006</c:v>
                </c:pt>
                <c:pt idx="11">
                  <c:v>1883.0280000000005</c:v>
                </c:pt>
                <c:pt idx="12">
                  <c:v>2039.9470000000003</c:v>
                </c:pt>
                <c:pt idx="13">
                  <c:v>2196.866</c:v>
                </c:pt>
                <c:pt idx="14">
                  <c:v>2353.7849999999999</c:v>
                </c:pt>
                <c:pt idx="15">
                  <c:v>2510.7039999999997</c:v>
                </c:pt>
                <c:pt idx="16">
                  <c:v>2667.6229999999996</c:v>
                </c:pt>
                <c:pt idx="17">
                  <c:v>2824.5419999999995</c:v>
                </c:pt>
                <c:pt idx="18">
                  <c:v>2981.4609999999993</c:v>
                </c:pt>
                <c:pt idx="19">
                  <c:v>3138.3799999999992</c:v>
                </c:pt>
                <c:pt idx="20">
                  <c:v>3295.2989999999991</c:v>
                </c:pt>
                <c:pt idx="21">
                  <c:v>3452.2179999999994</c:v>
                </c:pt>
                <c:pt idx="22">
                  <c:v>3609.1369999999997</c:v>
                </c:pt>
                <c:pt idx="23">
                  <c:v>3766.056</c:v>
                </c:pt>
                <c:pt idx="24">
                  <c:v>3922.9750000000004</c:v>
                </c:pt>
                <c:pt idx="25">
                  <c:v>4079.8940000000007</c:v>
                </c:pt>
                <c:pt idx="26">
                  <c:v>4236.813000000001</c:v>
                </c:pt>
                <c:pt idx="27">
                  <c:v>4393.7320000000009</c:v>
                </c:pt>
                <c:pt idx="28">
                  <c:v>4550.6510000000007</c:v>
                </c:pt>
                <c:pt idx="29">
                  <c:v>4707.5700000000006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F2-4F6A-ADF3-9FE11C7C8B23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Transport'!$CL$29:$CL$58</c:f>
              <c:numCache>
                <c:formatCode>#,##0.00</c:formatCode>
                <c:ptCount val="30"/>
                <c:pt idx="0">
                  <c:v>74.415572641698674</c:v>
                </c:pt>
                <c:pt idx="1">
                  <c:v>148.83114528339735</c:v>
                </c:pt>
                <c:pt idx="2">
                  <c:v>223.24671792509602</c:v>
                </c:pt>
                <c:pt idx="3">
                  <c:v>297.6622905667947</c:v>
                </c:pt>
                <c:pt idx="4">
                  <c:v>372.07786320849334</c:v>
                </c:pt>
                <c:pt idx="5">
                  <c:v>446.49343585019199</c:v>
                </c:pt>
                <c:pt idx="6">
                  <c:v>520.90900849189063</c:v>
                </c:pt>
                <c:pt idx="7">
                  <c:v>595.32458113358928</c:v>
                </c:pt>
                <c:pt idx="8">
                  <c:v>669.74015377528792</c:v>
                </c:pt>
                <c:pt idx="9">
                  <c:v>744.15572641698657</c:v>
                </c:pt>
                <c:pt idx="10">
                  <c:v>818.57129905868521</c:v>
                </c:pt>
                <c:pt idx="11">
                  <c:v>892.98687170038386</c:v>
                </c:pt>
                <c:pt idx="12">
                  <c:v>967.4024443420825</c:v>
                </c:pt>
                <c:pt idx="13">
                  <c:v>1041.8180169837813</c:v>
                </c:pt>
                <c:pt idx="14">
                  <c:v>1116.2335896254799</c:v>
                </c:pt>
                <c:pt idx="15">
                  <c:v>1190.6491622671786</c:v>
                </c:pt>
                <c:pt idx="16">
                  <c:v>1265.0647349088772</c:v>
                </c:pt>
                <c:pt idx="17">
                  <c:v>1339.4803075505758</c:v>
                </c:pt>
                <c:pt idx="18">
                  <c:v>1413.8958801922745</c:v>
                </c:pt>
                <c:pt idx="19">
                  <c:v>1488.3114528339731</c:v>
                </c:pt>
                <c:pt idx="20">
                  <c:v>1562.7270254756718</c:v>
                </c:pt>
                <c:pt idx="21">
                  <c:v>1637.1425981173704</c:v>
                </c:pt>
                <c:pt idx="22">
                  <c:v>1711.5581707590691</c:v>
                </c:pt>
                <c:pt idx="23">
                  <c:v>1785.9737434007677</c:v>
                </c:pt>
                <c:pt idx="24">
                  <c:v>1860.3893160424664</c:v>
                </c:pt>
                <c:pt idx="25">
                  <c:v>1934.804888684165</c:v>
                </c:pt>
                <c:pt idx="26">
                  <c:v>2009.2204613258637</c:v>
                </c:pt>
                <c:pt idx="27">
                  <c:v>2083.6360339675625</c:v>
                </c:pt>
                <c:pt idx="28">
                  <c:v>2158.0516066092614</c:v>
                </c:pt>
                <c:pt idx="29">
                  <c:v>2232.4671792509603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F2-4F6A-ADF3-9FE11C7C8B23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(Percolation!$BM$17,Percolation!$BM$17)</c:f>
              <c:numCache>
                <c:formatCode>#,##0</c:formatCode>
                <c:ptCount val="2"/>
                <c:pt idx="0">
                  <c:v>63600</c:v>
                </c:pt>
                <c:pt idx="1">
                  <c:v>63600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F2-4F6A-ADF3-9FE11C7C8B23}"/>
            </c:ext>
          </c:extLst>
        </c:ser>
        <c:ser>
          <c:idx val="3"/>
          <c:order val="3"/>
          <c:tx>
            <c:v>SS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Transport'!$CI$17,'Mass Transport'!$CI$17)</c:f>
              <c:numCache>
                <c:formatCode>#,##0</c:formatCode>
                <c:ptCount val="2"/>
                <c:pt idx="0">
                  <c:v>78132.600000000006</c:v>
                </c:pt>
                <c:pt idx="1">
                  <c:v>78132.600000000006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F2-4F6A-ADF3-9FE11C7C8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ax val="1000000"/>
          <c:min val="1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Thallium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295713035870506"/>
          <c:y val="0.67257917760279962"/>
          <c:w val="0.16315398075240592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Percolation!$BS$29:$BS$58</c:f>
              <c:numCache>
                <c:formatCode>#,##0</c:formatCode>
                <c:ptCount val="30"/>
                <c:pt idx="0">
                  <c:v>11324.45</c:v>
                </c:pt>
                <c:pt idx="1">
                  <c:v>22648.9</c:v>
                </c:pt>
                <c:pt idx="2">
                  <c:v>33973.35</c:v>
                </c:pt>
                <c:pt idx="3">
                  <c:v>45297.8</c:v>
                </c:pt>
                <c:pt idx="4">
                  <c:v>56622.250000000007</c:v>
                </c:pt>
                <c:pt idx="5">
                  <c:v>67946.700000000012</c:v>
                </c:pt>
                <c:pt idx="6">
                  <c:v>79271.150000000009</c:v>
                </c:pt>
                <c:pt idx="7">
                  <c:v>90595.6</c:v>
                </c:pt>
                <c:pt idx="8">
                  <c:v>101920.05</c:v>
                </c:pt>
                <c:pt idx="9">
                  <c:v>113244.5</c:v>
                </c:pt>
                <c:pt idx="10">
                  <c:v>124568.95</c:v>
                </c:pt>
                <c:pt idx="11">
                  <c:v>135893.4</c:v>
                </c:pt>
                <c:pt idx="12">
                  <c:v>147217.84999999998</c:v>
                </c:pt>
                <c:pt idx="13">
                  <c:v>158542.29999999996</c:v>
                </c:pt>
                <c:pt idx="14">
                  <c:v>169866.74999999994</c:v>
                </c:pt>
                <c:pt idx="15">
                  <c:v>181191.19999999992</c:v>
                </c:pt>
                <c:pt idx="16">
                  <c:v>192515.64999999991</c:v>
                </c:pt>
                <c:pt idx="17">
                  <c:v>203840.09999999989</c:v>
                </c:pt>
                <c:pt idx="18">
                  <c:v>215164.54999999987</c:v>
                </c:pt>
                <c:pt idx="19">
                  <c:v>226488.99999999985</c:v>
                </c:pt>
                <c:pt idx="20">
                  <c:v>237813.44999999984</c:v>
                </c:pt>
                <c:pt idx="21">
                  <c:v>249137.89999999985</c:v>
                </c:pt>
                <c:pt idx="22">
                  <c:v>260462.34999999986</c:v>
                </c:pt>
                <c:pt idx="23">
                  <c:v>271786.79999999987</c:v>
                </c:pt>
                <c:pt idx="24">
                  <c:v>283111.24999999988</c:v>
                </c:pt>
                <c:pt idx="25">
                  <c:v>294435.6999999999</c:v>
                </c:pt>
                <c:pt idx="26">
                  <c:v>305760.14999999991</c:v>
                </c:pt>
                <c:pt idx="27">
                  <c:v>317084.59999999992</c:v>
                </c:pt>
                <c:pt idx="28">
                  <c:v>328409.04999999993</c:v>
                </c:pt>
                <c:pt idx="29">
                  <c:v>339733.49999999994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92-4B5A-979C-29C1D5AD6B20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Transport'!$CS$29:$CS$58</c:f>
              <c:numCache>
                <c:formatCode>#,##0.00</c:formatCode>
                <c:ptCount val="30"/>
                <c:pt idx="0">
                  <c:v>8.245134193279636</c:v>
                </c:pt>
                <c:pt idx="1">
                  <c:v>16.490268386559272</c:v>
                </c:pt>
                <c:pt idx="2">
                  <c:v>24.735402579838908</c:v>
                </c:pt>
                <c:pt idx="3">
                  <c:v>32.980536773118544</c:v>
                </c:pt>
                <c:pt idx="4">
                  <c:v>41.225670966398184</c:v>
                </c:pt>
                <c:pt idx="5">
                  <c:v>49.470805159677823</c:v>
                </c:pt>
                <c:pt idx="6">
                  <c:v>57.715939352957463</c:v>
                </c:pt>
                <c:pt idx="7">
                  <c:v>65.961073546237103</c:v>
                </c:pt>
                <c:pt idx="8">
                  <c:v>74.206207739516742</c:v>
                </c:pt>
                <c:pt idx="9">
                  <c:v>82.451341932796382</c:v>
                </c:pt>
                <c:pt idx="10">
                  <c:v>90.696476126076021</c:v>
                </c:pt>
                <c:pt idx="11">
                  <c:v>98.941610319355661</c:v>
                </c:pt>
                <c:pt idx="12">
                  <c:v>107.1867445126353</c:v>
                </c:pt>
                <c:pt idx="13">
                  <c:v>115.43187870591494</c:v>
                </c:pt>
                <c:pt idx="14">
                  <c:v>123.67701289919458</c:v>
                </c:pt>
                <c:pt idx="15">
                  <c:v>131.92214709247421</c:v>
                </c:pt>
                <c:pt idx="16">
                  <c:v>140.16728128575383</c:v>
                </c:pt>
                <c:pt idx="17">
                  <c:v>148.41241547903346</c:v>
                </c:pt>
                <c:pt idx="18">
                  <c:v>156.65754967231308</c:v>
                </c:pt>
                <c:pt idx="19">
                  <c:v>164.90268386559271</c:v>
                </c:pt>
                <c:pt idx="20">
                  <c:v>173.14781805887233</c:v>
                </c:pt>
                <c:pt idx="21">
                  <c:v>181.39295225215196</c:v>
                </c:pt>
                <c:pt idx="22">
                  <c:v>189.63808644543158</c:v>
                </c:pt>
                <c:pt idx="23">
                  <c:v>197.88322063871121</c:v>
                </c:pt>
                <c:pt idx="24">
                  <c:v>206.12835483199083</c:v>
                </c:pt>
                <c:pt idx="25">
                  <c:v>214.37348902527046</c:v>
                </c:pt>
                <c:pt idx="26">
                  <c:v>222.61862321855008</c:v>
                </c:pt>
                <c:pt idx="27">
                  <c:v>230.86375741182971</c:v>
                </c:pt>
                <c:pt idx="28">
                  <c:v>239.10889160510933</c:v>
                </c:pt>
                <c:pt idx="29">
                  <c:v>247.35402579838896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92-4B5A-979C-29C1D5AD6B20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(Percolation!$BR$17,Percolation!$BR$17)</c:f>
              <c:numCache>
                <c:formatCode>#,##0</c:formatCode>
                <c:ptCount val="2"/>
                <c:pt idx="0">
                  <c:v>6681975</c:v>
                </c:pt>
                <c:pt idx="1">
                  <c:v>6681975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92-4B5A-979C-29C1D5AD6B20}"/>
            </c:ext>
          </c:extLst>
        </c:ser>
        <c:ser>
          <c:idx val="3"/>
          <c:order val="3"/>
          <c:tx>
            <c:v>S/S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Transport'!$CP$17,'Mass Transport'!$CP$17)</c:f>
              <c:numCache>
                <c:formatCode>#,##0</c:formatCode>
                <c:ptCount val="2"/>
                <c:pt idx="0">
                  <c:v>7234500.0000000009</c:v>
                </c:pt>
                <c:pt idx="1">
                  <c:v>7234500.0000000009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92-4B5A-979C-29C1D5AD6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ax val="100000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Zinc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1161147856517935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713060765778263"/>
          <c:y val="0.67257917760279962"/>
          <c:w val="0.16898059236497875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707414698162736"/>
          <c:y val="5.4583333333333331E-2"/>
          <c:w val="0.70531474190726162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Percolation!$Z$29:$Z$58</c:f>
              <c:numCache>
                <c:formatCode>#,##0</c:formatCode>
                <c:ptCount val="30"/>
                <c:pt idx="0">
                  <c:v>287375.83317869873</c:v>
                </c:pt>
                <c:pt idx="1">
                  <c:v>574751.66635739745</c:v>
                </c:pt>
                <c:pt idx="2">
                  <c:v>589039.93028883508</c:v>
                </c:pt>
                <c:pt idx="3">
                  <c:v>603328.19422027271</c:v>
                </c:pt>
                <c:pt idx="4">
                  <c:v>617616.45815171034</c:v>
                </c:pt>
                <c:pt idx="5">
                  <c:v>621820.71583421237</c:v>
                </c:pt>
                <c:pt idx="6">
                  <c:v>626024.97351671441</c:v>
                </c:pt>
                <c:pt idx="7">
                  <c:v>630229.23119921645</c:v>
                </c:pt>
                <c:pt idx="8">
                  <c:v>634433.48888171848</c:v>
                </c:pt>
                <c:pt idx="9">
                  <c:v>638637.74656422052</c:v>
                </c:pt>
                <c:pt idx="10">
                  <c:v>641094.16696302476</c:v>
                </c:pt>
                <c:pt idx="11">
                  <c:v>643550.58736182901</c:v>
                </c:pt>
                <c:pt idx="12">
                  <c:v>646007.00776063325</c:v>
                </c:pt>
                <c:pt idx="13">
                  <c:v>648463.42815943749</c:v>
                </c:pt>
                <c:pt idx="14">
                  <c:v>650919.84855824173</c:v>
                </c:pt>
                <c:pt idx="15">
                  <c:v>652730.37260943116</c:v>
                </c:pt>
                <c:pt idx="16">
                  <c:v>654540.89666062058</c:v>
                </c:pt>
                <c:pt idx="17">
                  <c:v>656351.42071181</c:v>
                </c:pt>
                <c:pt idx="18">
                  <c:v>658161.94476299942</c:v>
                </c:pt>
                <c:pt idx="19">
                  <c:v>659972.46881418885</c:v>
                </c:pt>
                <c:pt idx="20">
                  <c:v>661007.38484094909</c:v>
                </c:pt>
                <c:pt idx="21">
                  <c:v>662042.30086770933</c:v>
                </c:pt>
                <c:pt idx="22">
                  <c:v>663077.21689446957</c:v>
                </c:pt>
                <c:pt idx="23">
                  <c:v>664112.13292122982</c:v>
                </c:pt>
                <c:pt idx="24">
                  <c:v>665147.04894799006</c:v>
                </c:pt>
                <c:pt idx="25">
                  <c:v>666181.9649747503</c:v>
                </c:pt>
                <c:pt idx="26">
                  <c:v>667216.88100151054</c:v>
                </c:pt>
                <c:pt idx="27">
                  <c:v>668251.79702827078</c:v>
                </c:pt>
                <c:pt idx="28">
                  <c:v>669286.71305503102</c:v>
                </c:pt>
                <c:pt idx="29">
                  <c:v>670321.62908179127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28-4A63-9022-2817DA14F8C1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Transport'!$AH$29:$AH$58</c:f>
              <c:numCache>
                <c:formatCode>#,##0</c:formatCode>
                <c:ptCount val="30"/>
                <c:pt idx="0">
                  <c:v>15069.75</c:v>
                </c:pt>
                <c:pt idx="1">
                  <c:v>30139.5</c:v>
                </c:pt>
                <c:pt idx="2">
                  <c:v>45209.25</c:v>
                </c:pt>
                <c:pt idx="3">
                  <c:v>60279</c:v>
                </c:pt>
                <c:pt idx="4">
                  <c:v>75348.75</c:v>
                </c:pt>
                <c:pt idx="5">
                  <c:v>90418.5</c:v>
                </c:pt>
                <c:pt idx="6">
                  <c:v>105488.25</c:v>
                </c:pt>
                <c:pt idx="7">
                  <c:v>120558</c:v>
                </c:pt>
                <c:pt idx="8">
                  <c:v>135627.75</c:v>
                </c:pt>
                <c:pt idx="9">
                  <c:v>150697.5</c:v>
                </c:pt>
                <c:pt idx="10">
                  <c:v>165767.25</c:v>
                </c:pt>
                <c:pt idx="11">
                  <c:v>180837</c:v>
                </c:pt>
                <c:pt idx="12">
                  <c:v>195906.75</c:v>
                </c:pt>
                <c:pt idx="13">
                  <c:v>210976.5</c:v>
                </c:pt>
                <c:pt idx="14">
                  <c:v>226046.25</c:v>
                </c:pt>
                <c:pt idx="15">
                  <c:v>241116</c:v>
                </c:pt>
                <c:pt idx="16">
                  <c:v>256185.75</c:v>
                </c:pt>
                <c:pt idx="17">
                  <c:v>271255.5</c:v>
                </c:pt>
                <c:pt idx="18">
                  <c:v>286325.25</c:v>
                </c:pt>
                <c:pt idx="19">
                  <c:v>301395</c:v>
                </c:pt>
                <c:pt idx="20">
                  <c:v>316464.75</c:v>
                </c:pt>
                <c:pt idx="21">
                  <c:v>331534.5</c:v>
                </c:pt>
                <c:pt idx="22">
                  <c:v>346604.25</c:v>
                </c:pt>
                <c:pt idx="23">
                  <c:v>361674</c:v>
                </c:pt>
                <c:pt idx="24">
                  <c:v>376743.75</c:v>
                </c:pt>
                <c:pt idx="25">
                  <c:v>391813.5</c:v>
                </c:pt>
                <c:pt idx="26">
                  <c:v>406883.25</c:v>
                </c:pt>
                <c:pt idx="27">
                  <c:v>421953</c:v>
                </c:pt>
                <c:pt idx="28">
                  <c:v>437022.75</c:v>
                </c:pt>
                <c:pt idx="29">
                  <c:v>452092.5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28-4A63-9022-2817DA14F8C1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Percolation!$Z$78:$Z$107</c:f>
              <c:numCache>
                <c:formatCode>#,##0</c:formatCode>
                <c:ptCount val="30"/>
                <c:pt idx="0">
                  <c:v>43124.963323064745</c:v>
                </c:pt>
                <c:pt idx="1">
                  <c:v>86249.92664612949</c:v>
                </c:pt>
                <c:pt idx="2">
                  <c:v>129374.88996919424</c:v>
                </c:pt>
                <c:pt idx="3">
                  <c:v>172499.85329225898</c:v>
                </c:pt>
                <c:pt idx="4">
                  <c:v>215624.81661532371</c:v>
                </c:pt>
                <c:pt idx="5">
                  <c:v>258749.77993838847</c:v>
                </c:pt>
                <c:pt idx="6">
                  <c:v>301874.74326145323</c:v>
                </c:pt>
                <c:pt idx="7">
                  <c:v>344999.70658451796</c:v>
                </c:pt>
                <c:pt idx="8">
                  <c:v>388124.66990758269</c:v>
                </c:pt>
                <c:pt idx="9">
                  <c:v>431249.63323064742</c:v>
                </c:pt>
                <c:pt idx="10">
                  <c:v>474374.59655371215</c:v>
                </c:pt>
                <c:pt idx="11">
                  <c:v>517499.55987677688</c:v>
                </c:pt>
                <c:pt idx="12">
                  <c:v>560624.52319984161</c:v>
                </c:pt>
                <c:pt idx="13">
                  <c:v>562768.68699809094</c:v>
                </c:pt>
                <c:pt idx="14">
                  <c:v>564912.85079634027</c:v>
                </c:pt>
                <c:pt idx="15">
                  <c:v>567057.01459458959</c:v>
                </c:pt>
                <c:pt idx="16">
                  <c:v>569201.17839283892</c:v>
                </c:pt>
                <c:pt idx="17">
                  <c:v>571345.34219108825</c:v>
                </c:pt>
                <c:pt idx="18">
                  <c:v>573489.50598933757</c:v>
                </c:pt>
                <c:pt idx="19">
                  <c:v>575633.6697875869</c:v>
                </c:pt>
                <c:pt idx="20">
                  <c:v>577777.83358583623</c:v>
                </c:pt>
                <c:pt idx="21">
                  <c:v>579921.99738408555</c:v>
                </c:pt>
                <c:pt idx="22">
                  <c:v>582066.16118233488</c:v>
                </c:pt>
                <c:pt idx="23">
                  <c:v>584210.32498058421</c:v>
                </c:pt>
                <c:pt idx="24">
                  <c:v>586354.48877883353</c:v>
                </c:pt>
                <c:pt idx="25">
                  <c:v>588498.65257708286</c:v>
                </c:pt>
                <c:pt idx="26">
                  <c:v>590642.81637533219</c:v>
                </c:pt>
                <c:pt idx="27">
                  <c:v>592786.98017358151</c:v>
                </c:pt>
                <c:pt idx="28">
                  <c:v>594931.14397183084</c:v>
                </c:pt>
                <c:pt idx="29">
                  <c:v>597075.30777008017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28-4A63-9022-2817DA14F8C1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Transport'!$AH$83:$AH$112</c:f>
              <c:numCache>
                <c:formatCode>#,##0</c:formatCode>
                <c:ptCount val="30"/>
                <c:pt idx="0">
                  <c:v>2050.125</c:v>
                </c:pt>
                <c:pt idx="1">
                  <c:v>4100.25</c:v>
                </c:pt>
                <c:pt idx="2">
                  <c:v>6150.375</c:v>
                </c:pt>
                <c:pt idx="3">
                  <c:v>8200.5</c:v>
                </c:pt>
                <c:pt idx="4">
                  <c:v>10250.625</c:v>
                </c:pt>
                <c:pt idx="5">
                  <c:v>12300.75</c:v>
                </c:pt>
                <c:pt idx="6">
                  <c:v>14350.875</c:v>
                </c:pt>
                <c:pt idx="7">
                  <c:v>16401</c:v>
                </c:pt>
                <c:pt idx="8">
                  <c:v>18451.125</c:v>
                </c:pt>
                <c:pt idx="9">
                  <c:v>20501.25</c:v>
                </c:pt>
                <c:pt idx="10">
                  <c:v>22551.375</c:v>
                </c:pt>
                <c:pt idx="11">
                  <c:v>24601.5</c:v>
                </c:pt>
                <c:pt idx="12">
                  <c:v>26651.625</c:v>
                </c:pt>
                <c:pt idx="13">
                  <c:v>28701.75</c:v>
                </c:pt>
                <c:pt idx="14">
                  <c:v>30751.875</c:v>
                </c:pt>
                <c:pt idx="15">
                  <c:v>32802</c:v>
                </c:pt>
                <c:pt idx="16">
                  <c:v>34852.125</c:v>
                </c:pt>
                <c:pt idx="17">
                  <c:v>36902.25</c:v>
                </c:pt>
                <c:pt idx="18">
                  <c:v>38952.375</c:v>
                </c:pt>
                <c:pt idx="19">
                  <c:v>41002.5</c:v>
                </c:pt>
                <c:pt idx="20">
                  <c:v>43052.625</c:v>
                </c:pt>
                <c:pt idx="21">
                  <c:v>45102.75</c:v>
                </c:pt>
                <c:pt idx="22">
                  <c:v>47152.875</c:v>
                </c:pt>
                <c:pt idx="23">
                  <c:v>49203</c:v>
                </c:pt>
                <c:pt idx="24">
                  <c:v>51253.125</c:v>
                </c:pt>
                <c:pt idx="25">
                  <c:v>53303.25</c:v>
                </c:pt>
                <c:pt idx="26">
                  <c:v>55353.375</c:v>
                </c:pt>
                <c:pt idx="27">
                  <c:v>57403.5</c:v>
                </c:pt>
                <c:pt idx="28">
                  <c:v>59453.625</c:v>
                </c:pt>
                <c:pt idx="29">
                  <c:v>61503.75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28-4A63-9022-2817DA14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Chloride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6824146981615"/>
          <c:y val="0.59257917760279966"/>
          <c:w val="0.25261220472440943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Percolation!$AJ$29:$AJ$58</c:f>
              <c:numCache>
                <c:formatCode>#,##0</c:formatCode>
                <c:ptCount val="30"/>
                <c:pt idx="0">
                  <c:v>548.82999999999993</c:v>
                </c:pt>
                <c:pt idx="1">
                  <c:v>1097.6599999999999</c:v>
                </c:pt>
                <c:pt idx="2">
                  <c:v>1646.4899999999998</c:v>
                </c:pt>
                <c:pt idx="3">
                  <c:v>2195.3199999999997</c:v>
                </c:pt>
                <c:pt idx="4">
                  <c:v>2744.1499999999996</c:v>
                </c:pt>
                <c:pt idx="5">
                  <c:v>3292.9799999999996</c:v>
                </c:pt>
                <c:pt idx="6">
                  <c:v>3841.8099999999995</c:v>
                </c:pt>
                <c:pt idx="7">
                  <c:v>4390.6399999999994</c:v>
                </c:pt>
                <c:pt idx="8">
                  <c:v>4939.4699999999993</c:v>
                </c:pt>
                <c:pt idx="9">
                  <c:v>5488.2999999999993</c:v>
                </c:pt>
                <c:pt idx="10">
                  <c:v>6037.1299999999992</c:v>
                </c:pt>
                <c:pt idx="11">
                  <c:v>6585.9599999999991</c:v>
                </c:pt>
                <c:pt idx="12">
                  <c:v>7134.7899999999991</c:v>
                </c:pt>
                <c:pt idx="13">
                  <c:v>7683.619999999999</c:v>
                </c:pt>
                <c:pt idx="14">
                  <c:v>8232.4499999999989</c:v>
                </c:pt>
                <c:pt idx="15">
                  <c:v>8781.2799999999988</c:v>
                </c:pt>
                <c:pt idx="16">
                  <c:v>9330.1099999999988</c:v>
                </c:pt>
                <c:pt idx="17">
                  <c:v>9878.9399999999987</c:v>
                </c:pt>
                <c:pt idx="18">
                  <c:v>10427.769999999999</c:v>
                </c:pt>
                <c:pt idx="19">
                  <c:v>10976.599999999999</c:v>
                </c:pt>
                <c:pt idx="20">
                  <c:v>11525.429999999998</c:v>
                </c:pt>
                <c:pt idx="21">
                  <c:v>12074.259999999998</c:v>
                </c:pt>
                <c:pt idx="22">
                  <c:v>12623.089999999998</c:v>
                </c:pt>
                <c:pt idx="23">
                  <c:v>13171.919999999998</c:v>
                </c:pt>
                <c:pt idx="24">
                  <c:v>13720.749999999998</c:v>
                </c:pt>
                <c:pt idx="25">
                  <c:v>14269.579999999998</c:v>
                </c:pt>
                <c:pt idx="26">
                  <c:v>14818.409999999998</c:v>
                </c:pt>
                <c:pt idx="27">
                  <c:v>15367.239999999998</c:v>
                </c:pt>
                <c:pt idx="28">
                  <c:v>15916.069999999998</c:v>
                </c:pt>
                <c:pt idx="29">
                  <c:v>16464.899999999998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FB-4992-BD73-8171AB78386F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Transport'!$AV$29:$AV$58</c:f>
              <c:numCache>
                <c:formatCode>#,##0.00</c:formatCode>
                <c:ptCount val="30"/>
                <c:pt idx="0">
                  <c:v>28.106997809809432</c:v>
                </c:pt>
                <c:pt idx="1">
                  <c:v>56.213995619618863</c:v>
                </c:pt>
                <c:pt idx="2">
                  <c:v>84.320993429428299</c:v>
                </c:pt>
                <c:pt idx="3">
                  <c:v>112.42799123923773</c:v>
                </c:pt>
                <c:pt idx="4">
                  <c:v>140.53498904904717</c:v>
                </c:pt>
                <c:pt idx="5">
                  <c:v>168.6419868588566</c:v>
                </c:pt>
                <c:pt idx="6">
                  <c:v>196.74898466866603</c:v>
                </c:pt>
                <c:pt idx="7">
                  <c:v>224.85598247847545</c:v>
                </c:pt>
                <c:pt idx="8">
                  <c:v>252.96298028828488</c:v>
                </c:pt>
                <c:pt idx="9">
                  <c:v>281.06997809809434</c:v>
                </c:pt>
                <c:pt idx="10">
                  <c:v>309.1769759079038</c:v>
                </c:pt>
                <c:pt idx="11">
                  <c:v>337.28397371771325</c:v>
                </c:pt>
                <c:pt idx="12">
                  <c:v>365.39097152752271</c:v>
                </c:pt>
                <c:pt idx="13">
                  <c:v>393.49796933733217</c:v>
                </c:pt>
                <c:pt idx="14">
                  <c:v>421.60496714714162</c:v>
                </c:pt>
                <c:pt idx="15">
                  <c:v>449.71196495695108</c:v>
                </c:pt>
                <c:pt idx="16">
                  <c:v>477.81896276676054</c:v>
                </c:pt>
                <c:pt idx="17">
                  <c:v>505.92596057656999</c:v>
                </c:pt>
                <c:pt idx="18">
                  <c:v>534.03295838637939</c:v>
                </c:pt>
                <c:pt idx="19">
                  <c:v>562.13995619618879</c:v>
                </c:pt>
                <c:pt idx="20">
                  <c:v>590.24695400599819</c:v>
                </c:pt>
                <c:pt idx="21">
                  <c:v>618.35395181580759</c:v>
                </c:pt>
                <c:pt idx="22">
                  <c:v>646.46094962561699</c:v>
                </c:pt>
                <c:pt idx="23">
                  <c:v>674.56794743542639</c:v>
                </c:pt>
                <c:pt idx="24">
                  <c:v>702.67494524523579</c:v>
                </c:pt>
                <c:pt idx="25">
                  <c:v>730.78194305504519</c:v>
                </c:pt>
                <c:pt idx="26">
                  <c:v>758.88894086485459</c:v>
                </c:pt>
                <c:pt idx="27">
                  <c:v>786.99593867466399</c:v>
                </c:pt>
                <c:pt idx="28">
                  <c:v>815.10293648447339</c:v>
                </c:pt>
                <c:pt idx="29">
                  <c:v>843.20993429428279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FB-4992-BD73-8171AB78386F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Percolation!$AJ$78:$AJ$107</c:f>
              <c:numCache>
                <c:formatCode>#,##0</c:formatCode>
                <c:ptCount val="30"/>
                <c:pt idx="0">
                  <c:v>82.36</c:v>
                </c:pt>
                <c:pt idx="1">
                  <c:v>164.72</c:v>
                </c:pt>
                <c:pt idx="2">
                  <c:v>247.07999999999998</c:v>
                </c:pt>
                <c:pt idx="3">
                  <c:v>329.44</c:v>
                </c:pt>
                <c:pt idx="4">
                  <c:v>411.79999999999995</c:v>
                </c:pt>
                <c:pt idx="5">
                  <c:v>494.15999999999997</c:v>
                </c:pt>
                <c:pt idx="6">
                  <c:v>576.52</c:v>
                </c:pt>
                <c:pt idx="7">
                  <c:v>658.88</c:v>
                </c:pt>
                <c:pt idx="8">
                  <c:v>741.2399999999999</c:v>
                </c:pt>
                <c:pt idx="9">
                  <c:v>823.59999999999991</c:v>
                </c:pt>
                <c:pt idx="10">
                  <c:v>905.95999999999992</c:v>
                </c:pt>
                <c:pt idx="11">
                  <c:v>988.31999999999994</c:v>
                </c:pt>
                <c:pt idx="12">
                  <c:v>1070.6799999999998</c:v>
                </c:pt>
                <c:pt idx="13">
                  <c:v>1153.0399999999997</c:v>
                </c:pt>
                <c:pt idx="14">
                  <c:v>1235.3999999999996</c:v>
                </c:pt>
                <c:pt idx="15">
                  <c:v>1317.7599999999995</c:v>
                </c:pt>
                <c:pt idx="16">
                  <c:v>1400.1199999999994</c:v>
                </c:pt>
                <c:pt idx="17">
                  <c:v>1482.4799999999993</c:v>
                </c:pt>
                <c:pt idx="18">
                  <c:v>1564.8399999999992</c:v>
                </c:pt>
                <c:pt idx="19">
                  <c:v>1647.1999999999991</c:v>
                </c:pt>
                <c:pt idx="20">
                  <c:v>1729.559999999999</c:v>
                </c:pt>
                <c:pt idx="21">
                  <c:v>1811.9199999999989</c:v>
                </c:pt>
                <c:pt idx="22">
                  <c:v>1894.2799999999988</c:v>
                </c:pt>
                <c:pt idx="23">
                  <c:v>1976.6399999999987</c:v>
                </c:pt>
                <c:pt idx="24">
                  <c:v>2058.9999999999986</c:v>
                </c:pt>
                <c:pt idx="25">
                  <c:v>2141.3599999999983</c:v>
                </c:pt>
                <c:pt idx="26">
                  <c:v>2223.719999999998</c:v>
                </c:pt>
                <c:pt idx="27">
                  <c:v>2306.0799999999977</c:v>
                </c:pt>
                <c:pt idx="28">
                  <c:v>2388.4399999999973</c:v>
                </c:pt>
                <c:pt idx="29">
                  <c:v>2470.799999999997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FB-4992-BD73-8171AB78386F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Transport'!$AV$83:$AV$112</c:f>
              <c:numCache>
                <c:formatCode>#,##0.00</c:formatCode>
                <c:ptCount val="30"/>
                <c:pt idx="0">
                  <c:v>13.333559599795221</c:v>
                </c:pt>
                <c:pt idx="1">
                  <c:v>26.667119199590442</c:v>
                </c:pt>
                <c:pt idx="2">
                  <c:v>40.000678799385661</c:v>
                </c:pt>
                <c:pt idx="3">
                  <c:v>53.334238399180883</c:v>
                </c:pt>
                <c:pt idx="4">
                  <c:v>66.667797998976098</c:v>
                </c:pt>
                <c:pt idx="5">
                  <c:v>80.001357598771321</c:v>
                </c:pt>
                <c:pt idx="6">
                  <c:v>93.334917198566544</c:v>
                </c:pt>
                <c:pt idx="7">
                  <c:v>106.66847679836177</c:v>
                </c:pt>
                <c:pt idx="8">
                  <c:v>120.00203639815699</c:v>
                </c:pt>
                <c:pt idx="9">
                  <c:v>133.3355959979522</c:v>
                </c:pt>
                <c:pt idx="10">
                  <c:v>146.66915559774742</c:v>
                </c:pt>
                <c:pt idx="11">
                  <c:v>160.00271519754264</c:v>
                </c:pt>
                <c:pt idx="12">
                  <c:v>173.33627479733786</c:v>
                </c:pt>
                <c:pt idx="13">
                  <c:v>186.66983439713309</c:v>
                </c:pt>
                <c:pt idx="14">
                  <c:v>200.00339399692831</c:v>
                </c:pt>
                <c:pt idx="15">
                  <c:v>213.33695359672353</c:v>
                </c:pt>
                <c:pt idx="16">
                  <c:v>226.67051319651875</c:v>
                </c:pt>
                <c:pt idx="17">
                  <c:v>240.00407279631398</c:v>
                </c:pt>
                <c:pt idx="18">
                  <c:v>253.3376323961092</c:v>
                </c:pt>
                <c:pt idx="19">
                  <c:v>266.67119199590439</c:v>
                </c:pt>
                <c:pt idx="20">
                  <c:v>280.00475159569959</c:v>
                </c:pt>
                <c:pt idx="21">
                  <c:v>293.33831119549478</c:v>
                </c:pt>
                <c:pt idx="22">
                  <c:v>306.67187079528998</c:v>
                </c:pt>
                <c:pt idx="23">
                  <c:v>320.00543039508517</c:v>
                </c:pt>
                <c:pt idx="24">
                  <c:v>333.33898999488036</c:v>
                </c:pt>
                <c:pt idx="25">
                  <c:v>346.67254959467556</c:v>
                </c:pt>
                <c:pt idx="26">
                  <c:v>360.00610919447075</c:v>
                </c:pt>
                <c:pt idx="27">
                  <c:v>373.33966879426595</c:v>
                </c:pt>
                <c:pt idx="28">
                  <c:v>386.67322839406114</c:v>
                </c:pt>
                <c:pt idx="29">
                  <c:v>400.00678799385634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FB-4992-BD73-8171AB78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Copper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295713035870519"/>
          <c:y val="0.57924584426946635"/>
          <c:w val="0.26094553805774279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Percolation!$AO$29:$AO$58</c:f>
              <c:numCache>
                <c:formatCode>#,##0</c:formatCode>
                <c:ptCount val="30"/>
                <c:pt idx="0">
                  <c:v>1001.035</c:v>
                </c:pt>
                <c:pt idx="1">
                  <c:v>2002.07</c:v>
                </c:pt>
                <c:pt idx="2">
                  <c:v>3003.1049999999996</c:v>
                </c:pt>
                <c:pt idx="3">
                  <c:v>4004.14</c:v>
                </c:pt>
                <c:pt idx="4">
                  <c:v>5005.1750000000002</c:v>
                </c:pt>
                <c:pt idx="5">
                  <c:v>6006.21</c:v>
                </c:pt>
                <c:pt idx="6">
                  <c:v>7007.2449999999999</c:v>
                </c:pt>
                <c:pt idx="7">
                  <c:v>8008.28</c:v>
                </c:pt>
                <c:pt idx="8">
                  <c:v>9009.3150000000005</c:v>
                </c:pt>
                <c:pt idx="9">
                  <c:v>10010.35</c:v>
                </c:pt>
                <c:pt idx="10">
                  <c:v>11011.385</c:v>
                </c:pt>
                <c:pt idx="11">
                  <c:v>12012.419999999998</c:v>
                </c:pt>
                <c:pt idx="12">
                  <c:v>13013.454999999998</c:v>
                </c:pt>
                <c:pt idx="13">
                  <c:v>14014.489999999998</c:v>
                </c:pt>
                <c:pt idx="14">
                  <c:v>15015.524999999998</c:v>
                </c:pt>
                <c:pt idx="15">
                  <c:v>16016.559999999998</c:v>
                </c:pt>
                <c:pt idx="16">
                  <c:v>17017.594999999998</c:v>
                </c:pt>
                <c:pt idx="17">
                  <c:v>18018.629999999997</c:v>
                </c:pt>
                <c:pt idx="18">
                  <c:v>19019.664999999997</c:v>
                </c:pt>
                <c:pt idx="19">
                  <c:v>20020.699999999997</c:v>
                </c:pt>
                <c:pt idx="20">
                  <c:v>21021.734999999997</c:v>
                </c:pt>
                <c:pt idx="21">
                  <c:v>22022.769999999997</c:v>
                </c:pt>
                <c:pt idx="22">
                  <c:v>23023.804999999997</c:v>
                </c:pt>
                <c:pt idx="23">
                  <c:v>24024.839999999997</c:v>
                </c:pt>
                <c:pt idx="24">
                  <c:v>25025.874999999996</c:v>
                </c:pt>
                <c:pt idx="25">
                  <c:v>26026.909999999996</c:v>
                </c:pt>
                <c:pt idx="26">
                  <c:v>27027.944999999996</c:v>
                </c:pt>
                <c:pt idx="27">
                  <c:v>28028.979999999996</c:v>
                </c:pt>
                <c:pt idx="28">
                  <c:v>29030.014999999996</c:v>
                </c:pt>
                <c:pt idx="29">
                  <c:v>30031.049999999996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20-4C49-B948-73B3D7CAE4DF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Transport'!$BC$29:$BC$58</c:f>
              <c:numCache>
                <c:formatCode>#,##0.00</c:formatCode>
                <c:ptCount val="30"/>
                <c:pt idx="0">
                  <c:v>7.6759839925620774</c:v>
                </c:pt>
                <c:pt idx="1">
                  <c:v>15.351967985124155</c:v>
                </c:pt>
                <c:pt idx="2">
                  <c:v>23.027951977686232</c:v>
                </c:pt>
                <c:pt idx="3">
                  <c:v>30.70393597024831</c:v>
                </c:pt>
                <c:pt idx="4">
                  <c:v>38.379919962810391</c:v>
                </c:pt>
                <c:pt idx="5">
                  <c:v>46.055903955372472</c:v>
                </c:pt>
                <c:pt idx="6">
                  <c:v>53.731887947934553</c:v>
                </c:pt>
                <c:pt idx="7">
                  <c:v>61.407871940496634</c:v>
                </c:pt>
                <c:pt idx="8">
                  <c:v>69.083855933058715</c:v>
                </c:pt>
                <c:pt idx="9">
                  <c:v>76.759839925620795</c:v>
                </c:pt>
                <c:pt idx="10">
                  <c:v>84.435823918182876</c:v>
                </c:pt>
                <c:pt idx="11">
                  <c:v>92.111807910744957</c:v>
                </c:pt>
                <c:pt idx="12">
                  <c:v>99.787791903307038</c:v>
                </c:pt>
                <c:pt idx="13">
                  <c:v>107.46377589586912</c:v>
                </c:pt>
                <c:pt idx="14">
                  <c:v>115.1397598884312</c:v>
                </c:pt>
                <c:pt idx="15">
                  <c:v>122.81574388099328</c:v>
                </c:pt>
                <c:pt idx="16">
                  <c:v>130.49172787355536</c:v>
                </c:pt>
                <c:pt idx="17">
                  <c:v>138.16771186611743</c:v>
                </c:pt>
                <c:pt idx="18">
                  <c:v>145.8436958586795</c:v>
                </c:pt>
                <c:pt idx="19">
                  <c:v>153.51967985124156</c:v>
                </c:pt>
                <c:pt idx="20">
                  <c:v>161.19566384380363</c:v>
                </c:pt>
                <c:pt idx="21">
                  <c:v>168.8716478363657</c:v>
                </c:pt>
                <c:pt idx="22">
                  <c:v>176.54763182892776</c:v>
                </c:pt>
                <c:pt idx="23">
                  <c:v>184.22361582148983</c:v>
                </c:pt>
                <c:pt idx="24">
                  <c:v>191.8995998140519</c:v>
                </c:pt>
                <c:pt idx="25">
                  <c:v>199.57558380661396</c:v>
                </c:pt>
                <c:pt idx="26">
                  <c:v>207.25156779917603</c:v>
                </c:pt>
                <c:pt idx="27">
                  <c:v>214.9275517917381</c:v>
                </c:pt>
                <c:pt idx="28">
                  <c:v>222.60353578430016</c:v>
                </c:pt>
                <c:pt idx="29">
                  <c:v>230.27951977686223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20-4C49-B948-73B3D7CAE4DF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Percolation!$AO$78:$AO$107</c:f>
              <c:numCache>
                <c:formatCode>#,##0</c:formatCode>
                <c:ptCount val="30"/>
                <c:pt idx="0">
                  <c:v>150.22</c:v>
                </c:pt>
                <c:pt idx="1">
                  <c:v>300.44</c:v>
                </c:pt>
                <c:pt idx="2">
                  <c:v>450.65999999999997</c:v>
                </c:pt>
                <c:pt idx="3">
                  <c:v>600.88</c:v>
                </c:pt>
                <c:pt idx="4">
                  <c:v>751.09999999999991</c:v>
                </c:pt>
                <c:pt idx="5">
                  <c:v>901.31999999999994</c:v>
                </c:pt>
                <c:pt idx="6">
                  <c:v>1051.54</c:v>
                </c:pt>
                <c:pt idx="7">
                  <c:v>1201.76</c:v>
                </c:pt>
                <c:pt idx="8">
                  <c:v>1351.9799999999998</c:v>
                </c:pt>
                <c:pt idx="9">
                  <c:v>1502.1999999999998</c:v>
                </c:pt>
                <c:pt idx="10">
                  <c:v>1652.4199999999998</c:v>
                </c:pt>
                <c:pt idx="11">
                  <c:v>1802.6399999999999</c:v>
                </c:pt>
                <c:pt idx="12">
                  <c:v>1952.86</c:v>
                </c:pt>
                <c:pt idx="13">
                  <c:v>2103.08</c:v>
                </c:pt>
                <c:pt idx="14">
                  <c:v>2253.2999999999997</c:v>
                </c:pt>
                <c:pt idx="15">
                  <c:v>2403.5199999999995</c:v>
                </c:pt>
                <c:pt idx="16">
                  <c:v>2553.7399999999993</c:v>
                </c:pt>
                <c:pt idx="17">
                  <c:v>2703.9599999999991</c:v>
                </c:pt>
                <c:pt idx="18">
                  <c:v>2854.1799999999989</c:v>
                </c:pt>
                <c:pt idx="19">
                  <c:v>3004.3999999999987</c:v>
                </c:pt>
                <c:pt idx="20">
                  <c:v>3154.6199999999985</c:v>
                </c:pt>
                <c:pt idx="21">
                  <c:v>3304.8399999999983</c:v>
                </c:pt>
                <c:pt idx="22">
                  <c:v>3455.0599999999981</c:v>
                </c:pt>
                <c:pt idx="23">
                  <c:v>3605.2799999999979</c:v>
                </c:pt>
                <c:pt idx="24">
                  <c:v>3755.4999999999977</c:v>
                </c:pt>
                <c:pt idx="25">
                  <c:v>3905.7199999999975</c:v>
                </c:pt>
                <c:pt idx="26">
                  <c:v>4055.9399999999973</c:v>
                </c:pt>
                <c:pt idx="27">
                  <c:v>4206.1599999999971</c:v>
                </c:pt>
                <c:pt idx="28">
                  <c:v>4356.3799999999965</c:v>
                </c:pt>
                <c:pt idx="29">
                  <c:v>4506.5999999999958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20-4C49-B948-73B3D7CAE4DF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Transport'!$BC$83:$BC$112</c:f>
              <c:numCache>
                <c:formatCode>#,##0.00</c:formatCode>
                <c:ptCount val="30"/>
                <c:pt idx="0">
                  <c:v>3.6364203496228691</c:v>
                </c:pt>
                <c:pt idx="1">
                  <c:v>7.2728406992457382</c:v>
                </c:pt>
                <c:pt idx="2">
                  <c:v>10.909261048868608</c:v>
                </c:pt>
                <c:pt idx="3">
                  <c:v>14.545681398491476</c:v>
                </c:pt>
                <c:pt idx="4">
                  <c:v>18.182101748114345</c:v>
                </c:pt>
                <c:pt idx="5">
                  <c:v>21.818522097737215</c:v>
                </c:pt>
                <c:pt idx="6">
                  <c:v>25.454942447360086</c:v>
                </c:pt>
                <c:pt idx="7">
                  <c:v>29.091362796982956</c:v>
                </c:pt>
                <c:pt idx="8">
                  <c:v>32.727783146605823</c:v>
                </c:pt>
                <c:pt idx="9">
                  <c:v>36.36420349622869</c:v>
                </c:pt>
                <c:pt idx="10">
                  <c:v>40.000623845851557</c:v>
                </c:pt>
                <c:pt idx="11">
                  <c:v>43.637044195474424</c:v>
                </c:pt>
                <c:pt idx="12">
                  <c:v>47.273464545097291</c:v>
                </c:pt>
                <c:pt idx="13">
                  <c:v>50.909884894720157</c:v>
                </c:pt>
                <c:pt idx="14">
                  <c:v>54.546305244343024</c:v>
                </c:pt>
                <c:pt idx="15">
                  <c:v>58.182725593965891</c:v>
                </c:pt>
                <c:pt idx="16">
                  <c:v>61.819145943588758</c:v>
                </c:pt>
                <c:pt idx="17">
                  <c:v>65.455566293211632</c:v>
                </c:pt>
                <c:pt idx="18">
                  <c:v>69.091986642834499</c:v>
                </c:pt>
                <c:pt idx="19">
                  <c:v>72.728406992457366</c:v>
                </c:pt>
                <c:pt idx="20">
                  <c:v>76.364827342080233</c:v>
                </c:pt>
                <c:pt idx="21">
                  <c:v>80.001247691703099</c:v>
                </c:pt>
                <c:pt idx="22">
                  <c:v>83.637668041325966</c:v>
                </c:pt>
                <c:pt idx="23">
                  <c:v>87.274088390948833</c:v>
                </c:pt>
                <c:pt idx="24">
                  <c:v>90.9105087405717</c:v>
                </c:pt>
                <c:pt idx="25">
                  <c:v>94.546929090194567</c:v>
                </c:pt>
                <c:pt idx="26">
                  <c:v>98.183349439817434</c:v>
                </c:pt>
                <c:pt idx="27">
                  <c:v>101.8197697894403</c:v>
                </c:pt>
                <c:pt idx="28">
                  <c:v>105.45619013906317</c:v>
                </c:pt>
                <c:pt idx="29">
                  <c:v>109.09261048868603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20-4C49-B948-73B3D7CAE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Fluoride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851268591426073"/>
          <c:y val="0.58369028871391071"/>
          <c:w val="0.25816776027996496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Percolation!$AT$29:$AT$58</c:f>
              <c:numCache>
                <c:formatCode>#,##0</c:formatCode>
                <c:ptCount val="30"/>
                <c:pt idx="0">
                  <c:v>490.85500000000002</c:v>
                </c:pt>
                <c:pt idx="1">
                  <c:v>981.71</c:v>
                </c:pt>
                <c:pt idx="2">
                  <c:v>1472.5649999999998</c:v>
                </c:pt>
                <c:pt idx="3">
                  <c:v>1963.42</c:v>
                </c:pt>
                <c:pt idx="4">
                  <c:v>2454.2750000000001</c:v>
                </c:pt>
                <c:pt idx="5">
                  <c:v>2945.13</c:v>
                </c:pt>
                <c:pt idx="6">
                  <c:v>3435.9850000000001</c:v>
                </c:pt>
                <c:pt idx="7">
                  <c:v>3926.84</c:v>
                </c:pt>
                <c:pt idx="8">
                  <c:v>4417.6950000000006</c:v>
                </c:pt>
                <c:pt idx="9">
                  <c:v>4908.5500000000011</c:v>
                </c:pt>
                <c:pt idx="10">
                  <c:v>5399.4050000000016</c:v>
                </c:pt>
                <c:pt idx="11">
                  <c:v>5890.2600000000011</c:v>
                </c:pt>
                <c:pt idx="12">
                  <c:v>6381.1150000000007</c:v>
                </c:pt>
                <c:pt idx="13">
                  <c:v>6871.97</c:v>
                </c:pt>
                <c:pt idx="14">
                  <c:v>7362.8249999999998</c:v>
                </c:pt>
                <c:pt idx="15">
                  <c:v>7853.6799999999994</c:v>
                </c:pt>
                <c:pt idx="16">
                  <c:v>8344.5349999999999</c:v>
                </c:pt>
                <c:pt idx="17">
                  <c:v>8835.39</c:v>
                </c:pt>
                <c:pt idx="18">
                  <c:v>9326.244999999999</c:v>
                </c:pt>
                <c:pt idx="19">
                  <c:v>9817.0999999999985</c:v>
                </c:pt>
                <c:pt idx="20">
                  <c:v>10307.954999999998</c:v>
                </c:pt>
                <c:pt idx="21">
                  <c:v>10798.81</c:v>
                </c:pt>
                <c:pt idx="22">
                  <c:v>11289.665000000001</c:v>
                </c:pt>
                <c:pt idx="23">
                  <c:v>11780.520000000002</c:v>
                </c:pt>
                <c:pt idx="24">
                  <c:v>12271.375000000004</c:v>
                </c:pt>
                <c:pt idx="25">
                  <c:v>12762.230000000005</c:v>
                </c:pt>
                <c:pt idx="26">
                  <c:v>13253.085000000006</c:v>
                </c:pt>
                <c:pt idx="27">
                  <c:v>13743.940000000008</c:v>
                </c:pt>
                <c:pt idx="28">
                  <c:v>14234.795000000009</c:v>
                </c:pt>
                <c:pt idx="29">
                  <c:v>14725.650000000011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95-4E8C-8E65-EE9FDDCA928B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Transport'!$BJ$29:$BJ$58</c:f>
              <c:numCache>
                <c:formatCode>#,##0</c:formatCode>
                <c:ptCount val="30"/>
                <c:pt idx="0">
                  <c:v>89.914882637443</c:v>
                </c:pt>
                <c:pt idx="1">
                  <c:v>179.829765274886</c:v>
                </c:pt>
                <c:pt idx="2">
                  <c:v>269.74464791232901</c:v>
                </c:pt>
                <c:pt idx="3">
                  <c:v>359.659530549772</c:v>
                </c:pt>
                <c:pt idx="4">
                  <c:v>449.57441318721499</c:v>
                </c:pt>
                <c:pt idx="5">
                  <c:v>539.48929582465803</c:v>
                </c:pt>
                <c:pt idx="6">
                  <c:v>629.40417846210107</c:v>
                </c:pt>
                <c:pt idx="7">
                  <c:v>719.31906109954411</c:v>
                </c:pt>
                <c:pt idx="8">
                  <c:v>809.23394373698716</c:v>
                </c:pt>
                <c:pt idx="9">
                  <c:v>899.1488263744302</c:v>
                </c:pt>
                <c:pt idx="10">
                  <c:v>989.06370901187324</c:v>
                </c:pt>
                <c:pt idx="11">
                  <c:v>1078.9785916493163</c:v>
                </c:pt>
                <c:pt idx="12">
                  <c:v>1168.8934742867593</c:v>
                </c:pt>
                <c:pt idx="13">
                  <c:v>1258.8083569242024</c:v>
                </c:pt>
                <c:pt idx="14">
                  <c:v>1348.7232395616454</c:v>
                </c:pt>
                <c:pt idx="15">
                  <c:v>1438.6381221990885</c:v>
                </c:pt>
                <c:pt idx="16">
                  <c:v>1528.5530048365315</c:v>
                </c:pt>
                <c:pt idx="17">
                  <c:v>1618.4678874739745</c:v>
                </c:pt>
                <c:pt idx="18">
                  <c:v>1708.3827701114176</c:v>
                </c:pt>
                <c:pt idx="19">
                  <c:v>1798.2976527488606</c:v>
                </c:pt>
                <c:pt idx="20">
                  <c:v>1888.2125353863037</c:v>
                </c:pt>
                <c:pt idx="21">
                  <c:v>1978.1274180237467</c:v>
                </c:pt>
                <c:pt idx="22">
                  <c:v>2068.0423006611895</c:v>
                </c:pt>
                <c:pt idx="23">
                  <c:v>2157.9571832986326</c:v>
                </c:pt>
                <c:pt idx="24">
                  <c:v>2247.8720659360756</c:v>
                </c:pt>
                <c:pt idx="25">
                  <c:v>2337.7869485735187</c:v>
                </c:pt>
                <c:pt idx="26">
                  <c:v>2427.7018312109617</c:v>
                </c:pt>
                <c:pt idx="27">
                  <c:v>2517.6167138484047</c:v>
                </c:pt>
                <c:pt idx="28">
                  <c:v>2607.5315964858478</c:v>
                </c:pt>
                <c:pt idx="29">
                  <c:v>2697.4464791232908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95-4E8C-8E65-EE9FDDCA928B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Percolation!$AT$78:$AT$107</c:f>
              <c:numCache>
                <c:formatCode>#,##0</c:formatCode>
                <c:ptCount val="30"/>
                <c:pt idx="0">
                  <c:v>73.66</c:v>
                </c:pt>
                <c:pt idx="1">
                  <c:v>147.32</c:v>
                </c:pt>
                <c:pt idx="2">
                  <c:v>220.98</c:v>
                </c:pt>
                <c:pt idx="3">
                  <c:v>294.64</c:v>
                </c:pt>
                <c:pt idx="4">
                  <c:v>368.29999999999995</c:v>
                </c:pt>
                <c:pt idx="5">
                  <c:v>441.96</c:v>
                </c:pt>
                <c:pt idx="6">
                  <c:v>515.62</c:v>
                </c:pt>
                <c:pt idx="7">
                  <c:v>589.28</c:v>
                </c:pt>
                <c:pt idx="8">
                  <c:v>662.93999999999994</c:v>
                </c:pt>
                <c:pt idx="9">
                  <c:v>736.59999999999991</c:v>
                </c:pt>
                <c:pt idx="10">
                  <c:v>810.26</c:v>
                </c:pt>
                <c:pt idx="11">
                  <c:v>883.92000000000007</c:v>
                </c:pt>
                <c:pt idx="12">
                  <c:v>957.58000000000015</c:v>
                </c:pt>
                <c:pt idx="13">
                  <c:v>1031.2400000000002</c:v>
                </c:pt>
                <c:pt idx="14">
                  <c:v>1104.9000000000003</c:v>
                </c:pt>
                <c:pt idx="15">
                  <c:v>1178.5600000000004</c:v>
                </c:pt>
                <c:pt idx="16">
                  <c:v>1252.2200000000005</c:v>
                </c:pt>
                <c:pt idx="17">
                  <c:v>1325.8800000000003</c:v>
                </c:pt>
                <c:pt idx="18">
                  <c:v>1399.5400000000002</c:v>
                </c:pt>
                <c:pt idx="19">
                  <c:v>1473.2</c:v>
                </c:pt>
                <c:pt idx="20">
                  <c:v>1546.86</c:v>
                </c:pt>
                <c:pt idx="21">
                  <c:v>1620.5199999999998</c:v>
                </c:pt>
                <c:pt idx="22">
                  <c:v>1694.1799999999996</c:v>
                </c:pt>
                <c:pt idx="23">
                  <c:v>1767.8399999999995</c:v>
                </c:pt>
                <c:pt idx="24">
                  <c:v>1841.4999999999993</c:v>
                </c:pt>
                <c:pt idx="25">
                  <c:v>1915.1599999999992</c:v>
                </c:pt>
                <c:pt idx="26">
                  <c:v>1988.819999999999</c:v>
                </c:pt>
                <c:pt idx="27">
                  <c:v>2062.4799999999991</c:v>
                </c:pt>
                <c:pt idx="28">
                  <c:v>2136.139999999999</c:v>
                </c:pt>
                <c:pt idx="29">
                  <c:v>2209.7999999999988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95-4E8C-8E65-EE9FDDCA928B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Transport'!$BJ$83:$BJ$112</c:f>
              <c:numCache>
                <c:formatCode>#,##0</c:formatCode>
                <c:ptCount val="30"/>
                <c:pt idx="0">
                  <c:v>43.082753682053429</c:v>
                </c:pt>
                <c:pt idx="1">
                  <c:v>86.165507364106858</c:v>
                </c:pt>
                <c:pt idx="2">
                  <c:v>129.24826104616028</c:v>
                </c:pt>
                <c:pt idx="3">
                  <c:v>172.33101472821372</c:v>
                </c:pt>
                <c:pt idx="4">
                  <c:v>215.41376841026715</c:v>
                </c:pt>
                <c:pt idx="5">
                  <c:v>258.49652209232056</c:v>
                </c:pt>
                <c:pt idx="6">
                  <c:v>301.57927577437397</c:v>
                </c:pt>
                <c:pt idx="7">
                  <c:v>344.66202945642738</c:v>
                </c:pt>
                <c:pt idx="8">
                  <c:v>387.74478313848078</c:v>
                </c:pt>
                <c:pt idx="9">
                  <c:v>430.82753682053419</c:v>
                </c:pt>
                <c:pt idx="10">
                  <c:v>473.9102905025876</c:v>
                </c:pt>
                <c:pt idx="11">
                  <c:v>516.99304418464101</c:v>
                </c:pt>
                <c:pt idx="12">
                  <c:v>560.07579786669442</c:v>
                </c:pt>
                <c:pt idx="13">
                  <c:v>603.15855154874782</c:v>
                </c:pt>
                <c:pt idx="14">
                  <c:v>646.24130523080123</c:v>
                </c:pt>
                <c:pt idx="15">
                  <c:v>689.32405891285464</c:v>
                </c:pt>
                <c:pt idx="16">
                  <c:v>732.40681259490805</c:v>
                </c:pt>
                <c:pt idx="17">
                  <c:v>775.48956627696145</c:v>
                </c:pt>
                <c:pt idx="18">
                  <c:v>818.57231995901486</c:v>
                </c:pt>
                <c:pt idx="19">
                  <c:v>861.65507364106827</c:v>
                </c:pt>
                <c:pt idx="20">
                  <c:v>904.73782732312168</c:v>
                </c:pt>
                <c:pt idx="21">
                  <c:v>947.82058100517509</c:v>
                </c:pt>
                <c:pt idx="22">
                  <c:v>990.90333468722849</c:v>
                </c:pt>
                <c:pt idx="23">
                  <c:v>1033.986088369282</c:v>
                </c:pt>
                <c:pt idx="24">
                  <c:v>1077.0688420513354</c:v>
                </c:pt>
                <c:pt idx="25">
                  <c:v>1120.1515957333888</c:v>
                </c:pt>
                <c:pt idx="26">
                  <c:v>1163.2343494154422</c:v>
                </c:pt>
                <c:pt idx="27">
                  <c:v>1206.3171030974956</c:v>
                </c:pt>
                <c:pt idx="28">
                  <c:v>1249.3998567795491</c:v>
                </c:pt>
                <c:pt idx="29">
                  <c:v>1292.4826104616025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95-4E8C-8E65-EE9FDDCA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Lead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573490813648296"/>
          <c:y val="0.58369028871391071"/>
          <c:w val="0.25261220472440943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Percolation!$P$29:$P$58</c:f>
              <c:numCache>
                <c:formatCode>#,##0.0</c:formatCode>
                <c:ptCount val="30"/>
                <c:pt idx="0">
                  <c:v>17.779</c:v>
                </c:pt>
                <c:pt idx="1">
                  <c:v>35.558</c:v>
                </c:pt>
                <c:pt idx="2">
                  <c:v>53.336999999999989</c:v>
                </c:pt>
                <c:pt idx="3">
                  <c:v>71.115999999999985</c:v>
                </c:pt>
                <c:pt idx="4">
                  <c:v>88.894999999999982</c:v>
                </c:pt>
                <c:pt idx="5">
                  <c:v>106.67399999999998</c:v>
                </c:pt>
                <c:pt idx="6">
                  <c:v>124.45299999999997</c:v>
                </c:pt>
                <c:pt idx="7">
                  <c:v>142.23199999999997</c:v>
                </c:pt>
                <c:pt idx="8">
                  <c:v>160.01099999999997</c:v>
                </c:pt>
                <c:pt idx="9">
                  <c:v>177.78999999999996</c:v>
                </c:pt>
                <c:pt idx="10">
                  <c:v>195.56899999999996</c:v>
                </c:pt>
                <c:pt idx="11">
                  <c:v>213.34799999999996</c:v>
                </c:pt>
                <c:pt idx="12">
                  <c:v>231.12699999999995</c:v>
                </c:pt>
                <c:pt idx="13">
                  <c:v>248.90599999999995</c:v>
                </c:pt>
                <c:pt idx="14">
                  <c:v>266.68499999999995</c:v>
                </c:pt>
                <c:pt idx="15">
                  <c:v>284.46399999999994</c:v>
                </c:pt>
                <c:pt idx="16">
                  <c:v>302.24299999999994</c:v>
                </c:pt>
                <c:pt idx="17">
                  <c:v>320.02199999999993</c:v>
                </c:pt>
                <c:pt idx="18">
                  <c:v>337.80099999999993</c:v>
                </c:pt>
                <c:pt idx="19">
                  <c:v>355.57999999999993</c:v>
                </c:pt>
                <c:pt idx="20">
                  <c:v>373.35899999999992</c:v>
                </c:pt>
                <c:pt idx="21">
                  <c:v>391.13799999999992</c:v>
                </c:pt>
                <c:pt idx="22">
                  <c:v>408.91699999999992</c:v>
                </c:pt>
                <c:pt idx="23">
                  <c:v>426.69599999999991</c:v>
                </c:pt>
                <c:pt idx="24">
                  <c:v>444.47499999999991</c:v>
                </c:pt>
                <c:pt idx="25">
                  <c:v>462.25399999999991</c:v>
                </c:pt>
                <c:pt idx="26">
                  <c:v>480.0329999999999</c:v>
                </c:pt>
                <c:pt idx="27">
                  <c:v>497.8119999999999</c:v>
                </c:pt>
                <c:pt idx="28">
                  <c:v>515.59099999999989</c:v>
                </c:pt>
                <c:pt idx="29">
                  <c:v>533.36999999999989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3-4F6E-95D2-18829C93ECBA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Transport'!$T$29:$T$58</c:f>
              <c:numCache>
                <c:formatCode>#,##0.00</c:formatCode>
                <c:ptCount val="30"/>
                <c:pt idx="0">
                  <c:v>7.7523896816775002</c:v>
                </c:pt>
                <c:pt idx="1">
                  <c:v>15.504779363355</c:v>
                </c:pt>
                <c:pt idx="2">
                  <c:v>23.257169045032501</c:v>
                </c:pt>
                <c:pt idx="3">
                  <c:v>31.009558726710001</c:v>
                </c:pt>
                <c:pt idx="4">
                  <c:v>38.761948408387504</c:v>
                </c:pt>
                <c:pt idx="5">
                  <c:v>46.514338090065003</c:v>
                </c:pt>
                <c:pt idx="6">
                  <c:v>54.266727771742502</c:v>
                </c:pt>
                <c:pt idx="7">
                  <c:v>62.019117453420002</c:v>
                </c:pt>
                <c:pt idx="8">
                  <c:v>69.771507135097508</c:v>
                </c:pt>
                <c:pt idx="9">
                  <c:v>77.523896816775007</c:v>
                </c:pt>
                <c:pt idx="10">
                  <c:v>85.276286498452507</c:v>
                </c:pt>
                <c:pt idx="11">
                  <c:v>93.028676180130006</c:v>
                </c:pt>
                <c:pt idx="12">
                  <c:v>100.78106586180751</c:v>
                </c:pt>
                <c:pt idx="13">
                  <c:v>108.533455543485</c:v>
                </c:pt>
                <c:pt idx="14">
                  <c:v>116.2858452251625</c:v>
                </c:pt>
                <c:pt idx="15">
                  <c:v>124.03823490684</c:v>
                </c:pt>
                <c:pt idx="16">
                  <c:v>131.79062458851752</c:v>
                </c:pt>
                <c:pt idx="17">
                  <c:v>139.54301427019502</c:v>
                </c:pt>
                <c:pt idx="18">
                  <c:v>147.29540395187252</c:v>
                </c:pt>
                <c:pt idx="19">
                  <c:v>155.04779363355001</c:v>
                </c:pt>
                <c:pt idx="20">
                  <c:v>162.80018331522751</c:v>
                </c:pt>
                <c:pt idx="21">
                  <c:v>170.55257299690501</c:v>
                </c:pt>
                <c:pt idx="22">
                  <c:v>178.30496267858251</c:v>
                </c:pt>
                <c:pt idx="23">
                  <c:v>186.05735236026001</c:v>
                </c:pt>
                <c:pt idx="24">
                  <c:v>193.80974204193751</c:v>
                </c:pt>
                <c:pt idx="25">
                  <c:v>201.56213172361501</c:v>
                </c:pt>
                <c:pt idx="26">
                  <c:v>209.31452140529251</c:v>
                </c:pt>
                <c:pt idx="27">
                  <c:v>217.06691108697001</c:v>
                </c:pt>
                <c:pt idx="28">
                  <c:v>224.81930076864751</c:v>
                </c:pt>
                <c:pt idx="29">
                  <c:v>232.57169045032501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3-4F6E-95D2-18829C93ECBA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(Percolation!$O$17,Percolation!$O$17)</c:f>
              <c:numCache>
                <c:formatCode>#,##0</c:formatCode>
                <c:ptCount val="2"/>
                <c:pt idx="0">
                  <c:v>3180000</c:v>
                </c:pt>
                <c:pt idx="1">
                  <c:v>3180000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B-49D6-987D-F7145A89C542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Transport'!$Q$17,'Mass Transport'!$Q$17)</c:f>
              <c:numCache>
                <c:formatCode>#,##0</c:formatCode>
                <c:ptCount val="2"/>
                <c:pt idx="0">
                  <c:v>3416464.8000000007</c:v>
                </c:pt>
                <c:pt idx="1">
                  <c:v>3416464.8000000007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B-49D6-987D-F7145A89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Arsenic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851268591426082"/>
          <c:y val="0.66813473315835525"/>
          <c:w val="0.16037620297462815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151859142607174"/>
          <c:y val="5.4583333333333331E-2"/>
          <c:w val="0.71087029746281716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Percolation!$AY$29:$AY$58</c:f>
              <c:numCache>
                <c:formatCode>#,##0</c:formatCode>
                <c:ptCount val="30"/>
                <c:pt idx="0">
                  <c:v>52772.562282629675</c:v>
                </c:pt>
                <c:pt idx="1">
                  <c:v>105545.12456525935</c:v>
                </c:pt>
                <c:pt idx="2">
                  <c:v>106102.26098357014</c:v>
                </c:pt>
                <c:pt idx="3">
                  <c:v>106659.39740188094</c:v>
                </c:pt>
                <c:pt idx="4">
                  <c:v>107216.53382019173</c:v>
                </c:pt>
                <c:pt idx="5">
                  <c:v>107377.6836128685</c:v>
                </c:pt>
                <c:pt idx="6">
                  <c:v>107538.83340554526</c:v>
                </c:pt>
                <c:pt idx="7">
                  <c:v>107699.98319822202</c:v>
                </c:pt>
                <c:pt idx="8">
                  <c:v>107703.84819822203</c:v>
                </c:pt>
                <c:pt idx="9">
                  <c:v>107703.84819822203</c:v>
                </c:pt>
                <c:pt idx="10">
                  <c:v>107703.84819822203</c:v>
                </c:pt>
                <c:pt idx="11">
                  <c:v>107703.84819822203</c:v>
                </c:pt>
                <c:pt idx="12">
                  <c:v>107703.84819822203</c:v>
                </c:pt>
                <c:pt idx="13">
                  <c:v>107703.84819822203</c:v>
                </c:pt>
                <c:pt idx="14">
                  <c:v>107703.84819822203</c:v>
                </c:pt>
                <c:pt idx="15">
                  <c:v>107703.84819822203</c:v>
                </c:pt>
                <c:pt idx="16">
                  <c:v>107703.84819822203</c:v>
                </c:pt>
                <c:pt idx="17">
                  <c:v>107703.84819822203</c:v>
                </c:pt>
                <c:pt idx="18">
                  <c:v>107703.84819822203</c:v>
                </c:pt>
                <c:pt idx="19">
                  <c:v>107703.84819822203</c:v>
                </c:pt>
                <c:pt idx="20">
                  <c:v>107703.84819822203</c:v>
                </c:pt>
                <c:pt idx="21">
                  <c:v>107703.84819822203</c:v>
                </c:pt>
                <c:pt idx="22">
                  <c:v>107703.84819822203</c:v>
                </c:pt>
                <c:pt idx="23">
                  <c:v>107703.84819822203</c:v>
                </c:pt>
                <c:pt idx="24">
                  <c:v>107703.84819822203</c:v>
                </c:pt>
                <c:pt idx="25">
                  <c:v>107703.84819822203</c:v>
                </c:pt>
                <c:pt idx="26">
                  <c:v>107703.84819822203</c:v>
                </c:pt>
                <c:pt idx="27">
                  <c:v>107703.84819822203</c:v>
                </c:pt>
                <c:pt idx="28">
                  <c:v>107703.84819822203</c:v>
                </c:pt>
                <c:pt idx="29">
                  <c:v>107703.84819822203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14-4C39-A0E6-14A048CBF45E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Transport'!$BQ$29:$BQ$58</c:f>
              <c:numCache>
                <c:formatCode>#,##0</c:formatCode>
                <c:ptCount val="30"/>
                <c:pt idx="0">
                  <c:v>1137.6600000000001</c:v>
                </c:pt>
                <c:pt idx="1">
                  <c:v>2275.3200000000002</c:v>
                </c:pt>
                <c:pt idx="2">
                  <c:v>3412.9800000000005</c:v>
                </c:pt>
                <c:pt idx="3">
                  <c:v>4550.6400000000003</c:v>
                </c:pt>
                <c:pt idx="4">
                  <c:v>5688.3</c:v>
                </c:pt>
                <c:pt idx="5">
                  <c:v>6825.96</c:v>
                </c:pt>
                <c:pt idx="6">
                  <c:v>7963.62</c:v>
                </c:pt>
                <c:pt idx="7">
                  <c:v>9101.2800000000007</c:v>
                </c:pt>
                <c:pt idx="8">
                  <c:v>10238.94</c:v>
                </c:pt>
                <c:pt idx="9">
                  <c:v>11376.6</c:v>
                </c:pt>
                <c:pt idx="10">
                  <c:v>12514.26</c:v>
                </c:pt>
                <c:pt idx="11">
                  <c:v>13651.92</c:v>
                </c:pt>
                <c:pt idx="12">
                  <c:v>14789.58</c:v>
                </c:pt>
                <c:pt idx="13">
                  <c:v>15927.24</c:v>
                </c:pt>
                <c:pt idx="14">
                  <c:v>17064.900000000001</c:v>
                </c:pt>
                <c:pt idx="15">
                  <c:v>18202.560000000001</c:v>
                </c:pt>
                <c:pt idx="16">
                  <c:v>19340.22</c:v>
                </c:pt>
                <c:pt idx="17">
                  <c:v>20477.88</c:v>
                </c:pt>
                <c:pt idx="18">
                  <c:v>21615.54</c:v>
                </c:pt>
                <c:pt idx="19">
                  <c:v>22753.200000000001</c:v>
                </c:pt>
                <c:pt idx="20">
                  <c:v>23890.86</c:v>
                </c:pt>
                <c:pt idx="21">
                  <c:v>25028.52</c:v>
                </c:pt>
                <c:pt idx="22">
                  <c:v>26166.18</c:v>
                </c:pt>
                <c:pt idx="23">
                  <c:v>27303.84</c:v>
                </c:pt>
                <c:pt idx="24">
                  <c:v>28441.5</c:v>
                </c:pt>
                <c:pt idx="25">
                  <c:v>29579.16</c:v>
                </c:pt>
                <c:pt idx="26">
                  <c:v>30716.82</c:v>
                </c:pt>
                <c:pt idx="27">
                  <c:v>31854.48</c:v>
                </c:pt>
                <c:pt idx="28">
                  <c:v>32992.14</c:v>
                </c:pt>
                <c:pt idx="29">
                  <c:v>34129.800000000003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14-4C39-A0E6-14A048CBF45E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Percolation!$AY$78:$AY$107</c:f>
              <c:numCache>
                <c:formatCode>#,##0</c:formatCode>
                <c:ptCount val="30"/>
                <c:pt idx="0">
                  <c:v>7919.2978328396412</c:v>
                </c:pt>
                <c:pt idx="1">
                  <c:v>15838.595665679282</c:v>
                </c:pt>
                <c:pt idx="2">
                  <c:v>23757.893498518923</c:v>
                </c:pt>
                <c:pt idx="3">
                  <c:v>31677.191331358565</c:v>
                </c:pt>
                <c:pt idx="4">
                  <c:v>39596.489164198203</c:v>
                </c:pt>
                <c:pt idx="5">
                  <c:v>47515.786997037845</c:v>
                </c:pt>
                <c:pt idx="6">
                  <c:v>55435.084829877487</c:v>
                </c:pt>
                <c:pt idx="7">
                  <c:v>63354.382662717129</c:v>
                </c:pt>
                <c:pt idx="8">
                  <c:v>71273.680495556764</c:v>
                </c:pt>
                <c:pt idx="9">
                  <c:v>79192.978328396406</c:v>
                </c:pt>
                <c:pt idx="10">
                  <c:v>87112.276161236048</c:v>
                </c:pt>
                <c:pt idx="11">
                  <c:v>95031.57399407569</c:v>
                </c:pt>
                <c:pt idx="12">
                  <c:v>102950.87182691533</c:v>
                </c:pt>
                <c:pt idx="13">
                  <c:v>103034.47832694645</c:v>
                </c:pt>
                <c:pt idx="14">
                  <c:v>103118.08482697757</c:v>
                </c:pt>
                <c:pt idx="15">
                  <c:v>103201.6913270087</c:v>
                </c:pt>
                <c:pt idx="16">
                  <c:v>103285.29782703982</c:v>
                </c:pt>
                <c:pt idx="17">
                  <c:v>103368.90432707094</c:v>
                </c:pt>
                <c:pt idx="18">
                  <c:v>103452.51082710206</c:v>
                </c:pt>
                <c:pt idx="19">
                  <c:v>103536.11732713318</c:v>
                </c:pt>
                <c:pt idx="20">
                  <c:v>103619.7238271643</c:v>
                </c:pt>
                <c:pt idx="21">
                  <c:v>103703.33032719542</c:v>
                </c:pt>
                <c:pt idx="22">
                  <c:v>103786.93682722654</c:v>
                </c:pt>
                <c:pt idx="23">
                  <c:v>103870.54332725766</c:v>
                </c:pt>
                <c:pt idx="24">
                  <c:v>103954.14982728878</c:v>
                </c:pt>
                <c:pt idx="25">
                  <c:v>104037.7563273199</c:v>
                </c:pt>
                <c:pt idx="26">
                  <c:v>104121.36282735103</c:v>
                </c:pt>
                <c:pt idx="27">
                  <c:v>104204.96932738215</c:v>
                </c:pt>
                <c:pt idx="28">
                  <c:v>104288.57582741327</c:v>
                </c:pt>
                <c:pt idx="29">
                  <c:v>104372.18232744439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14-4C39-A0E6-14A048CBF45E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Transport'!$BQ$83:$BQ$112</c:f>
              <c:numCache>
                <c:formatCode>#,##0</c:formatCode>
                <c:ptCount val="30"/>
                <c:pt idx="0">
                  <c:v>154.77000000000001</c:v>
                </c:pt>
                <c:pt idx="1">
                  <c:v>309.54000000000002</c:v>
                </c:pt>
                <c:pt idx="2">
                  <c:v>464.31000000000006</c:v>
                </c:pt>
                <c:pt idx="3">
                  <c:v>619.08000000000004</c:v>
                </c:pt>
                <c:pt idx="4">
                  <c:v>773.85</c:v>
                </c:pt>
                <c:pt idx="5">
                  <c:v>928.62</c:v>
                </c:pt>
                <c:pt idx="6">
                  <c:v>1083.3900000000001</c:v>
                </c:pt>
                <c:pt idx="7">
                  <c:v>1238.1600000000001</c:v>
                </c:pt>
                <c:pt idx="8">
                  <c:v>1392.93</c:v>
                </c:pt>
                <c:pt idx="9">
                  <c:v>1547.7</c:v>
                </c:pt>
                <c:pt idx="10">
                  <c:v>1702.47</c:v>
                </c:pt>
                <c:pt idx="11">
                  <c:v>1857.24</c:v>
                </c:pt>
                <c:pt idx="12">
                  <c:v>2012.01</c:v>
                </c:pt>
                <c:pt idx="13">
                  <c:v>2166.7800000000002</c:v>
                </c:pt>
                <c:pt idx="14">
                  <c:v>2321.5500000000002</c:v>
                </c:pt>
                <c:pt idx="15">
                  <c:v>2476.3200000000002</c:v>
                </c:pt>
                <c:pt idx="16">
                  <c:v>2631.09</c:v>
                </c:pt>
                <c:pt idx="17">
                  <c:v>2785.86</c:v>
                </c:pt>
                <c:pt idx="18">
                  <c:v>2940.63</c:v>
                </c:pt>
                <c:pt idx="19">
                  <c:v>3095.4</c:v>
                </c:pt>
                <c:pt idx="20">
                  <c:v>3250.17</c:v>
                </c:pt>
                <c:pt idx="21">
                  <c:v>3404.94</c:v>
                </c:pt>
                <c:pt idx="22">
                  <c:v>3559.71</c:v>
                </c:pt>
                <c:pt idx="23">
                  <c:v>3714.48</c:v>
                </c:pt>
                <c:pt idx="24">
                  <c:v>3869.25</c:v>
                </c:pt>
                <c:pt idx="25">
                  <c:v>4024.02</c:v>
                </c:pt>
                <c:pt idx="26">
                  <c:v>4178.79</c:v>
                </c:pt>
                <c:pt idx="27">
                  <c:v>4333.5600000000004</c:v>
                </c:pt>
                <c:pt idx="28">
                  <c:v>4488.3300000000008</c:v>
                </c:pt>
                <c:pt idx="29">
                  <c:v>4643.1000000000013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14-4C39-A0E6-14A048CB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Nitrate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573490813648296"/>
          <c:y val="0.58369028871391071"/>
          <c:w val="0.25261220472440943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Percolation!$BD$29:$BD$58</c:f>
              <c:numCache>
                <c:formatCode>#,##0</c:formatCode>
                <c:ptCount val="30"/>
                <c:pt idx="0">
                  <c:v>703.42681948006282</c:v>
                </c:pt>
                <c:pt idx="1">
                  <c:v>1406.8536389601256</c:v>
                </c:pt>
                <c:pt idx="2">
                  <c:v>1542.641354352927</c:v>
                </c:pt>
                <c:pt idx="3">
                  <c:v>1678.4290697457284</c:v>
                </c:pt>
                <c:pt idx="4">
                  <c:v>1814.2167851385298</c:v>
                </c:pt>
                <c:pt idx="5">
                  <c:v>1844.292590614906</c:v>
                </c:pt>
                <c:pt idx="6">
                  <c:v>1874.3683960912822</c:v>
                </c:pt>
                <c:pt idx="7">
                  <c:v>1904.4442015676584</c:v>
                </c:pt>
                <c:pt idx="8">
                  <c:v>1934.5200070440346</c:v>
                </c:pt>
                <c:pt idx="9">
                  <c:v>1964.5958125204108</c:v>
                </c:pt>
                <c:pt idx="10">
                  <c:v>1984.680753076093</c:v>
                </c:pt>
                <c:pt idx="11">
                  <c:v>2004.7656936317751</c:v>
                </c:pt>
                <c:pt idx="12">
                  <c:v>2024.8506341874572</c:v>
                </c:pt>
                <c:pt idx="13">
                  <c:v>2044.9355747431393</c:v>
                </c:pt>
                <c:pt idx="14">
                  <c:v>2065.0205152988215</c:v>
                </c:pt>
                <c:pt idx="15">
                  <c:v>2079.574233238211</c:v>
                </c:pt>
                <c:pt idx="16">
                  <c:v>2094.1279511776006</c:v>
                </c:pt>
                <c:pt idx="17">
                  <c:v>2108.6816691169902</c:v>
                </c:pt>
                <c:pt idx="18">
                  <c:v>2123.2353870563797</c:v>
                </c:pt>
                <c:pt idx="19">
                  <c:v>2137.7891049957693</c:v>
                </c:pt>
                <c:pt idx="20">
                  <c:v>2145.368741995479</c:v>
                </c:pt>
                <c:pt idx="21">
                  <c:v>2152.9483789951887</c:v>
                </c:pt>
                <c:pt idx="22">
                  <c:v>2160.5280159948984</c:v>
                </c:pt>
                <c:pt idx="23">
                  <c:v>2168.1076529946081</c:v>
                </c:pt>
                <c:pt idx="24">
                  <c:v>2175.6872899943178</c:v>
                </c:pt>
                <c:pt idx="25">
                  <c:v>2183.2669269940275</c:v>
                </c:pt>
                <c:pt idx="26">
                  <c:v>2190.8465639937372</c:v>
                </c:pt>
                <c:pt idx="27">
                  <c:v>2198.4262009934469</c:v>
                </c:pt>
                <c:pt idx="28">
                  <c:v>2206.0058379931565</c:v>
                </c:pt>
                <c:pt idx="29">
                  <c:v>2213.5854749928662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D1-4C5A-BF71-A35C8C50E855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Transport'!$BX$29:$BX$58</c:f>
              <c:numCache>
                <c:formatCode>#,##0.00</c:formatCode>
                <c:ptCount val="30"/>
                <c:pt idx="0">
                  <c:v>5.2592919730174374</c:v>
                </c:pt>
                <c:pt idx="1">
                  <c:v>10.518583946034875</c:v>
                </c:pt>
                <c:pt idx="2">
                  <c:v>15.777875919052313</c:v>
                </c:pt>
                <c:pt idx="3">
                  <c:v>21.03716789206975</c:v>
                </c:pt>
                <c:pt idx="4">
                  <c:v>26.296459865087186</c:v>
                </c:pt>
                <c:pt idx="5">
                  <c:v>31.555751838104623</c:v>
                </c:pt>
                <c:pt idx="6">
                  <c:v>36.815043811122059</c:v>
                </c:pt>
                <c:pt idx="7">
                  <c:v>42.0743357841395</c:v>
                </c:pt>
                <c:pt idx="8">
                  <c:v>47.33362775715694</c:v>
                </c:pt>
                <c:pt idx="9">
                  <c:v>52.59291973017438</c:v>
                </c:pt>
                <c:pt idx="10">
                  <c:v>57.85221170319182</c:v>
                </c:pt>
                <c:pt idx="11">
                  <c:v>63.11150367620926</c:v>
                </c:pt>
                <c:pt idx="12">
                  <c:v>68.370795649226693</c:v>
                </c:pt>
                <c:pt idx="13">
                  <c:v>73.630087622244133</c:v>
                </c:pt>
                <c:pt idx="14">
                  <c:v>78.889379595261573</c:v>
                </c:pt>
                <c:pt idx="15">
                  <c:v>84.148671568279013</c:v>
                </c:pt>
                <c:pt idx="16">
                  <c:v>89.407963541296454</c:v>
                </c:pt>
                <c:pt idx="17">
                  <c:v>94.667255514313894</c:v>
                </c:pt>
                <c:pt idx="18">
                  <c:v>99.926547487331334</c:v>
                </c:pt>
                <c:pt idx="19">
                  <c:v>105.18583946034877</c:v>
                </c:pt>
                <c:pt idx="20">
                  <c:v>110.44513143336621</c:v>
                </c:pt>
                <c:pt idx="21">
                  <c:v>115.70442340638365</c:v>
                </c:pt>
                <c:pt idx="22">
                  <c:v>120.96371537940109</c:v>
                </c:pt>
                <c:pt idx="23">
                  <c:v>126.22300735241853</c:v>
                </c:pt>
                <c:pt idx="24">
                  <c:v>131.48229932543597</c:v>
                </c:pt>
                <c:pt idx="25">
                  <c:v>136.74159129845341</c:v>
                </c:pt>
                <c:pt idx="26">
                  <c:v>142.00088327147085</c:v>
                </c:pt>
                <c:pt idx="27">
                  <c:v>147.26017524448829</c:v>
                </c:pt>
                <c:pt idx="28">
                  <c:v>152.51946721750573</c:v>
                </c:pt>
                <c:pt idx="29">
                  <c:v>157.77875919052317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D1-4C5A-BF71-A35C8C50E855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Percolation!$BD$78:$BD$107</c:f>
              <c:numCache>
                <c:formatCode>#,##0</c:formatCode>
                <c:ptCount val="30"/>
                <c:pt idx="0">
                  <c:v>105.55952271628369</c:v>
                </c:pt>
                <c:pt idx="1">
                  <c:v>211.11904543256739</c:v>
                </c:pt>
                <c:pt idx="2">
                  <c:v>316.67856814885107</c:v>
                </c:pt>
                <c:pt idx="3">
                  <c:v>422.23809086513478</c:v>
                </c:pt>
                <c:pt idx="4">
                  <c:v>527.79761358141843</c:v>
                </c:pt>
                <c:pt idx="5">
                  <c:v>633.35713629770214</c:v>
                </c:pt>
                <c:pt idx="6">
                  <c:v>738.91665901398585</c:v>
                </c:pt>
                <c:pt idx="7">
                  <c:v>844.47618173026956</c:v>
                </c:pt>
                <c:pt idx="8">
                  <c:v>950.03570444655315</c:v>
                </c:pt>
                <c:pt idx="9">
                  <c:v>1055.5952271628369</c:v>
                </c:pt>
                <c:pt idx="10">
                  <c:v>1161.1547498791206</c:v>
                </c:pt>
                <c:pt idx="11">
                  <c:v>1266.7142725954043</c:v>
                </c:pt>
                <c:pt idx="12">
                  <c:v>1372.273795311688</c:v>
                </c:pt>
                <c:pt idx="13">
                  <c:v>1392.6507357846051</c:v>
                </c:pt>
                <c:pt idx="14">
                  <c:v>1413.0276762575222</c:v>
                </c:pt>
                <c:pt idx="15">
                  <c:v>1433.4046167304393</c:v>
                </c:pt>
                <c:pt idx="16">
                  <c:v>1453.7815572033564</c:v>
                </c:pt>
                <c:pt idx="17">
                  <c:v>1474.1584976762736</c:v>
                </c:pt>
                <c:pt idx="18">
                  <c:v>1494.5354381491907</c:v>
                </c:pt>
                <c:pt idx="19">
                  <c:v>1514.9123786221078</c:v>
                </c:pt>
                <c:pt idx="20">
                  <c:v>1535.2893190950249</c:v>
                </c:pt>
                <c:pt idx="21">
                  <c:v>1555.666259567942</c:v>
                </c:pt>
                <c:pt idx="22">
                  <c:v>1576.0432000408591</c:v>
                </c:pt>
                <c:pt idx="23">
                  <c:v>1596.4201405137762</c:v>
                </c:pt>
                <c:pt idx="24">
                  <c:v>1616.7970809866933</c:v>
                </c:pt>
                <c:pt idx="25">
                  <c:v>1637.1740214596105</c:v>
                </c:pt>
                <c:pt idx="26">
                  <c:v>1657.5509619325276</c:v>
                </c:pt>
                <c:pt idx="27">
                  <c:v>1677.9279024054447</c:v>
                </c:pt>
                <c:pt idx="28">
                  <c:v>1698.3048428783618</c:v>
                </c:pt>
                <c:pt idx="29">
                  <c:v>1718.6817833512789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D1-4C5A-BF71-A35C8C50E855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Transport'!$BX$83:$BX$112</c:f>
              <c:numCache>
                <c:formatCode>#,##0.00</c:formatCode>
                <c:ptCount val="30"/>
                <c:pt idx="0">
                  <c:v>2.4775517145547847</c:v>
                </c:pt>
                <c:pt idx="1">
                  <c:v>4.9551034291095695</c:v>
                </c:pt>
                <c:pt idx="2">
                  <c:v>7.4326551436643538</c:v>
                </c:pt>
                <c:pt idx="3">
                  <c:v>9.9102068582191389</c:v>
                </c:pt>
                <c:pt idx="4">
                  <c:v>12.387758572773924</c:v>
                </c:pt>
                <c:pt idx="5">
                  <c:v>14.865310287328709</c:v>
                </c:pt>
                <c:pt idx="6">
                  <c:v>17.342862001883493</c:v>
                </c:pt>
                <c:pt idx="7">
                  <c:v>19.820413716438278</c:v>
                </c:pt>
                <c:pt idx="8">
                  <c:v>22.297965430993063</c:v>
                </c:pt>
                <c:pt idx="9">
                  <c:v>24.775517145547848</c:v>
                </c:pt>
                <c:pt idx="10">
                  <c:v>27.253068860102633</c:v>
                </c:pt>
                <c:pt idx="11">
                  <c:v>29.730620574657419</c:v>
                </c:pt>
                <c:pt idx="12">
                  <c:v>32.2081722892122</c:v>
                </c:pt>
                <c:pt idx="13">
                  <c:v>34.685724003766985</c:v>
                </c:pt>
                <c:pt idx="14">
                  <c:v>37.163275718321771</c:v>
                </c:pt>
                <c:pt idx="15">
                  <c:v>39.640827432876556</c:v>
                </c:pt>
                <c:pt idx="16">
                  <c:v>42.118379147431341</c:v>
                </c:pt>
                <c:pt idx="17">
                  <c:v>44.595930861986126</c:v>
                </c:pt>
                <c:pt idx="18">
                  <c:v>47.073482576540911</c:v>
                </c:pt>
                <c:pt idx="19">
                  <c:v>49.551034291095696</c:v>
                </c:pt>
                <c:pt idx="20">
                  <c:v>52.028586005650482</c:v>
                </c:pt>
                <c:pt idx="21">
                  <c:v>54.506137720205267</c:v>
                </c:pt>
                <c:pt idx="22">
                  <c:v>56.983689434760052</c:v>
                </c:pt>
                <c:pt idx="23">
                  <c:v>59.461241149314837</c:v>
                </c:pt>
                <c:pt idx="24">
                  <c:v>61.938792863869622</c:v>
                </c:pt>
                <c:pt idx="25">
                  <c:v>64.4163445784244</c:v>
                </c:pt>
                <c:pt idx="26">
                  <c:v>66.893896292979178</c:v>
                </c:pt>
                <c:pt idx="27">
                  <c:v>69.371448007533957</c:v>
                </c:pt>
                <c:pt idx="28">
                  <c:v>71.848999722088735</c:v>
                </c:pt>
                <c:pt idx="29">
                  <c:v>74.326551436643513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D1-4C5A-BF71-A35C8C50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Selenium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40157480314966"/>
          <c:y val="0.58369028871391071"/>
          <c:w val="0.26094553805774279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Percolation!$BN$29:$BN$58</c:f>
              <c:numCache>
                <c:formatCode>#,##0</c:formatCode>
                <c:ptCount val="30"/>
                <c:pt idx="0">
                  <c:v>156.91899999999998</c:v>
                </c:pt>
                <c:pt idx="1">
                  <c:v>313.83799999999997</c:v>
                </c:pt>
                <c:pt idx="2">
                  <c:v>470.75699999999995</c:v>
                </c:pt>
                <c:pt idx="3">
                  <c:v>627.67599999999993</c:v>
                </c:pt>
                <c:pt idx="4">
                  <c:v>784.59500000000003</c:v>
                </c:pt>
                <c:pt idx="5">
                  <c:v>941.51400000000012</c:v>
                </c:pt>
                <c:pt idx="6">
                  <c:v>1098.4330000000002</c:v>
                </c:pt>
                <c:pt idx="7">
                  <c:v>1255.3520000000003</c:v>
                </c:pt>
                <c:pt idx="8">
                  <c:v>1412.2710000000004</c:v>
                </c:pt>
                <c:pt idx="9">
                  <c:v>1569.1900000000005</c:v>
                </c:pt>
                <c:pt idx="10">
                  <c:v>1726.1090000000006</c:v>
                </c:pt>
                <c:pt idx="11">
                  <c:v>1883.0280000000005</c:v>
                </c:pt>
                <c:pt idx="12">
                  <c:v>2039.9470000000003</c:v>
                </c:pt>
                <c:pt idx="13">
                  <c:v>2196.866</c:v>
                </c:pt>
                <c:pt idx="14">
                  <c:v>2353.7849999999999</c:v>
                </c:pt>
                <c:pt idx="15">
                  <c:v>2510.7039999999997</c:v>
                </c:pt>
                <c:pt idx="16">
                  <c:v>2667.6229999999996</c:v>
                </c:pt>
                <c:pt idx="17">
                  <c:v>2824.5419999999995</c:v>
                </c:pt>
                <c:pt idx="18">
                  <c:v>2981.4609999999993</c:v>
                </c:pt>
                <c:pt idx="19">
                  <c:v>3138.3799999999992</c:v>
                </c:pt>
                <c:pt idx="20">
                  <c:v>3295.2989999999991</c:v>
                </c:pt>
                <c:pt idx="21">
                  <c:v>3452.2179999999994</c:v>
                </c:pt>
                <c:pt idx="22">
                  <c:v>3609.1369999999997</c:v>
                </c:pt>
                <c:pt idx="23">
                  <c:v>3766.056</c:v>
                </c:pt>
                <c:pt idx="24">
                  <c:v>3922.9750000000004</c:v>
                </c:pt>
                <c:pt idx="25">
                  <c:v>4079.8940000000007</c:v>
                </c:pt>
                <c:pt idx="26">
                  <c:v>4236.813000000001</c:v>
                </c:pt>
                <c:pt idx="27">
                  <c:v>4393.7320000000009</c:v>
                </c:pt>
                <c:pt idx="28">
                  <c:v>4550.6510000000007</c:v>
                </c:pt>
                <c:pt idx="29">
                  <c:v>4707.5700000000006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D1-4B1F-9980-5C885C902B5A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Transport'!$CL$29:$CL$58</c:f>
              <c:numCache>
                <c:formatCode>#,##0.00</c:formatCode>
                <c:ptCount val="30"/>
                <c:pt idx="0">
                  <c:v>74.415572641698674</c:v>
                </c:pt>
                <c:pt idx="1">
                  <c:v>148.83114528339735</c:v>
                </c:pt>
                <c:pt idx="2">
                  <c:v>223.24671792509602</c:v>
                </c:pt>
                <c:pt idx="3">
                  <c:v>297.6622905667947</c:v>
                </c:pt>
                <c:pt idx="4">
                  <c:v>372.07786320849334</c:v>
                </c:pt>
                <c:pt idx="5">
                  <c:v>446.49343585019199</c:v>
                </c:pt>
                <c:pt idx="6">
                  <c:v>520.90900849189063</c:v>
                </c:pt>
                <c:pt idx="7">
                  <c:v>595.32458113358928</c:v>
                </c:pt>
                <c:pt idx="8">
                  <c:v>669.74015377528792</c:v>
                </c:pt>
                <c:pt idx="9">
                  <c:v>744.15572641698657</c:v>
                </c:pt>
                <c:pt idx="10">
                  <c:v>818.57129905868521</c:v>
                </c:pt>
                <c:pt idx="11">
                  <c:v>892.98687170038386</c:v>
                </c:pt>
                <c:pt idx="12">
                  <c:v>967.4024443420825</c:v>
                </c:pt>
                <c:pt idx="13">
                  <c:v>1041.8180169837813</c:v>
                </c:pt>
                <c:pt idx="14">
                  <c:v>1116.2335896254799</c:v>
                </c:pt>
                <c:pt idx="15">
                  <c:v>1190.6491622671786</c:v>
                </c:pt>
                <c:pt idx="16">
                  <c:v>1265.0647349088772</c:v>
                </c:pt>
                <c:pt idx="17">
                  <c:v>1339.4803075505758</c:v>
                </c:pt>
                <c:pt idx="18">
                  <c:v>1413.8958801922745</c:v>
                </c:pt>
                <c:pt idx="19">
                  <c:v>1488.3114528339731</c:v>
                </c:pt>
                <c:pt idx="20">
                  <c:v>1562.7270254756718</c:v>
                </c:pt>
                <c:pt idx="21">
                  <c:v>1637.1425981173704</c:v>
                </c:pt>
                <c:pt idx="22">
                  <c:v>1711.5581707590691</c:v>
                </c:pt>
                <c:pt idx="23">
                  <c:v>1785.9737434007677</c:v>
                </c:pt>
                <c:pt idx="24">
                  <c:v>1860.3893160424664</c:v>
                </c:pt>
                <c:pt idx="25">
                  <c:v>1934.804888684165</c:v>
                </c:pt>
                <c:pt idx="26">
                  <c:v>2009.2204613258637</c:v>
                </c:pt>
                <c:pt idx="27">
                  <c:v>2083.6360339675625</c:v>
                </c:pt>
                <c:pt idx="28">
                  <c:v>2158.0516066092614</c:v>
                </c:pt>
                <c:pt idx="29">
                  <c:v>2232.4671792509603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D1-4B1F-9980-5C885C902B5A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Percolation!$BN$78:$BN$107</c:f>
              <c:numCache>
                <c:formatCode>#,##0</c:formatCode>
                <c:ptCount val="30"/>
                <c:pt idx="0">
                  <c:v>23.548000000000005</c:v>
                </c:pt>
                <c:pt idx="1">
                  <c:v>47.096000000000011</c:v>
                </c:pt>
                <c:pt idx="2">
                  <c:v>70.644000000000005</c:v>
                </c:pt>
                <c:pt idx="3">
                  <c:v>94.192000000000007</c:v>
                </c:pt>
                <c:pt idx="4">
                  <c:v>117.74</c:v>
                </c:pt>
                <c:pt idx="5">
                  <c:v>141.28800000000001</c:v>
                </c:pt>
                <c:pt idx="6">
                  <c:v>164.83600000000001</c:v>
                </c:pt>
                <c:pt idx="7">
                  <c:v>188.38400000000001</c:v>
                </c:pt>
                <c:pt idx="8">
                  <c:v>211.93199999999999</c:v>
                </c:pt>
                <c:pt idx="9">
                  <c:v>235.48</c:v>
                </c:pt>
                <c:pt idx="10">
                  <c:v>259.02800000000002</c:v>
                </c:pt>
                <c:pt idx="11">
                  <c:v>282.57600000000002</c:v>
                </c:pt>
                <c:pt idx="12">
                  <c:v>306.12400000000002</c:v>
                </c:pt>
                <c:pt idx="13">
                  <c:v>329.67200000000003</c:v>
                </c:pt>
                <c:pt idx="14">
                  <c:v>353.22</c:v>
                </c:pt>
                <c:pt idx="15">
                  <c:v>376.76800000000003</c:v>
                </c:pt>
                <c:pt idx="16">
                  <c:v>400.31600000000003</c:v>
                </c:pt>
                <c:pt idx="17">
                  <c:v>423.86399999999998</c:v>
                </c:pt>
                <c:pt idx="18">
                  <c:v>447.41199999999992</c:v>
                </c:pt>
                <c:pt idx="19">
                  <c:v>470.95999999999987</c:v>
                </c:pt>
                <c:pt idx="20">
                  <c:v>494.50799999999981</c:v>
                </c:pt>
                <c:pt idx="21">
                  <c:v>518.05599999999981</c:v>
                </c:pt>
                <c:pt idx="22">
                  <c:v>541.60399999999981</c:v>
                </c:pt>
                <c:pt idx="23">
                  <c:v>565.15199999999982</c:v>
                </c:pt>
                <c:pt idx="24">
                  <c:v>588.69999999999982</c:v>
                </c:pt>
                <c:pt idx="25">
                  <c:v>612.24799999999982</c:v>
                </c:pt>
                <c:pt idx="26">
                  <c:v>635.79599999999982</c:v>
                </c:pt>
                <c:pt idx="27">
                  <c:v>659.34399999999982</c:v>
                </c:pt>
                <c:pt idx="28">
                  <c:v>682.89199999999983</c:v>
                </c:pt>
                <c:pt idx="29">
                  <c:v>706.43999999999983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D1-4B1F-9980-5C885C902B5A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Transport'!$CL$83:$CL$112</c:f>
              <c:numCache>
                <c:formatCode>#,##0.00</c:formatCode>
                <c:ptCount val="30"/>
                <c:pt idx="0">
                  <c:v>13.282500000000001</c:v>
                </c:pt>
                <c:pt idx="1">
                  <c:v>26.565000000000001</c:v>
                </c:pt>
                <c:pt idx="2">
                  <c:v>39.847500000000004</c:v>
                </c:pt>
                <c:pt idx="3">
                  <c:v>53.13</c:v>
                </c:pt>
                <c:pt idx="4">
                  <c:v>66.412500000000009</c:v>
                </c:pt>
                <c:pt idx="5">
                  <c:v>79.695000000000007</c:v>
                </c:pt>
                <c:pt idx="6">
                  <c:v>92.977500000000006</c:v>
                </c:pt>
                <c:pt idx="7">
                  <c:v>106.26</c:v>
                </c:pt>
                <c:pt idx="8">
                  <c:v>119.5425</c:v>
                </c:pt>
                <c:pt idx="9">
                  <c:v>132.82500000000002</c:v>
                </c:pt>
                <c:pt idx="10">
                  <c:v>146.10750000000002</c:v>
                </c:pt>
                <c:pt idx="11">
                  <c:v>159.39000000000001</c:v>
                </c:pt>
                <c:pt idx="12">
                  <c:v>172.67250000000001</c:v>
                </c:pt>
                <c:pt idx="13">
                  <c:v>185.95500000000001</c:v>
                </c:pt>
                <c:pt idx="14">
                  <c:v>199.23750000000001</c:v>
                </c:pt>
                <c:pt idx="15">
                  <c:v>212.52</c:v>
                </c:pt>
                <c:pt idx="16">
                  <c:v>225.80250000000001</c:v>
                </c:pt>
                <c:pt idx="17">
                  <c:v>239.08500000000001</c:v>
                </c:pt>
                <c:pt idx="18">
                  <c:v>252.36750000000001</c:v>
                </c:pt>
                <c:pt idx="19">
                  <c:v>265.65000000000003</c:v>
                </c:pt>
                <c:pt idx="20">
                  <c:v>278.93250000000006</c:v>
                </c:pt>
                <c:pt idx="21">
                  <c:v>292.21500000000009</c:v>
                </c:pt>
                <c:pt idx="22">
                  <c:v>305.49750000000012</c:v>
                </c:pt>
                <c:pt idx="23">
                  <c:v>318.78000000000014</c:v>
                </c:pt>
                <c:pt idx="24">
                  <c:v>332.06250000000017</c:v>
                </c:pt>
                <c:pt idx="25">
                  <c:v>345.3450000000002</c:v>
                </c:pt>
                <c:pt idx="26">
                  <c:v>358.62750000000023</c:v>
                </c:pt>
                <c:pt idx="27">
                  <c:v>371.91000000000025</c:v>
                </c:pt>
                <c:pt idx="28">
                  <c:v>385.19250000000028</c:v>
                </c:pt>
                <c:pt idx="29">
                  <c:v>398.47500000000031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D1-4B1F-9980-5C885C90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Thallium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40157480314966"/>
          <c:y val="0.58369028871391071"/>
          <c:w val="0.26094553805774279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557454708405354"/>
          <c:y val="5.4583333333333331E-2"/>
          <c:w val="0.67681437559126245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Percolation!$BI$29:$BI$58</c:f>
              <c:numCache>
                <c:formatCode>#,##0</c:formatCode>
                <c:ptCount val="30"/>
                <c:pt idx="0">
                  <c:v>4694988.0169822648</c:v>
                </c:pt>
                <c:pt idx="1">
                  <c:v>9389976.0339645296</c:v>
                </c:pt>
                <c:pt idx="2">
                  <c:v>10924406.090344165</c:v>
                </c:pt>
                <c:pt idx="3">
                  <c:v>12458836.146723799</c:v>
                </c:pt>
                <c:pt idx="4">
                  <c:v>13993266.203103434</c:v>
                </c:pt>
                <c:pt idx="5">
                  <c:v>14943205.553297682</c:v>
                </c:pt>
                <c:pt idx="6">
                  <c:v>15893144.903491929</c:v>
                </c:pt>
                <c:pt idx="7">
                  <c:v>16843084.253686178</c:v>
                </c:pt>
                <c:pt idx="8">
                  <c:v>17793023.603880428</c:v>
                </c:pt>
                <c:pt idx="9">
                  <c:v>18742962.954074677</c:v>
                </c:pt>
                <c:pt idx="10">
                  <c:v>19548982.00799004</c:v>
                </c:pt>
                <c:pt idx="11">
                  <c:v>20355001.061905403</c:v>
                </c:pt>
                <c:pt idx="12">
                  <c:v>21161020.115820765</c:v>
                </c:pt>
                <c:pt idx="13">
                  <c:v>21967039.169736128</c:v>
                </c:pt>
                <c:pt idx="14">
                  <c:v>22773058.223651491</c:v>
                </c:pt>
                <c:pt idx="15">
                  <c:v>23541251.327995308</c:v>
                </c:pt>
                <c:pt idx="16">
                  <c:v>24309444.432339124</c:v>
                </c:pt>
                <c:pt idx="17">
                  <c:v>25077637.536682941</c:v>
                </c:pt>
                <c:pt idx="18">
                  <c:v>25845830.641026758</c:v>
                </c:pt>
                <c:pt idx="19">
                  <c:v>26614023.745370574</c:v>
                </c:pt>
                <c:pt idx="20">
                  <c:v>27344196.962520398</c:v>
                </c:pt>
                <c:pt idx="21">
                  <c:v>28074370.179670226</c:v>
                </c:pt>
                <c:pt idx="22">
                  <c:v>28804543.396820053</c:v>
                </c:pt>
                <c:pt idx="23">
                  <c:v>29534716.613969881</c:v>
                </c:pt>
                <c:pt idx="24">
                  <c:v>30264889.831119709</c:v>
                </c:pt>
                <c:pt idx="25">
                  <c:v>30995063.048269536</c:v>
                </c:pt>
                <c:pt idx="26">
                  <c:v>31725236.265419364</c:v>
                </c:pt>
                <c:pt idx="27">
                  <c:v>32455409.482569192</c:v>
                </c:pt>
                <c:pt idx="28">
                  <c:v>33185582.699719019</c:v>
                </c:pt>
                <c:pt idx="29">
                  <c:v>33915755.916868843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20-4D73-B9BC-778B11B2D129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Transport'!$CE$29:$CE$58</c:f>
              <c:numCache>
                <c:formatCode>#,##0</c:formatCode>
                <c:ptCount val="30"/>
                <c:pt idx="0">
                  <c:v>55367.03867087017</c:v>
                </c:pt>
                <c:pt idx="1">
                  <c:v>110734.07734174034</c:v>
                </c:pt>
                <c:pt idx="2">
                  <c:v>166101.1160126105</c:v>
                </c:pt>
                <c:pt idx="3">
                  <c:v>221468.15468348068</c:v>
                </c:pt>
                <c:pt idx="4">
                  <c:v>276835.19335435086</c:v>
                </c:pt>
                <c:pt idx="5">
                  <c:v>332202.23202522105</c:v>
                </c:pt>
                <c:pt idx="6">
                  <c:v>387569.27069609123</c:v>
                </c:pt>
                <c:pt idx="7">
                  <c:v>442936.30936696142</c:v>
                </c:pt>
                <c:pt idx="8">
                  <c:v>498303.3480378316</c:v>
                </c:pt>
                <c:pt idx="9">
                  <c:v>553670.38670870173</c:v>
                </c:pt>
                <c:pt idx="10">
                  <c:v>609037.42537957185</c:v>
                </c:pt>
                <c:pt idx="11">
                  <c:v>664404.46405044198</c:v>
                </c:pt>
                <c:pt idx="12">
                  <c:v>719771.50272131211</c:v>
                </c:pt>
                <c:pt idx="13">
                  <c:v>775138.54139218223</c:v>
                </c:pt>
                <c:pt idx="14">
                  <c:v>830505.58006305236</c:v>
                </c:pt>
                <c:pt idx="15">
                  <c:v>885872.61873392249</c:v>
                </c:pt>
                <c:pt idx="16">
                  <c:v>941239.65740479261</c:v>
                </c:pt>
                <c:pt idx="17">
                  <c:v>996606.69607566274</c:v>
                </c:pt>
                <c:pt idx="18">
                  <c:v>1051973.734746533</c:v>
                </c:pt>
                <c:pt idx="19">
                  <c:v>1107340.7734174032</c:v>
                </c:pt>
                <c:pt idx="20">
                  <c:v>1162707.8120882735</c:v>
                </c:pt>
                <c:pt idx="21">
                  <c:v>1218074.8507591437</c:v>
                </c:pt>
                <c:pt idx="22">
                  <c:v>1273441.889430014</c:v>
                </c:pt>
                <c:pt idx="23">
                  <c:v>1328808.9281008842</c:v>
                </c:pt>
                <c:pt idx="24">
                  <c:v>1384175.9667717544</c:v>
                </c:pt>
                <c:pt idx="25">
                  <c:v>1439543.0054426247</c:v>
                </c:pt>
                <c:pt idx="26">
                  <c:v>1494910.0441134949</c:v>
                </c:pt>
                <c:pt idx="27">
                  <c:v>1550277.0827843652</c:v>
                </c:pt>
                <c:pt idx="28">
                  <c:v>1605644.1214552354</c:v>
                </c:pt>
                <c:pt idx="29">
                  <c:v>1661011.1601261056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20-4D73-B9BC-778B11B2D129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Percolation!$BI$78:$BI$107</c:f>
              <c:numCache>
                <c:formatCode>#,##0</c:formatCode>
                <c:ptCount val="30"/>
                <c:pt idx="0">
                  <c:v>704551.8887062649</c:v>
                </c:pt>
                <c:pt idx="1">
                  <c:v>1409103.7774125298</c:v>
                </c:pt>
                <c:pt idx="2">
                  <c:v>2113655.6661187946</c:v>
                </c:pt>
                <c:pt idx="3">
                  <c:v>2818207.5548250596</c:v>
                </c:pt>
                <c:pt idx="4">
                  <c:v>3522759.4435313242</c:v>
                </c:pt>
                <c:pt idx="5">
                  <c:v>4227311.3322375892</c:v>
                </c:pt>
                <c:pt idx="6">
                  <c:v>4931863.2209438542</c:v>
                </c:pt>
                <c:pt idx="7">
                  <c:v>5636415.1096501192</c:v>
                </c:pt>
                <c:pt idx="8">
                  <c:v>6340966.9983563833</c:v>
                </c:pt>
                <c:pt idx="9">
                  <c:v>7045518.8870626483</c:v>
                </c:pt>
                <c:pt idx="10">
                  <c:v>7750070.7757689133</c:v>
                </c:pt>
                <c:pt idx="11">
                  <c:v>8454622.6644751783</c:v>
                </c:pt>
                <c:pt idx="12">
                  <c:v>9159174.5531814434</c:v>
                </c:pt>
                <c:pt idx="13">
                  <c:v>9389438.3132591117</c:v>
                </c:pt>
                <c:pt idx="14">
                  <c:v>9619702.0733367801</c:v>
                </c:pt>
                <c:pt idx="15">
                  <c:v>9849965.8334144484</c:v>
                </c:pt>
                <c:pt idx="16">
                  <c:v>10080229.593492117</c:v>
                </c:pt>
                <c:pt idx="17">
                  <c:v>10310493.353569785</c:v>
                </c:pt>
                <c:pt idx="18">
                  <c:v>10540757.113647453</c:v>
                </c:pt>
                <c:pt idx="19">
                  <c:v>10771020.873725122</c:v>
                </c:pt>
                <c:pt idx="20">
                  <c:v>11001284.63380279</c:v>
                </c:pt>
                <c:pt idx="21">
                  <c:v>11231548.393880459</c:v>
                </c:pt>
                <c:pt idx="22">
                  <c:v>11461812.153958127</c:v>
                </c:pt>
                <c:pt idx="23">
                  <c:v>11692075.914035795</c:v>
                </c:pt>
                <c:pt idx="24">
                  <c:v>11922339.674113464</c:v>
                </c:pt>
                <c:pt idx="25">
                  <c:v>12152603.434191132</c:v>
                </c:pt>
                <c:pt idx="26">
                  <c:v>12382867.1942688</c:v>
                </c:pt>
                <c:pt idx="27">
                  <c:v>12613130.954346469</c:v>
                </c:pt>
                <c:pt idx="28">
                  <c:v>12843394.714424137</c:v>
                </c:pt>
                <c:pt idx="29">
                  <c:v>13073658.474501805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20-4D73-B9BC-778B11B2D129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Transport'!$CE$83:$CE$112</c:f>
              <c:numCache>
                <c:formatCode>#,##0</c:formatCode>
                <c:ptCount val="30"/>
                <c:pt idx="0">
                  <c:v>26211.736086470821</c:v>
                </c:pt>
                <c:pt idx="1">
                  <c:v>52423.472172941641</c:v>
                </c:pt>
                <c:pt idx="2">
                  <c:v>78635.208259412466</c:v>
                </c:pt>
                <c:pt idx="3">
                  <c:v>104846.94434588328</c:v>
                </c:pt>
                <c:pt idx="4">
                  <c:v>131058.6804323541</c:v>
                </c:pt>
                <c:pt idx="5">
                  <c:v>157270.41651882493</c:v>
                </c:pt>
                <c:pt idx="6">
                  <c:v>183482.15260529576</c:v>
                </c:pt>
                <c:pt idx="7">
                  <c:v>209693.8886917666</c:v>
                </c:pt>
                <c:pt idx="8">
                  <c:v>235905.62477823743</c:v>
                </c:pt>
                <c:pt idx="9">
                  <c:v>262117.36086470826</c:v>
                </c:pt>
                <c:pt idx="10">
                  <c:v>288329.09695117909</c:v>
                </c:pt>
                <c:pt idx="11">
                  <c:v>314540.83303764992</c:v>
                </c:pt>
                <c:pt idx="12">
                  <c:v>340752.56912412075</c:v>
                </c:pt>
                <c:pt idx="13">
                  <c:v>366964.30521059158</c:v>
                </c:pt>
                <c:pt idx="14">
                  <c:v>393176.04129706242</c:v>
                </c:pt>
                <c:pt idx="15">
                  <c:v>419387.77738353325</c:v>
                </c:pt>
                <c:pt idx="16">
                  <c:v>445599.51347000408</c:v>
                </c:pt>
                <c:pt idx="17">
                  <c:v>471811.24955647491</c:v>
                </c:pt>
                <c:pt idx="18">
                  <c:v>498022.98564294574</c:v>
                </c:pt>
                <c:pt idx="19">
                  <c:v>524234.72172941657</c:v>
                </c:pt>
                <c:pt idx="20">
                  <c:v>550446.45781588741</c:v>
                </c:pt>
                <c:pt idx="21">
                  <c:v>576658.19390235818</c:v>
                </c:pt>
                <c:pt idx="22">
                  <c:v>602869.92998882895</c:v>
                </c:pt>
                <c:pt idx="23">
                  <c:v>629081.66607529973</c:v>
                </c:pt>
                <c:pt idx="24">
                  <c:v>655293.4021617705</c:v>
                </c:pt>
                <c:pt idx="25">
                  <c:v>681505.13824824127</c:v>
                </c:pt>
                <c:pt idx="26">
                  <c:v>707716.87433471205</c:v>
                </c:pt>
                <c:pt idx="27">
                  <c:v>733928.61042118282</c:v>
                </c:pt>
                <c:pt idx="28">
                  <c:v>760140.34650765359</c:v>
                </c:pt>
                <c:pt idx="29">
                  <c:v>786352.08259412437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20-4D73-B9BC-778B11B2D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Sulfate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29046369203849"/>
          <c:y val="0.58369028871391071"/>
          <c:w val="0.24705664916885384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Percolation!$BS$29:$BS$58</c:f>
              <c:numCache>
                <c:formatCode>#,##0</c:formatCode>
                <c:ptCount val="30"/>
                <c:pt idx="0">
                  <c:v>11324.45</c:v>
                </c:pt>
                <c:pt idx="1">
                  <c:v>22648.9</c:v>
                </c:pt>
                <c:pt idx="2">
                  <c:v>33973.35</c:v>
                </c:pt>
                <c:pt idx="3">
                  <c:v>45297.8</c:v>
                </c:pt>
                <c:pt idx="4">
                  <c:v>56622.250000000007</c:v>
                </c:pt>
                <c:pt idx="5">
                  <c:v>67946.700000000012</c:v>
                </c:pt>
                <c:pt idx="6">
                  <c:v>79271.150000000009</c:v>
                </c:pt>
                <c:pt idx="7">
                  <c:v>90595.6</c:v>
                </c:pt>
                <c:pt idx="8">
                  <c:v>101920.05</c:v>
                </c:pt>
                <c:pt idx="9">
                  <c:v>113244.5</c:v>
                </c:pt>
                <c:pt idx="10">
                  <c:v>124568.95</c:v>
                </c:pt>
                <c:pt idx="11">
                  <c:v>135893.4</c:v>
                </c:pt>
                <c:pt idx="12">
                  <c:v>147217.84999999998</c:v>
                </c:pt>
                <c:pt idx="13">
                  <c:v>158542.29999999996</c:v>
                </c:pt>
                <c:pt idx="14">
                  <c:v>169866.74999999994</c:v>
                </c:pt>
                <c:pt idx="15">
                  <c:v>181191.19999999992</c:v>
                </c:pt>
                <c:pt idx="16">
                  <c:v>192515.64999999991</c:v>
                </c:pt>
                <c:pt idx="17">
                  <c:v>203840.09999999989</c:v>
                </c:pt>
                <c:pt idx="18">
                  <c:v>215164.54999999987</c:v>
                </c:pt>
                <c:pt idx="19">
                  <c:v>226488.99999999985</c:v>
                </c:pt>
                <c:pt idx="20">
                  <c:v>237813.44999999984</c:v>
                </c:pt>
                <c:pt idx="21">
                  <c:v>249137.89999999985</c:v>
                </c:pt>
                <c:pt idx="22">
                  <c:v>260462.34999999986</c:v>
                </c:pt>
                <c:pt idx="23">
                  <c:v>271786.79999999987</c:v>
                </c:pt>
                <c:pt idx="24">
                  <c:v>283111.24999999988</c:v>
                </c:pt>
                <c:pt idx="25">
                  <c:v>294435.6999999999</c:v>
                </c:pt>
                <c:pt idx="26">
                  <c:v>305760.14999999991</c:v>
                </c:pt>
                <c:pt idx="27">
                  <c:v>317084.59999999992</c:v>
                </c:pt>
                <c:pt idx="28">
                  <c:v>328409.04999999993</c:v>
                </c:pt>
                <c:pt idx="29">
                  <c:v>339733.49999999994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05-49F8-9980-9EDC5F57415E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Transport'!$CS$29:$CS$58</c:f>
              <c:numCache>
                <c:formatCode>#,##0.00</c:formatCode>
                <c:ptCount val="30"/>
                <c:pt idx="0">
                  <c:v>8.245134193279636</c:v>
                </c:pt>
                <c:pt idx="1">
                  <c:v>16.490268386559272</c:v>
                </c:pt>
                <c:pt idx="2">
                  <c:v>24.735402579838908</c:v>
                </c:pt>
                <c:pt idx="3">
                  <c:v>32.980536773118544</c:v>
                </c:pt>
                <c:pt idx="4">
                  <c:v>41.225670966398184</c:v>
                </c:pt>
                <c:pt idx="5">
                  <c:v>49.470805159677823</c:v>
                </c:pt>
                <c:pt idx="6">
                  <c:v>57.715939352957463</c:v>
                </c:pt>
                <c:pt idx="7">
                  <c:v>65.961073546237103</c:v>
                </c:pt>
                <c:pt idx="8">
                  <c:v>74.206207739516742</c:v>
                </c:pt>
                <c:pt idx="9">
                  <c:v>82.451341932796382</c:v>
                </c:pt>
                <c:pt idx="10">
                  <c:v>90.696476126076021</c:v>
                </c:pt>
                <c:pt idx="11">
                  <c:v>98.941610319355661</c:v>
                </c:pt>
                <c:pt idx="12">
                  <c:v>107.1867445126353</c:v>
                </c:pt>
                <c:pt idx="13">
                  <c:v>115.43187870591494</c:v>
                </c:pt>
                <c:pt idx="14">
                  <c:v>123.67701289919458</c:v>
                </c:pt>
                <c:pt idx="15">
                  <c:v>131.92214709247421</c:v>
                </c:pt>
                <c:pt idx="16">
                  <c:v>140.16728128575383</c:v>
                </c:pt>
                <c:pt idx="17">
                  <c:v>148.41241547903346</c:v>
                </c:pt>
                <c:pt idx="18">
                  <c:v>156.65754967231308</c:v>
                </c:pt>
                <c:pt idx="19">
                  <c:v>164.90268386559271</c:v>
                </c:pt>
                <c:pt idx="20">
                  <c:v>173.14781805887233</c:v>
                </c:pt>
                <c:pt idx="21">
                  <c:v>181.39295225215196</c:v>
                </c:pt>
                <c:pt idx="22">
                  <c:v>189.63808644543158</c:v>
                </c:pt>
                <c:pt idx="23">
                  <c:v>197.88322063871121</c:v>
                </c:pt>
                <c:pt idx="24">
                  <c:v>206.12835483199083</c:v>
                </c:pt>
                <c:pt idx="25">
                  <c:v>214.37348902527046</c:v>
                </c:pt>
                <c:pt idx="26">
                  <c:v>222.61862321855008</c:v>
                </c:pt>
                <c:pt idx="27">
                  <c:v>230.86375741182971</c:v>
                </c:pt>
                <c:pt idx="28">
                  <c:v>239.10889160510933</c:v>
                </c:pt>
                <c:pt idx="29">
                  <c:v>247.35402579838896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05-49F8-9980-9EDC5F57415E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Percolation!$BS$78:$BS$107</c:f>
              <c:numCache>
                <c:formatCode>#,##0</c:formatCode>
                <c:ptCount val="30"/>
                <c:pt idx="0">
                  <c:v>1699.4</c:v>
                </c:pt>
                <c:pt idx="1">
                  <c:v>3398.8</c:v>
                </c:pt>
                <c:pt idx="2">
                  <c:v>5098.2000000000007</c:v>
                </c:pt>
                <c:pt idx="3">
                  <c:v>6797.6000000000013</c:v>
                </c:pt>
                <c:pt idx="4">
                  <c:v>8497</c:v>
                </c:pt>
                <c:pt idx="5">
                  <c:v>10196.4</c:v>
                </c:pt>
                <c:pt idx="6">
                  <c:v>11895.8</c:v>
                </c:pt>
                <c:pt idx="7">
                  <c:v>13595.199999999999</c:v>
                </c:pt>
                <c:pt idx="8">
                  <c:v>15294.599999999999</c:v>
                </c:pt>
                <c:pt idx="9">
                  <c:v>16994</c:v>
                </c:pt>
                <c:pt idx="10">
                  <c:v>18693.400000000001</c:v>
                </c:pt>
                <c:pt idx="11">
                  <c:v>20392.800000000003</c:v>
                </c:pt>
                <c:pt idx="12">
                  <c:v>22092.200000000004</c:v>
                </c:pt>
                <c:pt idx="13">
                  <c:v>23791.600000000006</c:v>
                </c:pt>
                <c:pt idx="14">
                  <c:v>25491.000000000007</c:v>
                </c:pt>
                <c:pt idx="15">
                  <c:v>27190.400000000009</c:v>
                </c:pt>
                <c:pt idx="16">
                  <c:v>28889.80000000001</c:v>
                </c:pt>
                <c:pt idx="17">
                  <c:v>30589.200000000008</c:v>
                </c:pt>
                <c:pt idx="18">
                  <c:v>32288.600000000006</c:v>
                </c:pt>
                <c:pt idx="19">
                  <c:v>33988</c:v>
                </c:pt>
                <c:pt idx="20">
                  <c:v>35687.399999999994</c:v>
                </c:pt>
                <c:pt idx="21">
                  <c:v>37386.799999999988</c:v>
                </c:pt>
                <c:pt idx="22">
                  <c:v>39086.199999999983</c:v>
                </c:pt>
                <c:pt idx="23">
                  <c:v>40785.599999999977</c:v>
                </c:pt>
                <c:pt idx="24">
                  <c:v>42484.999999999971</c:v>
                </c:pt>
                <c:pt idx="25">
                  <c:v>44184.399999999965</c:v>
                </c:pt>
                <c:pt idx="26">
                  <c:v>45883.799999999959</c:v>
                </c:pt>
                <c:pt idx="27">
                  <c:v>47583.199999999953</c:v>
                </c:pt>
                <c:pt idx="28">
                  <c:v>49282.599999999948</c:v>
                </c:pt>
                <c:pt idx="29">
                  <c:v>50981.999999999942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05-49F8-9980-9EDC5F57415E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Transport'!$CS$83:$CS$112</c:f>
              <c:numCache>
                <c:formatCode>#,##0.00</c:formatCode>
                <c:ptCount val="30"/>
                <c:pt idx="0">
                  <c:v>3.9543915883811387</c:v>
                </c:pt>
                <c:pt idx="1">
                  <c:v>7.9087831767622774</c:v>
                </c:pt>
                <c:pt idx="2">
                  <c:v>11.863174765143416</c:v>
                </c:pt>
                <c:pt idx="3">
                  <c:v>15.817566353524555</c:v>
                </c:pt>
                <c:pt idx="4">
                  <c:v>19.771957941905693</c:v>
                </c:pt>
                <c:pt idx="5">
                  <c:v>23.726349530286832</c:v>
                </c:pt>
                <c:pt idx="6">
                  <c:v>27.680741118667971</c:v>
                </c:pt>
                <c:pt idx="7">
                  <c:v>31.63513270704911</c:v>
                </c:pt>
                <c:pt idx="8">
                  <c:v>35.589524295430252</c:v>
                </c:pt>
                <c:pt idx="9">
                  <c:v>39.543915883811394</c:v>
                </c:pt>
                <c:pt idx="10">
                  <c:v>43.498307472192536</c:v>
                </c:pt>
                <c:pt idx="11">
                  <c:v>47.452699060573678</c:v>
                </c:pt>
                <c:pt idx="12">
                  <c:v>51.407090648954821</c:v>
                </c:pt>
                <c:pt idx="13">
                  <c:v>55.361482237335963</c:v>
                </c:pt>
                <c:pt idx="14">
                  <c:v>59.315873825717105</c:v>
                </c:pt>
                <c:pt idx="15">
                  <c:v>63.270265414098247</c:v>
                </c:pt>
                <c:pt idx="16">
                  <c:v>67.22465700247939</c:v>
                </c:pt>
                <c:pt idx="17">
                  <c:v>71.179048590860532</c:v>
                </c:pt>
                <c:pt idx="18">
                  <c:v>75.133440179241674</c:v>
                </c:pt>
                <c:pt idx="19">
                  <c:v>79.087831767622816</c:v>
                </c:pt>
                <c:pt idx="20">
                  <c:v>83.042223356003959</c:v>
                </c:pt>
                <c:pt idx="21">
                  <c:v>86.996614944385101</c:v>
                </c:pt>
                <c:pt idx="22">
                  <c:v>90.951006532766243</c:v>
                </c:pt>
                <c:pt idx="23">
                  <c:v>94.905398121147385</c:v>
                </c:pt>
                <c:pt idx="24">
                  <c:v>98.859789709528528</c:v>
                </c:pt>
                <c:pt idx="25">
                  <c:v>102.81418129790967</c:v>
                </c:pt>
                <c:pt idx="26">
                  <c:v>106.76857288629081</c:v>
                </c:pt>
                <c:pt idx="27">
                  <c:v>110.72296447467195</c:v>
                </c:pt>
                <c:pt idx="28">
                  <c:v>114.6773560630531</c:v>
                </c:pt>
                <c:pt idx="29">
                  <c:v>118.63174765143424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C05-49F8-9980-9EDC5F57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Zinc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6824146981626"/>
          <c:y val="0.29480139982502185"/>
          <c:w val="0.25261220472440943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Percolation!$U$29:$U$58</c:f>
              <c:numCache>
                <c:formatCode>#,##0</c:formatCode>
                <c:ptCount val="30"/>
                <c:pt idx="0">
                  <c:v>2241.6999999999998</c:v>
                </c:pt>
                <c:pt idx="1">
                  <c:v>4483.3999999999996</c:v>
                </c:pt>
                <c:pt idx="2">
                  <c:v>6725.0999999999985</c:v>
                </c:pt>
                <c:pt idx="3">
                  <c:v>8966.7999999999993</c:v>
                </c:pt>
                <c:pt idx="4">
                  <c:v>11208.5</c:v>
                </c:pt>
                <c:pt idx="5">
                  <c:v>13450.2</c:v>
                </c:pt>
                <c:pt idx="6">
                  <c:v>15691.900000000001</c:v>
                </c:pt>
                <c:pt idx="7">
                  <c:v>17933.600000000002</c:v>
                </c:pt>
                <c:pt idx="8">
                  <c:v>20175.300000000003</c:v>
                </c:pt>
                <c:pt idx="9">
                  <c:v>22417.000000000004</c:v>
                </c:pt>
                <c:pt idx="10">
                  <c:v>24658.700000000004</c:v>
                </c:pt>
                <c:pt idx="11">
                  <c:v>26900.400000000001</c:v>
                </c:pt>
                <c:pt idx="12">
                  <c:v>29142.1</c:v>
                </c:pt>
                <c:pt idx="13">
                  <c:v>31383.799999999996</c:v>
                </c:pt>
                <c:pt idx="14">
                  <c:v>33625.499999999993</c:v>
                </c:pt>
                <c:pt idx="15">
                  <c:v>35867.19999999999</c:v>
                </c:pt>
                <c:pt idx="16">
                  <c:v>38108.899999999987</c:v>
                </c:pt>
                <c:pt idx="17">
                  <c:v>40350.599999999984</c:v>
                </c:pt>
                <c:pt idx="18">
                  <c:v>42592.299999999981</c:v>
                </c:pt>
                <c:pt idx="19">
                  <c:v>44833.999999999978</c:v>
                </c:pt>
                <c:pt idx="20">
                  <c:v>47075.699999999975</c:v>
                </c:pt>
                <c:pt idx="21">
                  <c:v>49317.39999999998</c:v>
                </c:pt>
                <c:pt idx="22">
                  <c:v>51559.099999999984</c:v>
                </c:pt>
                <c:pt idx="23">
                  <c:v>53800.799999999988</c:v>
                </c:pt>
                <c:pt idx="24">
                  <c:v>56042.499999999993</c:v>
                </c:pt>
                <c:pt idx="25">
                  <c:v>58284.2</c:v>
                </c:pt>
                <c:pt idx="26">
                  <c:v>60525.9</c:v>
                </c:pt>
                <c:pt idx="27">
                  <c:v>62767.600000000006</c:v>
                </c:pt>
                <c:pt idx="28">
                  <c:v>65009.30000000001</c:v>
                </c:pt>
                <c:pt idx="29">
                  <c:v>67251.000000000015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D3-4F6E-95D2-18829C93ECBA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Transport'!$AA$29:$AA$58</c:f>
              <c:numCache>
                <c:formatCode>#,##0.00</c:formatCode>
                <c:ptCount val="30"/>
                <c:pt idx="0">
                  <c:v>0.59881887689589264</c:v>
                </c:pt>
                <c:pt idx="1">
                  <c:v>1.1976377537917853</c:v>
                </c:pt>
                <c:pt idx="2">
                  <c:v>1.7964566306876779</c:v>
                </c:pt>
                <c:pt idx="3">
                  <c:v>2.3952755075835706</c:v>
                </c:pt>
                <c:pt idx="4">
                  <c:v>2.994094384479463</c:v>
                </c:pt>
                <c:pt idx="5">
                  <c:v>3.5929132613753554</c:v>
                </c:pt>
                <c:pt idx="6">
                  <c:v>4.1917321382712478</c:v>
                </c:pt>
                <c:pt idx="7">
                  <c:v>4.7905510151671402</c:v>
                </c:pt>
                <c:pt idx="8">
                  <c:v>5.3893698920630326</c:v>
                </c:pt>
                <c:pt idx="9">
                  <c:v>5.988188768958925</c:v>
                </c:pt>
                <c:pt idx="10">
                  <c:v>6.5870076458548175</c:v>
                </c:pt>
                <c:pt idx="11">
                  <c:v>7.1858265227507099</c:v>
                </c:pt>
                <c:pt idx="12">
                  <c:v>7.7846453996466023</c:v>
                </c:pt>
                <c:pt idx="13">
                  <c:v>8.3834642765424956</c:v>
                </c:pt>
                <c:pt idx="14">
                  <c:v>8.982283153438388</c:v>
                </c:pt>
                <c:pt idx="15">
                  <c:v>9.5811020303342804</c:v>
                </c:pt>
                <c:pt idx="16">
                  <c:v>10.179920907230173</c:v>
                </c:pt>
                <c:pt idx="17">
                  <c:v>10.778739784126065</c:v>
                </c:pt>
                <c:pt idx="18">
                  <c:v>11.377558661021958</c:v>
                </c:pt>
                <c:pt idx="19">
                  <c:v>11.97637753791785</c:v>
                </c:pt>
                <c:pt idx="20">
                  <c:v>12.575196414813743</c:v>
                </c:pt>
                <c:pt idx="21">
                  <c:v>13.174015291709635</c:v>
                </c:pt>
                <c:pt idx="22">
                  <c:v>13.772834168605527</c:v>
                </c:pt>
                <c:pt idx="23">
                  <c:v>14.37165304550142</c:v>
                </c:pt>
                <c:pt idx="24">
                  <c:v>14.970471922397312</c:v>
                </c:pt>
                <c:pt idx="25">
                  <c:v>15.569290799293205</c:v>
                </c:pt>
                <c:pt idx="26">
                  <c:v>16.168109676189097</c:v>
                </c:pt>
                <c:pt idx="27">
                  <c:v>16.766928553084991</c:v>
                </c:pt>
                <c:pt idx="28">
                  <c:v>17.365747429980885</c:v>
                </c:pt>
                <c:pt idx="29">
                  <c:v>17.96456630687678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D3-4F6E-95D2-18829C93ECBA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(Percolation!$T$17,Percolation!$T$17)</c:f>
              <c:numCache>
                <c:formatCode>#,##0</c:formatCode>
                <c:ptCount val="2"/>
                <c:pt idx="0">
                  <c:v>1991475</c:v>
                </c:pt>
                <c:pt idx="1">
                  <c:v>1991475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FB-49D6-987D-F7145A89C542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Transport'!$X$17,'Mass Transport'!$X$17)</c:f>
              <c:numCache>
                <c:formatCode>#,##0</c:formatCode>
                <c:ptCount val="2"/>
                <c:pt idx="0">
                  <c:v>1691760.0000000002</c:v>
                </c:pt>
                <c:pt idx="1">
                  <c:v>1691760.0000000002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B-49D6-987D-F7145A89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Cadmium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573490813648283"/>
          <c:y val="0.67257917760279962"/>
          <c:w val="0.16037620297462815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Percolation!$K$29:$K$58</c:f>
              <c:numCache>
                <c:formatCode>#,##0.0</c:formatCode>
                <c:ptCount val="30"/>
                <c:pt idx="0">
                  <c:v>35.171499999999995</c:v>
                </c:pt>
                <c:pt idx="1">
                  <c:v>70.342999999999989</c:v>
                </c:pt>
                <c:pt idx="2">
                  <c:v>105.51449999999997</c:v>
                </c:pt>
                <c:pt idx="3">
                  <c:v>140.68599999999998</c:v>
                </c:pt>
                <c:pt idx="4">
                  <c:v>175.85749999999999</c:v>
                </c:pt>
                <c:pt idx="5">
                  <c:v>211.029</c:v>
                </c:pt>
                <c:pt idx="6">
                  <c:v>246.20050000000001</c:v>
                </c:pt>
                <c:pt idx="7">
                  <c:v>281.37200000000001</c:v>
                </c:pt>
                <c:pt idx="8">
                  <c:v>316.54349999999999</c:v>
                </c:pt>
                <c:pt idx="9">
                  <c:v>351.71500000000003</c:v>
                </c:pt>
                <c:pt idx="10">
                  <c:v>386.88650000000007</c:v>
                </c:pt>
                <c:pt idx="11">
                  <c:v>422.05800000000005</c:v>
                </c:pt>
                <c:pt idx="12">
                  <c:v>457.22950000000003</c:v>
                </c:pt>
                <c:pt idx="13">
                  <c:v>492.40100000000001</c:v>
                </c:pt>
                <c:pt idx="14">
                  <c:v>527.57249999999999</c:v>
                </c:pt>
                <c:pt idx="15">
                  <c:v>562.74399999999991</c:v>
                </c:pt>
                <c:pt idx="16">
                  <c:v>597.91549999999984</c:v>
                </c:pt>
                <c:pt idx="17">
                  <c:v>633.08699999999976</c:v>
                </c:pt>
                <c:pt idx="18">
                  <c:v>668.25849999999969</c:v>
                </c:pt>
                <c:pt idx="19">
                  <c:v>703.42999999999961</c:v>
                </c:pt>
                <c:pt idx="20">
                  <c:v>738.60149999999953</c:v>
                </c:pt>
                <c:pt idx="21">
                  <c:v>773.77299999999957</c:v>
                </c:pt>
                <c:pt idx="22">
                  <c:v>808.94449999999961</c:v>
                </c:pt>
                <c:pt idx="23">
                  <c:v>844.11599999999964</c:v>
                </c:pt>
                <c:pt idx="24">
                  <c:v>879.28749999999968</c:v>
                </c:pt>
                <c:pt idx="25">
                  <c:v>914.45899999999972</c:v>
                </c:pt>
                <c:pt idx="26">
                  <c:v>949.63049999999976</c:v>
                </c:pt>
                <c:pt idx="27">
                  <c:v>984.80199999999979</c:v>
                </c:pt>
                <c:pt idx="28">
                  <c:v>1019.9734999999998</c:v>
                </c:pt>
                <c:pt idx="29">
                  <c:v>1055.145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26-4607-8FA2-9E8A5579D1CE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Transport'!$M$29:$M$58</c:f>
              <c:numCache>
                <c:formatCode>#,##0.00</c:formatCode>
                <c:ptCount val="30"/>
                <c:pt idx="0">
                  <c:v>0.84089284652322138</c:v>
                </c:pt>
                <c:pt idx="1">
                  <c:v>1.6817856930464428</c:v>
                </c:pt>
                <c:pt idx="2">
                  <c:v>2.522678539569664</c:v>
                </c:pt>
                <c:pt idx="3">
                  <c:v>3.3635713860928855</c:v>
                </c:pt>
                <c:pt idx="4">
                  <c:v>4.2044642326161066</c:v>
                </c:pt>
                <c:pt idx="5">
                  <c:v>5.0453570791393281</c:v>
                </c:pt>
                <c:pt idx="6">
                  <c:v>5.8862499256625496</c:v>
                </c:pt>
                <c:pt idx="7">
                  <c:v>6.7271427721857711</c:v>
                </c:pt>
                <c:pt idx="8">
                  <c:v>7.5680356187089926</c:v>
                </c:pt>
                <c:pt idx="9">
                  <c:v>8.4089284652322132</c:v>
                </c:pt>
                <c:pt idx="10">
                  <c:v>9.2498213117554346</c:v>
                </c:pt>
                <c:pt idx="11">
                  <c:v>10.090714158278656</c:v>
                </c:pt>
                <c:pt idx="12">
                  <c:v>10.931607004801878</c:v>
                </c:pt>
                <c:pt idx="13">
                  <c:v>11.772499851325099</c:v>
                </c:pt>
                <c:pt idx="14">
                  <c:v>12.613392697848321</c:v>
                </c:pt>
                <c:pt idx="15">
                  <c:v>13.454285544371542</c:v>
                </c:pt>
                <c:pt idx="16">
                  <c:v>14.295178390894764</c:v>
                </c:pt>
                <c:pt idx="17">
                  <c:v>15.136071237417985</c:v>
                </c:pt>
                <c:pt idx="18">
                  <c:v>15.976964083941207</c:v>
                </c:pt>
                <c:pt idx="19">
                  <c:v>16.817856930464426</c:v>
                </c:pt>
                <c:pt idx="20">
                  <c:v>17.658749776987648</c:v>
                </c:pt>
                <c:pt idx="21">
                  <c:v>18.499642623510869</c:v>
                </c:pt>
                <c:pt idx="22">
                  <c:v>19.340535470034091</c:v>
                </c:pt>
                <c:pt idx="23">
                  <c:v>20.181428316557312</c:v>
                </c:pt>
                <c:pt idx="24">
                  <c:v>21.022321163080534</c:v>
                </c:pt>
                <c:pt idx="25">
                  <c:v>21.863214009603755</c:v>
                </c:pt>
                <c:pt idx="26">
                  <c:v>22.704106856126977</c:v>
                </c:pt>
                <c:pt idx="27">
                  <c:v>23.544999702650198</c:v>
                </c:pt>
                <c:pt idx="28">
                  <c:v>24.38589254917342</c:v>
                </c:pt>
                <c:pt idx="29">
                  <c:v>25.226785395696641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26-4607-8FA2-9E8A5579D1CE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Percolation!$K$78:$K$107</c:f>
              <c:numCache>
                <c:formatCode>#,##0.0</c:formatCode>
                <c:ptCount val="30"/>
                <c:pt idx="0">
                  <c:v>5.2779999999999996</c:v>
                </c:pt>
                <c:pt idx="1">
                  <c:v>10.555999999999999</c:v>
                </c:pt>
                <c:pt idx="2">
                  <c:v>15.834</c:v>
                </c:pt>
                <c:pt idx="3">
                  <c:v>21.112000000000002</c:v>
                </c:pt>
                <c:pt idx="4">
                  <c:v>26.39</c:v>
                </c:pt>
                <c:pt idx="5">
                  <c:v>31.667999999999999</c:v>
                </c:pt>
                <c:pt idx="6">
                  <c:v>36.945999999999998</c:v>
                </c:pt>
                <c:pt idx="7">
                  <c:v>42.223999999999997</c:v>
                </c:pt>
                <c:pt idx="8">
                  <c:v>47.501999999999995</c:v>
                </c:pt>
                <c:pt idx="9">
                  <c:v>52.779999999999994</c:v>
                </c:pt>
                <c:pt idx="10">
                  <c:v>58.057999999999993</c:v>
                </c:pt>
                <c:pt idx="11">
                  <c:v>63.335999999999991</c:v>
                </c:pt>
                <c:pt idx="12">
                  <c:v>68.61399999999999</c:v>
                </c:pt>
                <c:pt idx="13">
                  <c:v>73.891999999999996</c:v>
                </c:pt>
                <c:pt idx="14">
                  <c:v>79.17</c:v>
                </c:pt>
                <c:pt idx="15">
                  <c:v>84.448000000000008</c:v>
                </c:pt>
                <c:pt idx="16">
                  <c:v>89.726000000000013</c:v>
                </c:pt>
                <c:pt idx="17">
                  <c:v>95.004000000000005</c:v>
                </c:pt>
                <c:pt idx="18">
                  <c:v>100.282</c:v>
                </c:pt>
                <c:pt idx="19">
                  <c:v>105.55999999999999</c:v>
                </c:pt>
                <c:pt idx="20">
                  <c:v>110.83799999999998</c:v>
                </c:pt>
                <c:pt idx="21">
                  <c:v>116.11599999999997</c:v>
                </c:pt>
                <c:pt idx="22">
                  <c:v>121.39399999999996</c:v>
                </c:pt>
                <c:pt idx="23">
                  <c:v>126.67199999999995</c:v>
                </c:pt>
                <c:pt idx="24">
                  <c:v>131.94999999999993</c:v>
                </c:pt>
                <c:pt idx="25">
                  <c:v>137.22799999999992</c:v>
                </c:pt>
                <c:pt idx="26">
                  <c:v>142.50599999999991</c:v>
                </c:pt>
                <c:pt idx="27">
                  <c:v>147.78399999999991</c:v>
                </c:pt>
                <c:pt idx="28">
                  <c:v>153.0619999999999</c:v>
                </c:pt>
                <c:pt idx="29">
                  <c:v>158.33999999999989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26-4607-8FA2-9E8A5579D1CE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Transport'!$M$83:$M$112</c:f>
              <c:numCache>
                <c:formatCode>#,##0.00</c:formatCode>
                <c:ptCount val="30"/>
                <c:pt idx="0">
                  <c:v>0.39755375870419202</c:v>
                </c:pt>
                <c:pt idx="1">
                  <c:v>0.79510751740838403</c:v>
                </c:pt>
                <c:pt idx="2">
                  <c:v>1.1926612761125761</c:v>
                </c:pt>
                <c:pt idx="3">
                  <c:v>1.5902150348167681</c:v>
                </c:pt>
                <c:pt idx="4">
                  <c:v>1.98776879352096</c:v>
                </c:pt>
                <c:pt idx="5">
                  <c:v>2.3853225522251522</c:v>
                </c:pt>
                <c:pt idx="6">
                  <c:v>2.7828763109293444</c:v>
                </c:pt>
                <c:pt idx="7">
                  <c:v>3.1804300696335366</c:v>
                </c:pt>
                <c:pt idx="8">
                  <c:v>3.5779838283377288</c:v>
                </c:pt>
                <c:pt idx="9">
                  <c:v>3.975537587041921</c:v>
                </c:pt>
                <c:pt idx="10">
                  <c:v>4.3730913457461131</c:v>
                </c:pt>
                <c:pt idx="11">
                  <c:v>4.7706451044503053</c:v>
                </c:pt>
                <c:pt idx="12">
                  <c:v>5.1681988631544975</c:v>
                </c:pt>
                <c:pt idx="13">
                  <c:v>5.5657526218586897</c:v>
                </c:pt>
                <c:pt idx="14">
                  <c:v>5.9633063805628819</c:v>
                </c:pt>
                <c:pt idx="15">
                  <c:v>6.3608601392670741</c:v>
                </c:pt>
                <c:pt idx="16">
                  <c:v>6.7584138979712662</c:v>
                </c:pt>
                <c:pt idx="17">
                  <c:v>7.1559676566754584</c:v>
                </c:pt>
                <c:pt idx="18">
                  <c:v>7.5535214153796506</c:v>
                </c:pt>
                <c:pt idx="19">
                  <c:v>7.9510751740838428</c:v>
                </c:pt>
                <c:pt idx="20">
                  <c:v>8.348628932788035</c:v>
                </c:pt>
                <c:pt idx="21">
                  <c:v>8.7461826914922263</c:v>
                </c:pt>
                <c:pt idx="22">
                  <c:v>9.1437364501964176</c:v>
                </c:pt>
                <c:pt idx="23">
                  <c:v>9.5412902089006089</c:v>
                </c:pt>
                <c:pt idx="24">
                  <c:v>9.9388439676048002</c:v>
                </c:pt>
                <c:pt idx="25">
                  <c:v>10.336397726308991</c:v>
                </c:pt>
                <c:pt idx="26">
                  <c:v>10.733951485013183</c:v>
                </c:pt>
                <c:pt idx="27">
                  <c:v>11.131505243717374</c:v>
                </c:pt>
                <c:pt idx="28">
                  <c:v>11.529059002421565</c:v>
                </c:pt>
                <c:pt idx="29">
                  <c:v>11.926612761125757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26-4607-8FA2-9E8A5579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Antimony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29046369203849"/>
          <c:y val="0.58369028871391071"/>
          <c:w val="0.24705664916885384"/>
          <c:h val="0.19258512685914256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Percolation!$P$29:$P$58</c:f>
              <c:numCache>
                <c:formatCode>#,##0.0</c:formatCode>
                <c:ptCount val="30"/>
                <c:pt idx="0">
                  <c:v>17.779</c:v>
                </c:pt>
                <c:pt idx="1">
                  <c:v>35.558</c:v>
                </c:pt>
                <c:pt idx="2">
                  <c:v>53.336999999999989</c:v>
                </c:pt>
                <c:pt idx="3">
                  <c:v>71.115999999999985</c:v>
                </c:pt>
                <c:pt idx="4">
                  <c:v>88.894999999999982</c:v>
                </c:pt>
                <c:pt idx="5">
                  <c:v>106.67399999999998</c:v>
                </c:pt>
                <c:pt idx="6">
                  <c:v>124.45299999999997</c:v>
                </c:pt>
                <c:pt idx="7">
                  <c:v>142.23199999999997</c:v>
                </c:pt>
                <c:pt idx="8">
                  <c:v>160.01099999999997</c:v>
                </c:pt>
                <c:pt idx="9">
                  <c:v>177.78999999999996</c:v>
                </c:pt>
                <c:pt idx="10">
                  <c:v>195.56899999999996</c:v>
                </c:pt>
                <c:pt idx="11">
                  <c:v>213.34799999999996</c:v>
                </c:pt>
                <c:pt idx="12">
                  <c:v>231.12699999999995</c:v>
                </c:pt>
                <c:pt idx="13">
                  <c:v>248.90599999999995</c:v>
                </c:pt>
                <c:pt idx="14">
                  <c:v>266.68499999999995</c:v>
                </c:pt>
                <c:pt idx="15">
                  <c:v>284.46399999999994</c:v>
                </c:pt>
                <c:pt idx="16">
                  <c:v>302.24299999999994</c:v>
                </c:pt>
                <c:pt idx="17">
                  <c:v>320.02199999999993</c:v>
                </c:pt>
                <c:pt idx="18">
                  <c:v>337.80099999999993</c:v>
                </c:pt>
                <c:pt idx="19">
                  <c:v>355.57999999999993</c:v>
                </c:pt>
                <c:pt idx="20">
                  <c:v>373.35899999999992</c:v>
                </c:pt>
                <c:pt idx="21">
                  <c:v>391.13799999999992</c:v>
                </c:pt>
                <c:pt idx="22">
                  <c:v>408.91699999999992</c:v>
                </c:pt>
                <c:pt idx="23">
                  <c:v>426.69599999999991</c:v>
                </c:pt>
                <c:pt idx="24">
                  <c:v>444.47499999999991</c:v>
                </c:pt>
                <c:pt idx="25">
                  <c:v>462.25399999999991</c:v>
                </c:pt>
                <c:pt idx="26">
                  <c:v>480.0329999999999</c:v>
                </c:pt>
                <c:pt idx="27">
                  <c:v>497.8119999999999</c:v>
                </c:pt>
                <c:pt idx="28">
                  <c:v>515.59099999999989</c:v>
                </c:pt>
                <c:pt idx="29">
                  <c:v>533.36999999999989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26-4607-8FA2-9E8A5579D1CE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Transport'!$T$29:$T$58</c:f>
              <c:numCache>
                <c:formatCode>#,##0.00</c:formatCode>
                <c:ptCount val="30"/>
                <c:pt idx="0">
                  <c:v>7.7523896816775002</c:v>
                </c:pt>
                <c:pt idx="1">
                  <c:v>15.504779363355</c:v>
                </c:pt>
                <c:pt idx="2">
                  <c:v>23.257169045032501</c:v>
                </c:pt>
                <c:pt idx="3">
                  <c:v>31.009558726710001</c:v>
                </c:pt>
                <c:pt idx="4">
                  <c:v>38.761948408387504</c:v>
                </c:pt>
                <c:pt idx="5">
                  <c:v>46.514338090065003</c:v>
                </c:pt>
                <c:pt idx="6">
                  <c:v>54.266727771742502</c:v>
                </c:pt>
                <c:pt idx="7">
                  <c:v>62.019117453420002</c:v>
                </c:pt>
                <c:pt idx="8">
                  <c:v>69.771507135097508</c:v>
                </c:pt>
                <c:pt idx="9">
                  <c:v>77.523896816775007</c:v>
                </c:pt>
                <c:pt idx="10">
                  <c:v>85.276286498452507</c:v>
                </c:pt>
                <c:pt idx="11">
                  <c:v>93.028676180130006</c:v>
                </c:pt>
                <c:pt idx="12">
                  <c:v>100.78106586180751</c:v>
                </c:pt>
                <c:pt idx="13">
                  <c:v>108.533455543485</c:v>
                </c:pt>
                <c:pt idx="14">
                  <c:v>116.2858452251625</c:v>
                </c:pt>
                <c:pt idx="15">
                  <c:v>124.03823490684</c:v>
                </c:pt>
                <c:pt idx="16">
                  <c:v>131.79062458851752</c:v>
                </c:pt>
                <c:pt idx="17">
                  <c:v>139.54301427019502</c:v>
                </c:pt>
                <c:pt idx="18">
                  <c:v>147.29540395187252</c:v>
                </c:pt>
                <c:pt idx="19">
                  <c:v>155.04779363355001</c:v>
                </c:pt>
                <c:pt idx="20">
                  <c:v>162.80018331522751</c:v>
                </c:pt>
                <c:pt idx="21">
                  <c:v>170.55257299690501</c:v>
                </c:pt>
                <c:pt idx="22">
                  <c:v>178.30496267858251</c:v>
                </c:pt>
                <c:pt idx="23">
                  <c:v>186.05735236026001</c:v>
                </c:pt>
                <c:pt idx="24">
                  <c:v>193.80974204193751</c:v>
                </c:pt>
                <c:pt idx="25">
                  <c:v>201.56213172361501</c:v>
                </c:pt>
                <c:pt idx="26">
                  <c:v>209.31452140529251</c:v>
                </c:pt>
                <c:pt idx="27">
                  <c:v>217.06691108697001</c:v>
                </c:pt>
                <c:pt idx="28">
                  <c:v>224.81930076864751</c:v>
                </c:pt>
                <c:pt idx="29">
                  <c:v>232.57169045032501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26-4607-8FA2-9E8A5579D1CE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Percolation!$P$78:$P$107</c:f>
              <c:numCache>
                <c:formatCode>#,##0.0</c:formatCode>
                <c:ptCount val="30"/>
                <c:pt idx="0">
                  <c:v>2.6680000000000001</c:v>
                </c:pt>
                <c:pt idx="1">
                  <c:v>5.3360000000000003</c:v>
                </c:pt>
                <c:pt idx="2">
                  <c:v>8.0039999999999996</c:v>
                </c:pt>
                <c:pt idx="3">
                  <c:v>10.672000000000001</c:v>
                </c:pt>
                <c:pt idx="4">
                  <c:v>13.34</c:v>
                </c:pt>
                <c:pt idx="5">
                  <c:v>16.007999999999999</c:v>
                </c:pt>
                <c:pt idx="6">
                  <c:v>18.675999999999998</c:v>
                </c:pt>
                <c:pt idx="7">
                  <c:v>21.343999999999998</c:v>
                </c:pt>
                <c:pt idx="8">
                  <c:v>24.011999999999997</c:v>
                </c:pt>
                <c:pt idx="9">
                  <c:v>26.679999999999996</c:v>
                </c:pt>
                <c:pt idx="10">
                  <c:v>29.347999999999995</c:v>
                </c:pt>
                <c:pt idx="11">
                  <c:v>32.015999999999998</c:v>
                </c:pt>
                <c:pt idx="12">
                  <c:v>34.683999999999997</c:v>
                </c:pt>
                <c:pt idx="13">
                  <c:v>37.351999999999997</c:v>
                </c:pt>
                <c:pt idx="14">
                  <c:v>40.019999999999996</c:v>
                </c:pt>
                <c:pt idx="15">
                  <c:v>42.687999999999995</c:v>
                </c:pt>
                <c:pt idx="16">
                  <c:v>45.355999999999995</c:v>
                </c:pt>
                <c:pt idx="17">
                  <c:v>48.023999999999987</c:v>
                </c:pt>
                <c:pt idx="18">
                  <c:v>50.691999999999979</c:v>
                </c:pt>
                <c:pt idx="19">
                  <c:v>53.359999999999971</c:v>
                </c:pt>
                <c:pt idx="20">
                  <c:v>56.027999999999963</c:v>
                </c:pt>
                <c:pt idx="21">
                  <c:v>58.695999999999955</c:v>
                </c:pt>
                <c:pt idx="22">
                  <c:v>61.363999999999947</c:v>
                </c:pt>
                <c:pt idx="23">
                  <c:v>64.03199999999994</c:v>
                </c:pt>
                <c:pt idx="24">
                  <c:v>66.699999999999932</c:v>
                </c:pt>
                <c:pt idx="25">
                  <c:v>69.367999999999924</c:v>
                </c:pt>
                <c:pt idx="26">
                  <c:v>72.035999999999916</c:v>
                </c:pt>
                <c:pt idx="27">
                  <c:v>74.703999999999908</c:v>
                </c:pt>
                <c:pt idx="28">
                  <c:v>77.3719999999999</c:v>
                </c:pt>
                <c:pt idx="29">
                  <c:v>80.039999999999893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26-4607-8FA2-9E8A5579D1CE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Transport'!$T$83:$T$112</c:f>
              <c:numCache>
                <c:formatCode>#,##0.00</c:formatCode>
                <c:ptCount val="30"/>
                <c:pt idx="0">
                  <c:v>3.6996917636167872</c:v>
                </c:pt>
                <c:pt idx="1">
                  <c:v>7.3993835272335744</c:v>
                </c:pt>
                <c:pt idx="2">
                  <c:v>11.099075290850362</c:v>
                </c:pt>
                <c:pt idx="3">
                  <c:v>14.798767054467149</c:v>
                </c:pt>
                <c:pt idx="4">
                  <c:v>18.498458818083936</c:v>
                </c:pt>
                <c:pt idx="5">
                  <c:v>22.198150581700723</c:v>
                </c:pt>
                <c:pt idx="6">
                  <c:v>25.89784234531751</c:v>
                </c:pt>
                <c:pt idx="7">
                  <c:v>29.597534108934298</c:v>
                </c:pt>
                <c:pt idx="8">
                  <c:v>33.297225872551081</c:v>
                </c:pt>
                <c:pt idx="9">
                  <c:v>36.996917636167865</c:v>
                </c:pt>
                <c:pt idx="10">
                  <c:v>40.696609399784649</c:v>
                </c:pt>
                <c:pt idx="11">
                  <c:v>44.396301163401432</c:v>
                </c:pt>
                <c:pt idx="12">
                  <c:v>48.095992927018216</c:v>
                </c:pt>
                <c:pt idx="13">
                  <c:v>51.795684690634999</c:v>
                </c:pt>
                <c:pt idx="14">
                  <c:v>55.495376454251783</c:v>
                </c:pt>
                <c:pt idx="15">
                  <c:v>59.195068217868567</c:v>
                </c:pt>
                <c:pt idx="16">
                  <c:v>62.89475998148535</c:v>
                </c:pt>
                <c:pt idx="17">
                  <c:v>66.594451745102134</c:v>
                </c:pt>
                <c:pt idx="18">
                  <c:v>70.294143508718918</c:v>
                </c:pt>
                <c:pt idx="19">
                  <c:v>73.993835272335701</c:v>
                </c:pt>
                <c:pt idx="20">
                  <c:v>77.693527035952485</c:v>
                </c:pt>
                <c:pt idx="21">
                  <c:v>81.393218799569269</c:v>
                </c:pt>
                <c:pt idx="22">
                  <c:v>85.092910563186052</c:v>
                </c:pt>
                <c:pt idx="23">
                  <c:v>88.792602326802836</c:v>
                </c:pt>
                <c:pt idx="24">
                  <c:v>92.49229409041962</c:v>
                </c:pt>
                <c:pt idx="25">
                  <c:v>96.191985854036403</c:v>
                </c:pt>
                <c:pt idx="26">
                  <c:v>99.891677617653187</c:v>
                </c:pt>
                <c:pt idx="27">
                  <c:v>103.59136938126997</c:v>
                </c:pt>
                <c:pt idx="28">
                  <c:v>107.29106114488675</c:v>
                </c:pt>
                <c:pt idx="29">
                  <c:v>110.99075290850354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26-4607-8FA2-9E8A5579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Arsenic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18460192475939"/>
          <c:y val="0.56768016569974866"/>
          <c:w val="0.26650109361329832"/>
          <c:h val="0.20859523323273352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Scenario_Graphs!$AC$2</c:f>
              <c:strCache>
                <c:ptCount val="1"/>
                <c:pt idx="0">
                  <c:v>CFS (wet)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Percolation!$U$29:$U$58</c:f>
              <c:numCache>
                <c:formatCode>#,##0</c:formatCode>
                <c:ptCount val="30"/>
                <c:pt idx="0">
                  <c:v>2241.6999999999998</c:v>
                </c:pt>
                <c:pt idx="1">
                  <c:v>4483.3999999999996</c:v>
                </c:pt>
                <c:pt idx="2">
                  <c:v>6725.0999999999985</c:v>
                </c:pt>
                <c:pt idx="3">
                  <c:v>8966.7999999999993</c:v>
                </c:pt>
                <c:pt idx="4">
                  <c:v>11208.5</c:v>
                </c:pt>
                <c:pt idx="5">
                  <c:v>13450.2</c:v>
                </c:pt>
                <c:pt idx="6">
                  <c:v>15691.900000000001</c:v>
                </c:pt>
                <c:pt idx="7">
                  <c:v>17933.600000000002</c:v>
                </c:pt>
                <c:pt idx="8">
                  <c:v>20175.300000000003</c:v>
                </c:pt>
                <c:pt idx="9">
                  <c:v>22417.000000000004</c:v>
                </c:pt>
                <c:pt idx="10">
                  <c:v>24658.700000000004</c:v>
                </c:pt>
                <c:pt idx="11">
                  <c:v>26900.400000000001</c:v>
                </c:pt>
                <c:pt idx="12">
                  <c:v>29142.1</c:v>
                </c:pt>
                <c:pt idx="13">
                  <c:v>31383.799999999996</c:v>
                </c:pt>
                <c:pt idx="14">
                  <c:v>33625.499999999993</c:v>
                </c:pt>
                <c:pt idx="15">
                  <c:v>35867.19999999999</c:v>
                </c:pt>
                <c:pt idx="16">
                  <c:v>38108.899999999987</c:v>
                </c:pt>
                <c:pt idx="17">
                  <c:v>40350.599999999984</c:v>
                </c:pt>
                <c:pt idx="18">
                  <c:v>42592.299999999981</c:v>
                </c:pt>
                <c:pt idx="19">
                  <c:v>44833.999999999978</c:v>
                </c:pt>
                <c:pt idx="20">
                  <c:v>47075.699999999975</c:v>
                </c:pt>
                <c:pt idx="21">
                  <c:v>49317.39999999998</c:v>
                </c:pt>
                <c:pt idx="22">
                  <c:v>51559.099999999984</c:v>
                </c:pt>
                <c:pt idx="23">
                  <c:v>53800.799999999988</c:v>
                </c:pt>
                <c:pt idx="24">
                  <c:v>56042.499999999993</c:v>
                </c:pt>
                <c:pt idx="25">
                  <c:v>58284.2</c:v>
                </c:pt>
                <c:pt idx="26">
                  <c:v>60525.9</c:v>
                </c:pt>
                <c:pt idx="27">
                  <c:v>62767.600000000006</c:v>
                </c:pt>
                <c:pt idx="28">
                  <c:v>65009.30000000001</c:v>
                </c:pt>
                <c:pt idx="29">
                  <c:v>67251.000000000015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26-4607-8FA2-9E8A5579D1CE}"/>
            </c:ext>
          </c:extLst>
        </c:ser>
        <c:ser>
          <c:idx val="1"/>
          <c:order val="1"/>
          <c:tx>
            <c:strRef>
              <c:f>Scenario_Graphs!$AC$3</c:f>
              <c:strCache>
                <c:ptCount val="1"/>
                <c:pt idx="0">
                  <c:v>S/S-CFS (wet)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Transport'!$AA$29:$AA$58</c:f>
              <c:numCache>
                <c:formatCode>#,##0.00</c:formatCode>
                <c:ptCount val="30"/>
                <c:pt idx="0">
                  <c:v>0.59881887689589264</c:v>
                </c:pt>
                <c:pt idx="1">
                  <c:v>1.1976377537917853</c:v>
                </c:pt>
                <c:pt idx="2">
                  <c:v>1.7964566306876779</c:v>
                </c:pt>
                <c:pt idx="3">
                  <c:v>2.3952755075835706</c:v>
                </c:pt>
                <c:pt idx="4">
                  <c:v>2.994094384479463</c:v>
                </c:pt>
                <c:pt idx="5">
                  <c:v>3.5929132613753554</c:v>
                </c:pt>
                <c:pt idx="6">
                  <c:v>4.1917321382712478</c:v>
                </c:pt>
                <c:pt idx="7">
                  <c:v>4.7905510151671402</c:v>
                </c:pt>
                <c:pt idx="8">
                  <c:v>5.3893698920630326</c:v>
                </c:pt>
                <c:pt idx="9">
                  <c:v>5.988188768958925</c:v>
                </c:pt>
                <c:pt idx="10">
                  <c:v>6.5870076458548175</c:v>
                </c:pt>
                <c:pt idx="11">
                  <c:v>7.1858265227507099</c:v>
                </c:pt>
                <c:pt idx="12">
                  <c:v>7.7846453996466023</c:v>
                </c:pt>
                <c:pt idx="13">
                  <c:v>8.3834642765424956</c:v>
                </c:pt>
                <c:pt idx="14">
                  <c:v>8.982283153438388</c:v>
                </c:pt>
                <c:pt idx="15">
                  <c:v>9.5811020303342804</c:v>
                </c:pt>
                <c:pt idx="16">
                  <c:v>10.179920907230173</c:v>
                </c:pt>
                <c:pt idx="17">
                  <c:v>10.778739784126065</c:v>
                </c:pt>
                <c:pt idx="18">
                  <c:v>11.377558661021958</c:v>
                </c:pt>
                <c:pt idx="19">
                  <c:v>11.97637753791785</c:v>
                </c:pt>
                <c:pt idx="20">
                  <c:v>12.575196414813743</c:v>
                </c:pt>
                <c:pt idx="21">
                  <c:v>13.174015291709635</c:v>
                </c:pt>
                <c:pt idx="22">
                  <c:v>13.772834168605527</c:v>
                </c:pt>
                <c:pt idx="23">
                  <c:v>14.37165304550142</c:v>
                </c:pt>
                <c:pt idx="24">
                  <c:v>14.970471922397312</c:v>
                </c:pt>
                <c:pt idx="25">
                  <c:v>15.569290799293205</c:v>
                </c:pt>
                <c:pt idx="26">
                  <c:v>16.168109676189097</c:v>
                </c:pt>
                <c:pt idx="27">
                  <c:v>16.766928553084991</c:v>
                </c:pt>
                <c:pt idx="28">
                  <c:v>17.365747429980885</c:v>
                </c:pt>
                <c:pt idx="29">
                  <c:v>17.96456630687678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26-4607-8FA2-9E8A5579D1CE}"/>
            </c:ext>
          </c:extLst>
        </c:ser>
        <c:ser>
          <c:idx val="4"/>
          <c:order val="2"/>
          <c:tx>
            <c:strRef>
              <c:f>Scenario_Graphs!$AC$4</c:f>
              <c:strCache>
                <c:ptCount val="1"/>
                <c:pt idx="0">
                  <c:v>CFS (dry)</c:v>
                </c:pt>
              </c:strCache>
            </c:strRef>
          </c:tx>
          <c:spPr>
            <a:ln>
              <a:solidFill>
                <a:srgbClr val="FF0000"/>
              </a:solidFill>
              <a:prstDash val="lgDashDot"/>
            </a:ln>
          </c:spPr>
          <c:marker>
            <c:symbol val="none"/>
          </c:marker>
          <c:xVal>
            <c:numRef>
              <c:f>Percolation!$B$78:$B$107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Percolation!$U$78:$U$107</c:f>
              <c:numCache>
                <c:formatCode>#,##0</c:formatCode>
                <c:ptCount val="30"/>
                <c:pt idx="0">
                  <c:v>336.4</c:v>
                </c:pt>
                <c:pt idx="1">
                  <c:v>672.8</c:v>
                </c:pt>
                <c:pt idx="2">
                  <c:v>1009.1999999999999</c:v>
                </c:pt>
                <c:pt idx="3">
                  <c:v>1345.6</c:v>
                </c:pt>
                <c:pt idx="4">
                  <c:v>1681.9999999999998</c:v>
                </c:pt>
                <c:pt idx="5">
                  <c:v>2018.3999999999996</c:v>
                </c:pt>
                <c:pt idx="6">
                  <c:v>2354.7999999999997</c:v>
                </c:pt>
                <c:pt idx="7">
                  <c:v>2691.2</c:v>
                </c:pt>
                <c:pt idx="8">
                  <c:v>3027.5999999999995</c:v>
                </c:pt>
                <c:pt idx="9">
                  <c:v>3363.9999999999995</c:v>
                </c:pt>
                <c:pt idx="10">
                  <c:v>3700.3999999999996</c:v>
                </c:pt>
                <c:pt idx="11">
                  <c:v>4036.7999999999997</c:v>
                </c:pt>
                <c:pt idx="12">
                  <c:v>4373.2</c:v>
                </c:pt>
                <c:pt idx="13">
                  <c:v>4709.5999999999995</c:v>
                </c:pt>
                <c:pt idx="14">
                  <c:v>5045.9999999999991</c:v>
                </c:pt>
                <c:pt idx="15">
                  <c:v>5382.3999999999987</c:v>
                </c:pt>
                <c:pt idx="16">
                  <c:v>5718.7999999999984</c:v>
                </c:pt>
                <c:pt idx="17">
                  <c:v>6055.199999999998</c:v>
                </c:pt>
                <c:pt idx="18">
                  <c:v>6391.5999999999976</c:v>
                </c:pt>
                <c:pt idx="19">
                  <c:v>6727.9999999999973</c:v>
                </c:pt>
                <c:pt idx="20">
                  <c:v>7064.3999999999969</c:v>
                </c:pt>
                <c:pt idx="21">
                  <c:v>7400.7999999999965</c:v>
                </c:pt>
                <c:pt idx="22">
                  <c:v>7737.1999999999962</c:v>
                </c:pt>
                <c:pt idx="23">
                  <c:v>8073.5999999999958</c:v>
                </c:pt>
                <c:pt idx="24">
                  <c:v>8409.9999999999945</c:v>
                </c:pt>
                <c:pt idx="25">
                  <c:v>8746.3999999999942</c:v>
                </c:pt>
                <c:pt idx="26">
                  <c:v>9082.7999999999938</c:v>
                </c:pt>
                <c:pt idx="27">
                  <c:v>9419.1999999999935</c:v>
                </c:pt>
                <c:pt idx="28">
                  <c:v>9755.5999999999931</c:v>
                </c:pt>
                <c:pt idx="29">
                  <c:v>10091.999999999993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26-4607-8FA2-9E8A5579D1CE}"/>
            </c:ext>
          </c:extLst>
        </c:ser>
        <c:ser>
          <c:idx val="5"/>
          <c:order val="3"/>
          <c:tx>
            <c:strRef>
              <c:f>Scenario_Graphs!$AC$5</c:f>
              <c:strCache>
                <c:ptCount val="1"/>
                <c:pt idx="0">
                  <c:v>S/S-CFS (dry)</c:v>
                </c:pt>
              </c:strCache>
            </c:strRef>
          </c:tx>
          <c:spPr>
            <a:ln>
              <a:solidFill>
                <a:srgbClr val="0033CC"/>
              </a:solidFill>
              <a:prstDash val="lgDashDot"/>
            </a:ln>
          </c:spPr>
          <c:marker>
            <c:symbol val="none"/>
          </c:marker>
          <c:xVal>
            <c:numRef>
              <c:f>'Mass Transport'!$C$83:$C$112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Transport'!$AA$83:$AA$112</c:f>
              <c:numCache>
                <c:formatCode>#,##0.00</c:formatCode>
                <c:ptCount val="30"/>
                <c:pt idx="0">
                  <c:v>0.28580250523142242</c:v>
                </c:pt>
                <c:pt idx="1">
                  <c:v>0.57160501046284484</c:v>
                </c:pt>
                <c:pt idx="2">
                  <c:v>0.85740751569426732</c:v>
                </c:pt>
                <c:pt idx="3">
                  <c:v>1.1432100209256897</c:v>
                </c:pt>
                <c:pt idx="4">
                  <c:v>1.4290125261571121</c:v>
                </c:pt>
                <c:pt idx="5">
                  <c:v>1.7148150313885344</c:v>
                </c:pt>
                <c:pt idx="6">
                  <c:v>2.000617536619957</c:v>
                </c:pt>
                <c:pt idx="7">
                  <c:v>2.2864200418513794</c:v>
                </c:pt>
                <c:pt idx="8">
                  <c:v>2.5722225470828017</c:v>
                </c:pt>
                <c:pt idx="9">
                  <c:v>2.8580250523142241</c:v>
                </c:pt>
                <c:pt idx="10">
                  <c:v>3.1438275575456465</c:v>
                </c:pt>
                <c:pt idx="11">
                  <c:v>3.4296300627770688</c:v>
                </c:pt>
                <c:pt idx="12">
                  <c:v>3.7154325680084912</c:v>
                </c:pt>
                <c:pt idx="13">
                  <c:v>4.001235073239914</c:v>
                </c:pt>
                <c:pt idx="14">
                  <c:v>4.2870375784713364</c:v>
                </c:pt>
                <c:pt idx="15">
                  <c:v>4.5728400837027587</c:v>
                </c:pt>
                <c:pt idx="16">
                  <c:v>4.8586425889341811</c:v>
                </c:pt>
                <c:pt idx="17">
                  <c:v>5.1444450941656035</c:v>
                </c:pt>
                <c:pt idx="18">
                  <c:v>5.4302475993970258</c:v>
                </c:pt>
                <c:pt idx="19">
                  <c:v>5.7160501046284482</c:v>
                </c:pt>
                <c:pt idx="20">
                  <c:v>6.0018526098598706</c:v>
                </c:pt>
                <c:pt idx="21">
                  <c:v>6.2876551150912929</c:v>
                </c:pt>
                <c:pt idx="22">
                  <c:v>6.5734576203227153</c:v>
                </c:pt>
                <c:pt idx="23">
                  <c:v>6.8592601255541377</c:v>
                </c:pt>
                <c:pt idx="24">
                  <c:v>7.14506263078556</c:v>
                </c:pt>
                <c:pt idx="25">
                  <c:v>7.4308651360169824</c:v>
                </c:pt>
                <c:pt idx="26">
                  <c:v>7.7166676412484048</c:v>
                </c:pt>
                <c:pt idx="27">
                  <c:v>8.002470146479828</c:v>
                </c:pt>
                <c:pt idx="28">
                  <c:v>8.2882726517112513</c:v>
                </c:pt>
                <c:pt idx="29">
                  <c:v>8.5740751569426745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F26-4607-8FA2-9E8A5579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(years)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Cadmium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#,##0.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90838543556042"/>
          <c:y val="0.28146806649168848"/>
          <c:w val="0.26121664923998322"/>
          <c:h val="0.21259779487218278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Percolation!$Z$29:$Z$58</c:f>
              <c:numCache>
                <c:formatCode>#,##0</c:formatCode>
                <c:ptCount val="30"/>
                <c:pt idx="0">
                  <c:v>287375.83317869873</c:v>
                </c:pt>
                <c:pt idx="1">
                  <c:v>574751.66635739745</c:v>
                </c:pt>
                <c:pt idx="2">
                  <c:v>589039.93028883508</c:v>
                </c:pt>
                <c:pt idx="3">
                  <c:v>603328.19422027271</c:v>
                </c:pt>
                <c:pt idx="4">
                  <c:v>617616.45815171034</c:v>
                </c:pt>
                <c:pt idx="5">
                  <c:v>621820.71583421237</c:v>
                </c:pt>
                <c:pt idx="6">
                  <c:v>626024.97351671441</c:v>
                </c:pt>
                <c:pt idx="7">
                  <c:v>630229.23119921645</c:v>
                </c:pt>
                <c:pt idx="8">
                  <c:v>634433.48888171848</c:v>
                </c:pt>
                <c:pt idx="9">
                  <c:v>638637.74656422052</c:v>
                </c:pt>
                <c:pt idx="10">
                  <c:v>641094.16696302476</c:v>
                </c:pt>
                <c:pt idx="11">
                  <c:v>643550.58736182901</c:v>
                </c:pt>
                <c:pt idx="12">
                  <c:v>646007.00776063325</c:v>
                </c:pt>
                <c:pt idx="13">
                  <c:v>648463.42815943749</c:v>
                </c:pt>
                <c:pt idx="14">
                  <c:v>650919.84855824173</c:v>
                </c:pt>
                <c:pt idx="15">
                  <c:v>652730.37260943116</c:v>
                </c:pt>
                <c:pt idx="16">
                  <c:v>654540.89666062058</c:v>
                </c:pt>
                <c:pt idx="17">
                  <c:v>656351.42071181</c:v>
                </c:pt>
                <c:pt idx="18">
                  <c:v>658161.94476299942</c:v>
                </c:pt>
                <c:pt idx="19">
                  <c:v>659972.46881418885</c:v>
                </c:pt>
                <c:pt idx="20">
                  <c:v>661007.38484094909</c:v>
                </c:pt>
                <c:pt idx="21">
                  <c:v>662042.30086770933</c:v>
                </c:pt>
                <c:pt idx="22">
                  <c:v>663077.21689446957</c:v>
                </c:pt>
                <c:pt idx="23">
                  <c:v>664112.13292122982</c:v>
                </c:pt>
                <c:pt idx="24">
                  <c:v>665147.04894799006</c:v>
                </c:pt>
                <c:pt idx="25">
                  <c:v>666181.9649747503</c:v>
                </c:pt>
                <c:pt idx="26">
                  <c:v>667216.88100151054</c:v>
                </c:pt>
                <c:pt idx="27">
                  <c:v>668251.79702827078</c:v>
                </c:pt>
                <c:pt idx="28">
                  <c:v>669286.71305503102</c:v>
                </c:pt>
                <c:pt idx="29">
                  <c:v>670321.62908179127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4-4201-8364-862AA1022572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Transport'!$AH$29:$AH$58</c:f>
              <c:numCache>
                <c:formatCode>#,##0</c:formatCode>
                <c:ptCount val="30"/>
                <c:pt idx="0">
                  <c:v>15069.75</c:v>
                </c:pt>
                <c:pt idx="1">
                  <c:v>30139.5</c:v>
                </c:pt>
                <c:pt idx="2">
                  <c:v>45209.25</c:v>
                </c:pt>
                <c:pt idx="3">
                  <c:v>60279</c:v>
                </c:pt>
                <c:pt idx="4">
                  <c:v>75348.75</c:v>
                </c:pt>
                <c:pt idx="5">
                  <c:v>90418.5</c:v>
                </c:pt>
                <c:pt idx="6">
                  <c:v>105488.25</c:v>
                </c:pt>
                <c:pt idx="7">
                  <c:v>120558</c:v>
                </c:pt>
                <c:pt idx="8">
                  <c:v>135627.75</c:v>
                </c:pt>
                <c:pt idx="9">
                  <c:v>150697.5</c:v>
                </c:pt>
                <c:pt idx="10">
                  <c:v>165767.25</c:v>
                </c:pt>
                <c:pt idx="11">
                  <c:v>180837</c:v>
                </c:pt>
                <c:pt idx="12">
                  <c:v>195906.75</c:v>
                </c:pt>
                <c:pt idx="13">
                  <c:v>210976.5</c:v>
                </c:pt>
                <c:pt idx="14">
                  <c:v>226046.25</c:v>
                </c:pt>
                <c:pt idx="15">
                  <c:v>241116</c:v>
                </c:pt>
                <c:pt idx="16">
                  <c:v>256185.75</c:v>
                </c:pt>
                <c:pt idx="17">
                  <c:v>271255.5</c:v>
                </c:pt>
                <c:pt idx="18">
                  <c:v>286325.25</c:v>
                </c:pt>
                <c:pt idx="19">
                  <c:v>301395</c:v>
                </c:pt>
                <c:pt idx="20">
                  <c:v>316464.75</c:v>
                </c:pt>
                <c:pt idx="21">
                  <c:v>331534.5</c:v>
                </c:pt>
                <c:pt idx="22">
                  <c:v>346604.25</c:v>
                </c:pt>
                <c:pt idx="23">
                  <c:v>361674</c:v>
                </c:pt>
                <c:pt idx="24">
                  <c:v>376743.75</c:v>
                </c:pt>
                <c:pt idx="25">
                  <c:v>391813.5</c:v>
                </c:pt>
                <c:pt idx="26">
                  <c:v>406883.25</c:v>
                </c:pt>
                <c:pt idx="27">
                  <c:v>421953</c:v>
                </c:pt>
                <c:pt idx="28">
                  <c:v>437022.75</c:v>
                </c:pt>
                <c:pt idx="29">
                  <c:v>452092.5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04-4201-8364-862AA1022572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(Percolation!$Y$17,Percolation!$Y$17)</c:f>
              <c:numCache>
                <c:formatCode>#,##0</c:formatCode>
                <c:ptCount val="2"/>
                <c:pt idx="0">
                  <c:v>1888125</c:v>
                </c:pt>
                <c:pt idx="1">
                  <c:v>1888125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04-4201-8364-862AA1022572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Transport'!$AE$17,'Mass Transport'!$AE$17)</c:f>
              <c:numCache>
                <c:formatCode>#,##0</c:formatCode>
                <c:ptCount val="2"/>
                <c:pt idx="0">
                  <c:v>2350656.0000000005</c:v>
                </c:pt>
                <c:pt idx="1">
                  <c:v>2350656.0000000005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04-4201-8364-862AA102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in val="1000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Chloride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295713035870528"/>
          <c:y val="0.67257917760279962"/>
          <c:w val="0.16315398075240595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Percolation!$AJ$29:$AJ$58</c:f>
              <c:numCache>
                <c:formatCode>#,##0</c:formatCode>
                <c:ptCount val="30"/>
                <c:pt idx="0">
                  <c:v>548.82999999999993</c:v>
                </c:pt>
                <c:pt idx="1">
                  <c:v>1097.6599999999999</c:v>
                </c:pt>
                <c:pt idx="2">
                  <c:v>1646.4899999999998</c:v>
                </c:pt>
                <c:pt idx="3">
                  <c:v>2195.3199999999997</c:v>
                </c:pt>
                <c:pt idx="4">
                  <c:v>2744.1499999999996</c:v>
                </c:pt>
                <c:pt idx="5">
                  <c:v>3292.9799999999996</c:v>
                </c:pt>
                <c:pt idx="6">
                  <c:v>3841.8099999999995</c:v>
                </c:pt>
                <c:pt idx="7">
                  <c:v>4390.6399999999994</c:v>
                </c:pt>
                <c:pt idx="8">
                  <c:v>4939.4699999999993</c:v>
                </c:pt>
                <c:pt idx="9">
                  <c:v>5488.2999999999993</c:v>
                </c:pt>
                <c:pt idx="10">
                  <c:v>6037.1299999999992</c:v>
                </c:pt>
                <c:pt idx="11">
                  <c:v>6585.9599999999991</c:v>
                </c:pt>
                <c:pt idx="12">
                  <c:v>7134.7899999999991</c:v>
                </c:pt>
                <c:pt idx="13">
                  <c:v>7683.619999999999</c:v>
                </c:pt>
                <c:pt idx="14">
                  <c:v>8232.4499999999989</c:v>
                </c:pt>
                <c:pt idx="15">
                  <c:v>8781.2799999999988</c:v>
                </c:pt>
                <c:pt idx="16">
                  <c:v>9330.1099999999988</c:v>
                </c:pt>
                <c:pt idx="17">
                  <c:v>9878.9399999999987</c:v>
                </c:pt>
                <c:pt idx="18">
                  <c:v>10427.769999999999</c:v>
                </c:pt>
                <c:pt idx="19">
                  <c:v>10976.599999999999</c:v>
                </c:pt>
                <c:pt idx="20">
                  <c:v>11525.429999999998</c:v>
                </c:pt>
                <c:pt idx="21">
                  <c:v>12074.259999999998</c:v>
                </c:pt>
                <c:pt idx="22">
                  <c:v>12623.089999999998</c:v>
                </c:pt>
                <c:pt idx="23">
                  <c:v>13171.919999999998</c:v>
                </c:pt>
                <c:pt idx="24">
                  <c:v>13720.749999999998</c:v>
                </c:pt>
                <c:pt idx="25">
                  <c:v>14269.579999999998</c:v>
                </c:pt>
                <c:pt idx="26">
                  <c:v>14818.409999999998</c:v>
                </c:pt>
                <c:pt idx="27">
                  <c:v>15367.239999999998</c:v>
                </c:pt>
                <c:pt idx="28">
                  <c:v>15916.069999999998</c:v>
                </c:pt>
                <c:pt idx="29">
                  <c:v>16464.899999999998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21-4064-A1F1-6DFFB47397C8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Transport'!$AV$29:$AV$58</c:f>
              <c:numCache>
                <c:formatCode>#,##0.00</c:formatCode>
                <c:ptCount val="30"/>
                <c:pt idx="0">
                  <c:v>28.106997809809432</c:v>
                </c:pt>
                <c:pt idx="1">
                  <c:v>56.213995619618863</c:v>
                </c:pt>
                <c:pt idx="2">
                  <c:v>84.320993429428299</c:v>
                </c:pt>
                <c:pt idx="3">
                  <c:v>112.42799123923773</c:v>
                </c:pt>
                <c:pt idx="4">
                  <c:v>140.53498904904717</c:v>
                </c:pt>
                <c:pt idx="5">
                  <c:v>168.6419868588566</c:v>
                </c:pt>
                <c:pt idx="6">
                  <c:v>196.74898466866603</c:v>
                </c:pt>
                <c:pt idx="7">
                  <c:v>224.85598247847545</c:v>
                </c:pt>
                <c:pt idx="8">
                  <c:v>252.96298028828488</c:v>
                </c:pt>
                <c:pt idx="9">
                  <c:v>281.06997809809434</c:v>
                </c:pt>
                <c:pt idx="10">
                  <c:v>309.1769759079038</c:v>
                </c:pt>
                <c:pt idx="11">
                  <c:v>337.28397371771325</c:v>
                </c:pt>
                <c:pt idx="12">
                  <c:v>365.39097152752271</c:v>
                </c:pt>
                <c:pt idx="13">
                  <c:v>393.49796933733217</c:v>
                </c:pt>
                <c:pt idx="14">
                  <c:v>421.60496714714162</c:v>
                </c:pt>
                <c:pt idx="15">
                  <c:v>449.71196495695108</c:v>
                </c:pt>
                <c:pt idx="16">
                  <c:v>477.81896276676054</c:v>
                </c:pt>
                <c:pt idx="17">
                  <c:v>505.92596057656999</c:v>
                </c:pt>
                <c:pt idx="18">
                  <c:v>534.03295838637939</c:v>
                </c:pt>
                <c:pt idx="19">
                  <c:v>562.13995619618879</c:v>
                </c:pt>
                <c:pt idx="20">
                  <c:v>590.24695400599819</c:v>
                </c:pt>
                <c:pt idx="21">
                  <c:v>618.35395181580759</c:v>
                </c:pt>
                <c:pt idx="22">
                  <c:v>646.46094962561699</c:v>
                </c:pt>
                <c:pt idx="23">
                  <c:v>674.56794743542639</c:v>
                </c:pt>
                <c:pt idx="24">
                  <c:v>702.67494524523579</c:v>
                </c:pt>
                <c:pt idx="25">
                  <c:v>730.78194305504519</c:v>
                </c:pt>
                <c:pt idx="26">
                  <c:v>758.88894086485459</c:v>
                </c:pt>
                <c:pt idx="27">
                  <c:v>786.99593867466399</c:v>
                </c:pt>
                <c:pt idx="28">
                  <c:v>815.10293648447339</c:v>
                </c:pt>
                <c:pt idx="29">
                  <c:v>843.20993429428279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21-4064-A1F1-6DFFB47397C8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(Percolation!$AI$17,Percolation!$AI$17)</c:f>
              <c:numCache>
                <c:formatCode>#,##0</c:formatCode>
                <c:ptCount val="2"/>
                <c:pt idx="0">
                  <c:v>44575650</c:v>
                </c:pt>
                <c:pt idx="1">
                  <c:v>44575650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21-4064-A1F1-6DFFB47397C8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Transport'!$AS$17,'Mass Transport'!$AS$17)</c:f>
              <c:numCache>
                <c:formatCode>#,##0</c:formatCode>
                <c:ptCount val="2"/>
                <c:pt idx="0">
                  <c:v>40014576.000000007</c:v>
                </c:pt>
                <c:pt idx="1">
                  <c:v>40014576.000000007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21-4064-A1F1-6DFFB4739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  <c:max val="1000000000"/>
          <c:min val="1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Copper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717573032029529"/>
          <c:y val="0.67257917760279962"/>
          <c:w val="0.16893546970246603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3040748031496064"/>
          <c:y val="5.4583333333333331E-2"/>
          <c:w val="0.72198140857392823"/>
          <c:h val="0.74898862642169717"/>
        </c:manualLayout>
      </c:layout>
      <c:scatterChart>
        <c:scatterStyle val="lineMarker"/>
        <c:varyColors val="0"/>
        <c:ser>
          <c:idx val="0"/>
          <c:order val="0"/>
          <c:tx>
            <c:strRef>
              <c:f>Scenario_Graphs!$G$2</c:f>
              <c:strCache>
                <c:ptCount val="1"/>
                <c:pt idx="0">
                  <c:v>CFS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Percolation!$B$29:$B$58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Percolation!$AO$29:$AO$58</c:f>
              <c:numCache>
                <c:formatCode>#,##0</c:formatCode>
                <c:ptCount val="30"/>
                <c:pt idx="0">
                  <c:v>1001.035</c:v>
                </c:pt>
                <c:pt idx="1">
                  <c:v>2002.07</c:v>
                </c:pt>
                <c:pt idx="2">
                  <c:v>3003.1049999999996</c:v>
                </c:pt>
                <c:pt idx="3">
                  <c:v>4004.14</c:v>
                </c:pt>
                <c:pt idx="4">
                  <c:v>5005.1750000000002</c:v>
                </c:pt>
                <c:pt idx="5">
                  <c:v>6006.21</c:v>
                </c:pt>
                <c:pt idx="6">
                  <c:v>7007.2449999999999</c:v>
                </c:pt>
                <c:pt idx="7">
                  <c:v>8008.28</c:v>
                </c:pt>
                <c:pt idx="8">
                  <c:v>9009.3150000000005</c:v>
                </c:pt>
                <c:pt idx="9">
                  <c:v>10010.35</c:v>
                </c:pt>
                <c:pt idx="10">
                  <c:v>11011.385</c:v>
                </c:pt>
                <c:pt idx="11">
                  <c:v>12012.419999999998</c:v>
                </c:pt>
                <c:pt idx="12">
                  <c:v>13013.454999999998</c:v>
                </c:pt>
                <c:pt idx="13">
                  <c:v>14014.489999999998</c:v>
                </c:pt>
                <c:pt idx="14">
                  <c:v>15015.524999999998</c:v>
                </c:pt>
                <c:pt idx="15">
                  <c:v>16016.559999999998</c:v>
                </c:pt>
                <c:pt idx="16">
                  <c:v>17017.594999999998</c:v>
                </c:pt>
                <c:pt idx="17">
                  <c:v>18018.629999999997</c:v>
                </c:pt>
                <c:pt idx="18">
                  <c:v>19019.664999999997</c:v>
                </c:pt>
                <c:pt idx="19">
                  <c:v>20020.699999999997</c:v>
                </c:pt>
                <c:pt idx="20">
                  <c:v>21021.734999999997</c:v>
                </c:pt>
                <c:pt idx="21">
                  <c:v>22022.769999999997</c:v>
                </c:pt>
                <c:pt idx="22">
                  <c:v>23023.804999999997</c:v>
                </c:pt>
                <c:pt idx="23">
                  <c:v>24024.839999999997</c:v>
                </c:pt>
                <c:pt idx="24">
                  <c:v>25025.874999999996</c:v>
                </c:pt>
                <c:pt idx="25">
                  <c:v>26026.909999999996</c:v>
                </c:pt>
                <c:pt idx="26">
                  <c:v>27027.944999999996</c:v>
                </c:pt>
                <c:pt idx="27">
                  <c:v>28028.979999999996</c:v>
                </c:pt>
                <c:pt idx="28">
                  <c:v>29030.014999999996</c:v>
                </c:pt>
                <c:pt idx="29">
                  <c:v>30031.049999999996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93-4421-9777-ECD9C6C88498}"/>
            </c:ext>
          </c:extLst>
        </c:ser>
        <c:ser>
          <c:idx val="1"/>
          <c:order val="1"/>
          <c:tx>
            <c:strRef>
              <c:f>Scenario_Graphs!$G$3</c:f>
              <c:strCache>
                <c:ptCount val="1"/>
                <c:pt idx="0">
                  <c:v>S/S-CFS</c:v>
                </c:pt>
              </c:strCache>
            </c:strRef>
          </c:tx>
          <c:spPr>
            <a:ln w="19050">
              <a:solidFill>
                <a:srgbClr val="0033CC"/>
              </a:solidFill>
              <a:prstDash val="solid"/>
            </a:ln>
          </c:spPr>
          <c:marker>
            <c:symbol val="none"/>
          </c:marker>
          <c:xVal>
            <c:numRef>
              <c:f>'Mass Transport'!$C$29:$C$58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'Mass Transport'!$BC$29:$BC$58</c:f>
              <c:numCache>
                <c:formatCode>#,##0.00</c:formatCode>
                <c:ptCount val="30"/>
                <c:pt idx="0">
                  <c:v>7.6759839925620774</c:v>
                </c:pt>
                <c:pt idx="1">
                  <c:v>15.351967985124155</c:v>
                </c:pt>
                <c:pt idx="2">
                  <c:v>23.027951977686232</c:v>
                </c:pt>
                <c:pt idx="3">
                  <c:v>30.70393597024831</c:v>
                </c:pt>
                <c:pt idx="4">
                  <c:v>38.379919962810391</c:v>
                </c:pt>
                <c:pt idx="5">
                  <c:v>46.055903955372472</c:v>
                </c:pt>
                <c:pt idx="6">
                  <c:v>53.731887947934553</c:v>
                </c:pt>
                <c:pt idx="7">
                  <c:v>61.407871940496634</c:v>
                </c:pt>
                <c:pt idx="8">
                  <c:v>69.083855933058715</c:v>
                </c:pt>
                <c:pt idx="9">
                  <c:v>76.759839925620795</c:v>
                </c:pt>
                <c:pt idx="10">
                  <c:v>84.435823918182876</c:v>
                </c:pt>
                <c:pt idx="11">
                  <c:v>92.111807910744957</c:v>
                </c:pt>
                <c:pt idx="12">
                  <c:v>99.787791903307038</c:v>
                </c:pt>
                <c:pt idx="13">
                  <c:v>107.46377589586912</c:v>
                </c:pt>
                <c:pt idx="14">
                  <c:v>115.1397598884312</c:v>
                </c:pt>
                <c:pt idx="15">
                  <c:v>122.81574388099328</c:v>
                </c:pt>
                <c:pt idx="16">
                  <c:v>130.49172787355536</c:v>
                </c:pt>
                <c:pt idx="17">
                  <c:v>138.16771186611743</c:v>
                </c:pt>
                <c:pt idx="18">
                  <c:v>145.8436958586795</c:v>
                </c:pt>
                <c:pt idx="19">
                  <c:v>153.51967985124156</c:v>
                </c:pt>
                <c:pt idx="20">
                  <c:v>161.19566384380363</c:v>
                </c:pt>
                <c:pt idx="21">
                  <c:v>168.8716478363657</c:v>
                </c:pt>
                <c:pt idx="22">
                  <c:v>176.54763182892776</c:v>
                </c:pt>
                <c:pt idx="23">
                  <c:v>184.22361582148983</c:v>
                </c:pt>
                <c:pt idx="24">
                  <c:v>191.8995998140519</c:v>
                </c:pt>
                <c:pt idx="25">
                  <c:v>199.57558380661396</c:v>
                </c:pt>
                <c:pt idx="26">
                  <c:v>207.25156779917603</c:v>
                </c:pt>
                <c:pt idx="27">
                  <c:v>214.9275517917381</c:v>
                </c:pt>
                <c:pt idx="28">
                  <c:v>222.60353578430016</c:v>
                </c:pt>
                <c:pt idx="29">
                  <c:v>230.27951977686223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93-4421-9777-ECD9C6C88498}"/>
            </c:ext>
          </c:extLst>
        </c:ser>
        <c:ser>
          <c:idx val="2"/>
          <c:order val="2"/>
          <c:tx>
            <c:v>Untreated Avail</c:v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(Percolation!$AN$17,Percolation!$AN$17)</c:f>
              <c:numCache>
                <c:formatCode>#,##0</c:formatCode>
                <c:ptCount val="2"/>
                <c:pt idx="0">
                  <c:v>109710</c:v>
                </c:pt>
                <c:pt idx="1">
                  <c:v>109710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93-4421-9777-ECD9C6C88498}"/>
            </c:ext>
          </c:extLst>
        </c:ser>
        <c:ser>
          <c:idx val="3"/>
          <c:order val="3"/>
          <c:tx>
            <c:v>S/S Treated Avail</c:v>
          </c:tx>
          <c:spPr>
            <a:ln w="15875">
              <a:solidFill>
                <a:srgbClr val="0033CC"/>
              </a:solidFill>
              <a:prstDash val="lg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xVal>
          <c:yVal>
            <c:numRef>
              <c:f>('Mass Transport'!$AZ$17,'Mass Transport'!$AZ$17)</c:f>
              <c:numCache>
                <c:formatCode>#,##0</c:formatCode>
                <c:ptCount val="2"/>
                <c:pt idx="0">
                  <c:v>1344504.0000000002</c:v>
                </c:pt>
                <c:pt idx="1">
                  <c:v>1344504.0000000002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93-4421-9777-ECD9C6C88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309296"/>
        <c:axId val="871304720"/>
      </c:scatterChart>
      <c:valAx>
        <c:axId val="871309296"/>
        <c:scaling>
          <c:orientation val="minMax"/>
          <c:max val="30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Time (year)</a:t>
                </a:r>
              </a:p>
            </c:rich>
          </c:tx>
          <c:overlay val="0"/>
        </c:title>
        <c:numFmt formatCode="General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4720"/>
        <c:crossesAt val="1.0000000000000004E-6"/>
        <c:crossBetween val="midCat"/>
        <c:majorUnit val="5"/>
        <c:minorUnit val="1"/>
      </c:valAx>
      <c:valAx>
        <c:axId val="871304720"/>
        <c:scaling>
          <c:logBase val="10"/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Fluoride Release (mg/m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6.7225896762904636E-2"/>
            </c:manualLayout>
          </c:layout>
          <c:overlay val="0"/>
        </c:title>
        <c:numFmt formatCode="0.E+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125" b="0" i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1309296"/>
        <c:crossesAt val="0"/>
        <c:crossBetween val="midCat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875201829446115"/>
          <c:y val="0.67257917760279962"/>
          <c:w val="0.17735895944917454"/>
          <c:h val="0.1077721784776903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2442</xdr:colOff>
      <xdr:row>27</xdr:row>
      <xdr:rowOff>5496</xdr:rowOff>
    </xdr:from>
    <xdr:to>
      <xdr:col>5</xdr:col>
      <xdr:colOff>47625</xdr:colOff>
      <xdr:row>30</xdr:row>
      <xdr:rowOff>182564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224817" y="5720496"/>
              <a:ext cx="2418496" cy="74856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1100">
                  <a:ea typeface="Cambria Math" panose="02040503050406030204" pitchFamily="18" charset="0"/>
                </a:rPr>
                <a:t>L/S as a function of relative saturation: </a:t>
              </a:r>
            </a:p>
            <a:p>
              <a:pPr algn="l"/>
              <a:endParaRPr lang="en-US" sz="400">
                <a:ea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el-G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sSub>
                          <m:sSubPr>
                            <m:ctrlPr>
                              <a:rPr lang="el-GR" sz="11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Θ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l-GR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l-GR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  <m:r>
                          <a:rPr lang="el-GR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𝑑𝑟𝑦</m:t>
                            </m:r>
                          </m:sub>
                        </m:sSub>
                      </m:den>
                    </m:f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1000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num>
                          <m:den>
                            <m:sSubSup>
                              <m:sSub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𝑤𝑎𝑡𝑒𝑟</m:t>
                                </m:r>
                              </m:sub>
                              <m:sup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3</m:t>
                                </m:r>
                              </m:sup>
                            </m:sSubSup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24817" y="5720496"/>
              <a:ext cx="2418496" cy="74856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1100">
                  <a:ea typeface="Cambria Math" panose="02040503050406030204" pitchFamily="18" charset="0"/>
                </a:rPr>
                <a:t>L/S as a function of relative saturation: </a:t>
              </a:r>
            </a:p>
            <a:p>
              <a:pPr algn="l"/>
              <a:endParaRPr lang="en-US" sz="400">
                <a:ea typeface="Cambria Math" panose="02040503050406030204" pitchFamily="18" charset="0"/>
              </a:endParaRPr>
            </a:p>
            <a:p>
              <a:pPr algn="l"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𝐿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∕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𝑆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 =(</a:t>
              </a:r>
              <a:r>
                <a:rPr lang="el-GR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Θ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_𝑖</a:t>
              </a:r>
              <a:r>
                <a:rPr lang="el-GR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∙𝜀∙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𝑀_𝑑𝑟𝑦  (1000𝐿/(𝑚_𝑤𝑎𝑡𝑒𝑟^3 ))</a:t>
              </a:r>
              <a:endParaRPr lang="en-US" sz="1100"/>
            </a:p>
          </xdr:txBody>
        </xdr:sp>
      </mc:Fallback>
    </mc:AlternateContent>
    <xdr:clientData/>
  </xdr:twoCellAnchor>
  <xdr:oneCellAnchor>
    <xdr:from>
      <xdr:col>9</xdr:col>
      <xdr:colOff>460375</xdr:colOff>
      <xdr:row>27</xdr:row>
      <xdr:rowOff>174624</xdr:rowOff>
    </xdr:from>
    <xdr:ext cx="4889500" cy="17224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00813" y="5889624"/>
          <a:ext cx="4889500" cy="172243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The annual</a:t>
          </a:r>
          <a:r>
            <a:rPr lang="en-US" sz="1100" baseline="0"/>
            <a:t> L/S due to infiltration</a:t>
          </a:r>
          <a:r>
            <a:rPr lang="en-US" sz="1100"/>
            <a:t> indicates that the total annual infiltration</a:t>
          </a:r>
          <a:r>
            <a:rPr lang="en-US" sz="1100" baseline="0"/>
            <a:t> either just accounts (0.10 L/kg per year; TN) or doesn't come close to accounting for (0.01 L/kg per year; OR) the empty porespace at field capacity (0.10 L/kg). </a:t>
          </a:r>
        </a:p>
        <a:p>
          <a:endParaRPr lang="en-US" sz="1100" baseline="0"/>
        </a:p>
        <a:p>
          <a:r>
            <a:rPr lang="en-US" sz="1100" baseline="0"/>
            <a:t>Therefore, infiltration from an event replaces a fraction of the empty porespace and displaces an equivalent volume of interstitial water that drains from the fill between events. The concentration of the leachate is either at equilibrium (solubility-controlled) or a function of cumulative L/S (available content limited) as long as the available content is not exceeded.</a:t>
          </a:r>
          <a:endParaRPr 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0.26042</cdr:x>
      <cdr:y>0.20333</cdr:y>
    </cdr:from>
    <cdr:to>
      <cdr:x>0.50625</cdr:x>
      <cdr:y>0.25666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0640" y="581015"/>
          <a:ext cx="1123935" cy="152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0.2507</cdr:x>
      <cdr:y>0.09111</cdr:y>
    </cdr:from>
    <cdr:to>
      <cdr:x>0.5625</cdr:x>
      <cdr:y>0.14333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46200" y="260347"/>
          <a:ext cx="1425550" cy="149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0.67841</cdr:x>
      <cdr:y>0.04423</cdr:y>
    </cdr:from>
    <cdr:to>
      <cdr:x>0.92424</cdr:x>
      <cdr:y>0.09756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52084" y="140334"/>
          <a:ext cx="1105952" cy="16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0.25708</cdr:x>
      <cdr:y>0.04441</cdr:y>
    </cdr:from>
    <cdr:to>
      <cdr:x>0.56888</cdr:x>
      <cdr:y>0.09663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56559" y="140917"/>
          <a:ext cx="1402740" cy="165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0.68163</cdr:x>
      <cdr:y>0.2366</cdr:y>
    </cdr:from>
    <cdr:to>
      <cdr:x>0.92746</cdr:x>
      <cdr:y>0.28993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66562" y="750731"/>
          <a:ext cx="1105952" cy="16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0.24653</cdr:x>
      <cdr:y>0.17445</cdr:y>
    </cdr:from>
    <cdr:to>
      <cdr:x>0.55833</cdr:x>
      <cdr:y>0.22667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27120" y="498481"/>
          <a:ext cx="1425550" cy="149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0.26042</cdr:x>
      <cdr:y>0.16</cdr:y>
    </cdr:from>
    <cdr:to>
      <cdr:x>0.50625</cdr:x>
      <cdr:y>0.21333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0625" y="457200"/>
          <a:ext cx="11239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0.2507</cdr:x>
      <cdr:y>0.09778</cdr:y>
    </cdr:from>
    <cdr:to>
      <cdr:x>0.5625</cdr:x>
      <cdr:y>0.15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46185" y="279406"/>
          <a:ext cx="1425550" cy="149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0.25834</cdr:x>
      <cdr:y>0.11</cdr:y>
    </cdr:from>
    <cdr:to>
      <cdr:x>0.50417</cdr:x>
      <cdr:y>0.16333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81115" y="314335"/>
          <a:ext cx="1123935" cy="15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0.24653</cdr:x>
      <cdr:y>0.21444</cdr:y>
    </cdr:from>
    <cdr:to>
      <cdr:x>0.55833</cdr:x>
      <cdr:y>0.26666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27135" y="612772"/>
          <a:ext cx="1425550" cy="149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0.26042</cdr:x>
      <cdr:y>0.23</cdr:y>
    </cdr:from>
    <cdr:to>
      <cdr:x>0.50625</cdr:x>
      <cdr:y>0.28333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0640" y="657225"/>
          <a:ext cx="1123935" cy="15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0.2507</cdr:x>
      <cdr:y>0.16445</cdr:y>
    </cdr:from>
    <cdr:to>
      <cdr:x>0.5625</cdr:x>
      <cdr:y>0.21667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46185" y="469906"/>
          <a:ext cx="1425550" cy="149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0.25834</cdr:x>
      <cdr:y>0.16333</cdr:y>
    </cdr:from>
    <cdr:to>
      <cdr:x>0.50417</cdr:x>
      <cdr:y>0.21666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81146" y="466725"/>
          <a:ext cx="1123934" cy="15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0.24861</cdr:x>
      <cdr:y>0.09778</cdr:y>
    </cdr:from>
    <cdr:to>
      <cdr:x>0.56041</cdr:x>
      <cdr:y>0.15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36645" y="279406"/>
          <a:ext cx="1425550" cy="149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8</xdr:row>
      <xdr:rowOff>0</xdr:rowOff>
    </xdr:from>
    <xdr:to>
      <xdr:col>72</xdr:col>
      <xdr:colOff>0</xdr:colOff>
      <xdr:row>10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4747200" y="47625"/>
          <a:ext cx="18192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Chloride </a:t>
          </a:r>
          <a:r>
            <a:rPr lang="en-US" sz="1100" baseline="0"/>
            <a:t>concentrations less than threshold after 2 years.</a:t>
          </a:r>
          <a:endParaRPr lang="en-US" sz="1100"/>
        </a:p>
      </xdr:txBody>
    </xdr:sp>
    <xdr:clientData/>
  </xdr:twoCellAnchor>
  <xdr:twoCellAnchor>
    <xdr:from>
      <xdr:col>6</xdr:col>
      <xdr:colOff>53905</xdr:colOff>
      <xdr:row>0</xdr:row>
      <xdr:rowOff>47625</xdr:rowOff>
    </xdr:from>
    <xdr:to>
      <xdr:col>10</xdr:col>
      <xdr:colOff>722312</xdr:colOff>
      <xdr:row>11</xdr:row>
      <xdr:rowOff>111125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300468" y="47625"/>
          <a:ext cx="3779907" cy="2238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Solubility-Controlled</a:t>
          </a:r>
          <a:r>
            <a:rPr lang="en-US" sz="1050" b="1" baseline="0"/>
            <a:t> LSP: </a:t>
          </a:r>
        </a:p>
        <a:p>
          <a:r>
            <a:rPr lang="en-US" sz="1000" baseline="0"/>
            <a:t>1) LSP concentration is not a strong function of L/S and will remain constant as long as the pH is within the assessment pH domain and the available content is not depleted.</a:t>
          </a:r>
        </a:p>
        <a:p>
          <a:endParaRPr lang="en-US" sz="500" baseline="0"/>
        </a:p>
        <a:p>
          <a:r>
            <a:rPr lang="en-US" sz="1000" baseline="0"/>
            <a:t>2) As a realistic upper bound, the LSP concentration for solubility-controlled LSP is estimated as the maximum LSP concentration over the scenario pH domain.</a:t>
          </a:r>
        </a:p>
        <a:p>
          <a:endParaRPr lang="en-US" sz="500" baseline="0"/>
        </a:p>
        <a:p>
          <a:r>
            <a:rPr lang="en-US" sz="1000" baseline="0"/>
            <a:t>3) The mass released over an interval is subtracted from the remaining available content as a check on depletion. </a:t>
          </a:r>
        </a:p>
        <a:p>
          <a:endParaRPr lang="en-US" sz="500" baseline="0"/>
        </a:p>
        <a:p>
          <a:r>
            <a:rPr lang="en-US" sz="1000" baseline="0"/>
            <a:t>4) The interval and cumulative mass release are converted to mg/m</a:t>
          </a:r>
          <a:r>
            <a:rPr lang="en-US" sz="1000" baseline="30000"/>
            <a:t>2</a:t>
          </a:r>
          <a:r>
            <a:rPr lang="en-US" sz="1000" baseline="0"/>
            <a:t> of soil bed for comparison to mass transfer scenarios.</a:t>
          </a:r>
        </a:p>
        <a:p>
          <a:endParaRPr lang="en-US" sz="1000" baseline="0"/>
        </a:p>
      </xdr:txBody>
    </xdr:sp>
    <xdr:clientData/>
  </xdr:twoCellAnchor>
  <xdr:twoCellAnchor>
    <xdr:from>
      <xdr:col>23</xdr:col>
      <xdr:colOff>55563</xdr:colOff>
      <xdr:row>0</xdr:row>
      <xdr:rowOff>39689</xdr:rowOff>
    </xdr:from>
    <xdr:to>
      <xdr:col>25</xdr:col>
      <xdr:colOff>722313</xdr:colOff>
      <xdr:row>11</xdr:row>
      <xdr:rowOff>142876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7597438" y="39689"/>
          <a:ext cx="2222500" cy="228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baseline="0"/>
            <a:t>A</a:t>
          </a: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vailable Content-Limited LSP:</a:t>
          </a:r>
          <a:endParaRPr lang="en-US" sz="1050" b="1">
            <a:effectLst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LSP concentration changes with </a:t>
          </a:r>
          <a:r>
            <a:rPr lang="en-US" sz="1000" baseline="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S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L/S based on M1314 (see Appendix B).</a:t>
          </a:r>
        </a:p>
        <a:p>
          <a:endParaRPr lang="en-US" sz="500">
            <a:effectLst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LSP concentration between M1314 L/S values is linearly interpolated. </a:t>
          </a:r>
          <a:endParaRPr lang="en-US" sz="1000">
            <a:effectLst/>
          </a:endParaRPr>
        </a:p>
        <a:p>
          <a:endParaRPr lang="en-US" sz="5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The annual average concentration and release becomes zero when greater than 80% of the available content has been released.</a:t>
          </a:r>
          <a:endParaRPr lang="en-US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0</xdr:colOff>
      <xdr:row>2</xdr:row>
      <xdr:rowOff>47625</xdr:rowOff>
    </xdr:from>
    <xdr:to>
      <xdr:col>101</xdr:col>
      <xdr:colOff>0</xdr:colOff>
      <xdr:row>5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4792920" y="47625"/>
          <a:ext cx="1819275" cy="769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Chloride </a:t>
          </a:r>
          <a:r>
            <a:rPr lang="en-US" sz="1100" baseline="0"/>
            <a:t>concentrations less than threshold after 2 years.</a:t>
          </a:r>
          <a:endParaRPr lang="en-US" sz="1100"/>
        </a:p>
      </xdr:txBody>
    </xdr:sp>
    <xdr:clientData/>
  </xdr:twoCellAnchor>
  <xdr:twoCellAnchor>
    <xdr:from>
      <xdr:col>101</xdr:col>
      <xdr:colOff>0</xdr:colOff>
      <xdr:row>57</xdr:row>
      <xdr:rowOff>47625</xdr:rowOff>
    </xdr:from>
    <xdr:to>
      <xdr:col>101</xdr:col>
      <xdr:colOff>0</xdr:colOff>
      <xdr:row>60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1523225" y="428625"/>
          <a:ext cx="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Chloride </a:t>
          </a:r>
          <a:r>
            <a:rPr lang="en-US" sz="1100" baseline="0"/>
            <a:t>concentrations less than threshold after 2 years.</a:t>
          </a:r>
          <a:endParaRPr lang="en-US" sz="1100"/>
        </a:p>
      </xdr:txBody>
    </xdr:sp>
    <xdr:clientData/>
  </xdr:twoCellAnchor>
  <xdr:twoCellAnchor>
    <xdr:from>
      <xdr:col>83</xdr:col>
      <xdr:colOff>57150</xdr:colOff>
      <xdr:row>0</xdr:row>
      <xdr:rowOff>47625</xdr:rowOff>
    </xdr:from>
    <xdr:to>
      <xdr:col>89</xdr:col>
      <xdr:colOff>723900</xdr:colOff>
      <xdr:row>4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64541400" y="47625"/>
          <a:ext cx="5353050" cy="7905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C00000"/>
              </a:solidFill>
            </a:rPr>
            <a:t>For both the TN and OR</a:t>
          </a:r>
          <a:r>
            <a:rPr lang="en-US" sz="1100" baseline="0">
              <a:solidFill>
                <a:srgbClr val="C00000"/>
              </a:solidFill>
            </a:rPr>
            <a:t> scenarios, the mass transport concentration of thallium exceeds the solubility at low L/S for both 1-day and 2-day events. Thus, these concentrations are capped at the low L/S LSP. Therefore, the leaching assessment for thallium from the TN and OR scnearios is identical.</a:t>
          </a:r>
          <a:endParaRPr 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27</xdr:col>
      <xdr:colOff>47625</xdr:colOff>
      <xdr:row>0</xdr:row>
      <xdr:rowOff>38100</xdr:rowOff>
    </xdr:from>
    <xdr:to>
      <xdr:col>33</xdr:col>
      <xdr:colOff>714375</xdr:colOff>
      <xdr:row>4</xdr:row>
      <xdr:rowOff>28575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0793075" y="38100"/>
          <a:ext cx="5353050" cy="7905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C00000"/>
              </a:solidFill>
            </a:rPr>
            <a:t>For both the TN and OR</a:t>
          </a:r>
          <a:r>
            <a:rPr lang="en-US" sz="1100" baseline="0">
              <a:solidFill>
                <a:srgbClr val="C00000"/>
              </a:solidFill>
            </a:rPr>
            <a:t> scenarios, the mass transport concentration of chloride exceeds the solubility at over the pH domain for both 1-day and 2-day events. Thus, these concentrations are capped at the pH-dependent LSP. Therefore, the leaching assessment concentrations, and hence the ARs, for chloride for the TN and OR scenarios are identical.</a:t>
          </a:r>
          <a:endParaRPr lang="en-US" sz="1100">
            <a:solidFill>
              <a:srgbClr val="C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231648</xdr:colOff>
      <xdr:row>24</xdr:row>
      <xdr:rowOff>124968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16</xdr:col>
      <xdr:colOff>231648</xdr:colOff>
      <xdr:row>24</xdr:row>
      <xdr:rowOff>124968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8</xdr:row>
      <xdr:rowOff>0</xdr:rowOff>
    </xdr:from>
    <xdr:to>
      <xdr:col>24</xdr:col>
      <xdr:colOff>231648</xdr:colOff>
      <xdr:row>24</xdr:row>
      <xdr:rowOff>124968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8</xdr:row>
      <xdr:rowOff>0</xdr:rowOff>
    </xdr:from>
    <xdr:to>
      <xdr:col>33</xdr:col>
      <xdr:colOff>231648</xdr:colOff>
      <xdr:row>24</xdr:row>
      <xdr:rowOff>124968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8</xdr:row>
      <xdr:rowOff>0</xdr:rowOff>
    </xdr:from>
    <xdr:to>
      <xdr:col>41</xdr:col>
      <xdr:colOff>231648</xdr:colOff>
      <xdr:row>24</xdr:row>
      <xdr:rowOff>124968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8</xdr:row>
      <xdr:rowOff>0</xdr:rowOff>
    </xdr:from>
    <xdr:to>
      <xdr:col>49</xdr:col>
      <xdr:colOff>231648</xdr:colOff>
      <xdr:row>24</xdr:row>
      <xdr:rowOff>124968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8</xdr:col>
      <xdr:colOff>231648</xdr:colOff>
      <xdr:row>41</xdr:row>
      <xdr:rowOff>124968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231648</xdr:colOff>
      <xdr:row>41</xdr:row>
      <xdr:rowOff>124968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25</xdr:row>
      <xdr:rowOff>0</xdr:rowOff>
    </xdr:from>
    <xdr:to>
      <xdr:col>24</xdr:col>
      <xdr:colOff>231648</xdr:colOff>
      <xdr:row>41</xdr:row>
      <xdr:rowOff>124968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8</xdr:col>
      <xdr:colOff>231648</xdr:colOff>
      <xdr:row>58</xdr:row>
      <xdr:rowOff>124968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16</xdr:col>
      <xdr:colOff>231648</xdr:colOff>
      <xdr:row>58</xdr:row>
      <xdr:rowOff>124968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42</xdr:row>
      <xdr:rowOff>0</xdr:rowOff>
    </xdr:from>
    <xdr:to>
      <xdr:col>24</xdr:col>
      <xdr:colOff>231648</xdr:colOff>
      <xdr:row>58</xdr:row>
      <xdr:rowOff>124968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231648</xdr:colOff>
      <xdr:row>75</xdr:row>
      <xdr:rowOff>124968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59</xdr:row>
      <xdr:rowOff>0</xdr:rowOff>
    </xdr:from>
    <xdr:to>
      <xdr:col>16</xdr:col>
      <xdr:colOff>231648</xdr:colOff>
      <xdr:row>75</xdr:row>
      <xdr:rowOff>124968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59</xdr:row>
      <xdr:rowOff>0</xdr:rowOff>
    </xdr:from>
    <xdr:to>
      <xdr:col>24</xdr:col>
      <xdr:colOff>231648</xdr:colOff>
      <xdr:row>75</xdr:row>
      <xdr:rowOff>124968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0</xdr:colOff>
      <xdr:row>25</xdr:row>
      <xdr:rowOff>0</xdr:rowOff>
    </xdr:from>
    <xdr:to>
      <xdr:col>33</xdr:col>
      <xdr:colOff>231648</xdr:colOff>
      <xdr:row>41</xdr:row>
      <xdr:rowOff>124968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34</xdr:col>
      <xdr:colOff>0</xdr:colOff>
      <xdr:row>25</xdr:row>
      <xdr:rowOff>0</xdr:rowOff>
    </xdr:from>
    <xdr:to>
      <xdr:col>41</xdr:col>
      <xdr:colOff>231648</xdr:colOff>
      <xdr:row>41</xdr:row>
      <xdr:rowOff>124968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25</xdr:row>
      <xdr:rowOff>0</xdr:rowOff>
    </xdr:from>
    <xdr:to>
      <xdr:col>49</xdr:col>
      <xdr:colOff>231648</xdr:colOff>
      <xdr:row>41</xdr:row>
      <xdr:rowOff>124968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0</xdr:colOff>
      <xdr:row>42</xdr:row>
      <xdr:rowOff>0</xdr:rowOff>
    </xdr:from>
    <xdr:to>
      <xdr:col>33</xdr:col>
      <xdr:colOff>231648</xdr:colOff>
      <xdr:row>58</xdr:row>
      <xdr:rowOff>124968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0</xdr:colOff>
      <xdr:row>42</xdr:row>
      <xdr:rowOff>0</xdr:rowOff>
    </xdr:from>
    <xdr:to>
      <xdr:col>41</xdr:col>
      <xdr:colOff>231648</xdr:colOff>
      <xdr:row>58</xdr:row>
      <xdr:rowOff>124968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42</xdr:row>
      <xdr:rowOff>0</xdr:rowOff>
    </xdr:from>
    <xdr:to>
      <xdr:col>49</xdr:col>
      <xdr:colOff>231648</xdr:colOff>
      <xdr:row>58</xdr:row>
      <xdr:rowOff>124968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34</xdr:col>
      <xdr:colOff>0</xdr:colOff>
      <xdr:row>59</xdr:row>
      <xdr:rowOff>0</xdr:rowOff>
    </xdr:from>
    <xdr:to>
      <xdr:col>41</xdr:col>
      <xdr:colOff>231648</xdr:colOff>
      <xdr:row>75</xdr:row>
      <xdr:rowOff>124968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26</xdr:col>
      <xdr:colOff>0</xdr:colOff>
      <xdr:row>59</xdr:row>
      <xdr:rowOff>0</xdr:rowOff>
    </xdr:from>
    <xdr:to>
      <xdr:col>33</xdr:col>
      <xdr:colOff>231648</xdr:colOff>
      <xdr:row>75</xdr:row>
      <xdr:rowOff>124968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59</xdr:row>
      <xdr:rowOff>0</xdr:rowOff>
    </xdr:from>
    <xdr:to>
      <xdr:col>49</xdr:col>
      <xdr:colOff>231648</xdr:colOff>
      <xdr:row>75</xdr:row>
      <xdr:rowOff>124968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0.2625</cdr:x>
      <cdr:y>0.13667</cdr:y>
    </cdr:from>
    <cdr:to>
      <cdr:x>0.50833</cdr:x>
      <cdr:y>0.19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0150" y="390525"/>
          <a:ext cx="11239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0.25278</cdr:x>
      <cdr:y>0.06444</cdr:y>
    </cdr:from>
    <cdr:to>
      <cdr:x>0.56459</cdr:x>
      <cdr:y>0.11666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55695" y="184147"/>
          <a:ext cx="1425595" cy="149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0.26411</cdr:x>
      <cdr:y>0.1027</cdr:y>
    </cdr:from>
    <cdr:to>
      <cdr:x>0.50994</cdr:x>
      <cdr:y>0.15603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88171" y="325872"/>
          <a:ext cx="1105952" cy="16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0.25272</cdr:x>
      <cdr:y>0.05119</cdr:y>
    </cdr:from>
    <cdr:to>
      <cdr:x>0.56452</cdr:x>
      <cdr:y>0.10341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36929" y="162417"/>
          <a:ext cx="1402741" cy="165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0.25834</cdr:x>
      <cdr:y>0.06</cdr:y>
    </cdr:from>
    <cdr:to>
      <cdr:x>0.50417</cdr:x>
      <cdr:y>0.11333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81130" y="171450"/>
          <a:ext cx="1123935" cy="15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0.24865</cdr:x>
      <cdr:y>0.12575</cdr:y>
    </cdr:from>
    <cdr:to>
      <cdr:x>0.56045</cdr:x>
      <cdr:y>0.17797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18626" y="399011"/>
          <a:ext cx="1402741" cy="165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0.25625</cdr:x>
      <cdr:y>0.23667</cdr:y>
    </cdr:from>
    <cdr:to>
      <cdr:x>0.50208</cdr:x>
      <cdr:y>0.29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71590" y="676275"/>
          <a:ext cx="1123935" cy="15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0.255</cdr:x>
      <cdr:y>0.1531</cdr:y>
    </cdr:from>
    <cdr:to>
      <cdr:x>0.5668</cdr:x>
      <cdr:y>0.20532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47201" y="485777"/>
          <a:ext cx="1402741" cy="165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0.2625</cdr:x>
      <cdr:y>0.12333</cdr:y>
    </cdr:from>
    <cdr:to>
      <cdr:x>0.50833</cdr:x>
      <cdr:y>0.17666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00165" y="352425"/>
          <a:ext cx="1123935" cy="152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FF0000"/>
              </a:solidFill>
            </a:rPr>
            <a:t>Soil Available Content</a:t>
          </a:r>
        </a:p>
      </cdr:txBody>
    </cdr:sp>
  </cdr:relSizeAnchor>
  <cdr:relSizeAnchor xmlns:cdr="http://schemas.openxmlformats.org/drawingml/2006/chartDrawing">
    <cdr:from>
      <cdr:x>0.25237</cdr:x>
      <cdr:y>0.19167</cdr:y>
    </cdr:from>
    <cdr:to>
      <cdr:x>0.56417</cdr:x>
      <cdr:y>0.24389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53820" y="525795"/>
          <a:ext cx="1425550" cy="143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rgbClr val="0033CC"/>
              </a:solidFill>
            </a:rPr>
            <a:t>S/S Soil Available Content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H22" sqref="H22"/>
    </sheetView>
  </sheetViews>
  <sheetFormatPr defaultRowHeight="15" x14ac:dyDescent="0.25"/>
  <cols>
    <col min="2" max="2" width="16.7109375" customWidth="1"/>
    <col min="3" max="3" width="54.85546875" customWidth="1"/>
    <col min="4" max="4" width="27.42578125" customWidth="1"/>
    <col min="5" max="5" width="27.5703125" customWidth="1"/>
    <col min="7" max="7" width="9.85546875" style="1" bestFit="1" customWidth="1"/>
    <col min="8" max="8" width="54.5703125" customWidth="1"/>
    <col min="9" max="9" width="15.7109375" style="1" customWidth="1"/>
    <col min="10" max="10" width="30" customWidth="1"/>
    <col min="11" max="11" width="27.5703125" customWidth="1"/>
  </cols>
  <sheetData>
    <row r="1" spans="1:11" x14ac:dyDescent="0.25">
      <c r="A1" s="321" t="s">
        <v>291</v>
      </c>
      <c r="B1" s="188"/>
    </row>
    <row r="2" spans="1:11" x14ac:dyDescent="0.25">
      <c r="A2" s="292" t="s">
        <v>292</v>
      </c>
      <c r="B2" s="188"/>
    </row>
    <row r="3" spans="1:11" x14ac:dyDescent="0.25">
      <c r="A3" s="293" t="s">
        <v>144</v>
      </c>
      <c r="B3" s="303">
        <v>44056</v>
      </c>
    </row>
    <row r="4" spans="1:11" x14ac:dyDescent="0.25">
      <c r="A4" s="191" t="s">
        <v>174</v>
      </c>
      <c r="B4" s="188" t="s">
        <v>145</v>
      </c>
    </row>
    <row r="7" spans="1:11" x14ac:dyDescent="0.25">
      <c r="B7" s="6" t="s">
        <v>289</v>
      </c>
      <c r="G7" s="535" t="s">
        <v>293</v>
      </c>
    </row>
    <row r="8" spans="1:11" x14ac:dyDescent="0.25">
      <c r="B8" s="531"/>
      <c r="C8" s="532" t="s">
        <v>288</v>
      </c>
      <c r="D8" s="326" t="s">
        <v>371</v>
      </c>
      <c r="E8" s="326" t="s">
        <v>297</v>
      </c>
      <c r="G8" s="326"/>
      <c r="H8" s="326" t="s">
        <v>288</v>
      </c>
      <c r="I8" s="326" t="s">
        <v>71</v>
      </c>
      <c r="J8" s="326" t="s">
        <v>301</v>
      </c>
      <c r="K8" s="326" t="s">
        <v>297</v>
      </c>
    </row>
    <row r="9" spans="1:11" ht="18" customHeight="1" x14ac:dyDescent="0.25">
      <c r="B9" s="1" t="s">
        <v>127</v>
      </c>
      <c r="C9" t="s">
        <v>287</v>
      </c>
      <c r="D9" t="s">
        <v>374</v>
      </c>
      <c r="E9" t="s">
        <v>382</v>
      </c>
      <c r="G9" s="1" t="s">
        <v>298</v>
      </c>
      <c r="H9" t="s">
        <v>343</v>
      </c>
      <c r="I9" s="1" t="s">
        <v>269</v>
      </c>
      <c r="J9" t="s">
        <v>315</v>
      </c>
      <c r="K9" s="84" t="s">
        <v>317</v>
      </c>
    </row>
    <row r="10" spans="1:11" ht="18" customHeight="1" x14ac:dyDescent="0.35">
      <c r="B10" s="1" t="s">
        <v>58</v>
      </c>
      <c r="C10" t="s">
        <v>376</v>
      </c>
      <c r="D10" t="s">
        <v>372</v>
      </c>
      <c r="E10" t="s">
        <v>382</v>
      </c>
      <c r="G10" s="1" t="s">
        <v>326</v>
      </c>
      <c r="H10" t="s">
        <v>350</v>
      </c>
      <c r="I10" s="1" t="s">
        <v>269</v>
      </c>
      <c r="J10" t="s">
        <v>316</v>
      </c>
      <c r="K10" s="84" t="s">
        <v>364</v>
      </c>
    </row>
    <row r="11" spans="1:11" ht="18" customHeight="1" x14ac:dyDescent="0.35">
      <c r="B11" s="1" t="s">
        <v>313</v>
      </c>
      <c r="C11" t="s">
        <v>377</v>
      </c>
      <c r="D11" t="s">
        <v>373</v>
      </c>
      <c r="E11" t="s">
        <v>382</v>
      </c>
      <c r="G11" s="1" t="s">
        <v>327</v>
      </c>
      <c r="H11" t="s">
        <v>350</v>
      </c>
      <c r="I11" s="1" t="s">
        <v>269</v>
      </c>
      <c r="J11" t="s">
        <v>351</v>
      </c>
      <c r="K11" s="84" t="s">
        <v>364</v>
      </c>
    </row>
    <row r="12" spans="1:11" ht="18" customHeight="1" x14ac:dyDescent="0.25">
      <c r="B12" s="1" t="s">
        <v>128</v>
      </c>
      <c r="C12" t="s">
        <v>378</v>
      </c>
      <c r="D12" t="s">
        <v>375</v>
      </c>
      <c r="E12" t="s">
        <v>382</v>
      </c>
      <c r="G12" s="1" t="s">
        <v>38</v>
      </c>
      <c r="H12" t="s">
        <v>325</v>
      </c>
      <c r="I12" s="1" t="s">
        <v>46</v>
      </c>
      <c r="J12" t="s">
        <v>316</v>
      </c>
      <c r="K12" s="84" t="s">
        <v>382</v>
      </c>
    </row>
    <row r="13" spans="1:11" ht="18" customHeight="1" x14ac:dyDescent="0.35">
      <c r="B13" s="1" t="s">
        <v>169</v>
      </c>
      <c r="C13" t="s">
        <v>379</v>
      </c>
      <c r="E13" t="s">
        <v>383</v>
      </c>
      <c r="G13" s="1" t="s">
        <v>355</v>
      </c>
      <c r="H13" t="s">
        <v>324</v>
      </c>
      <c r="I13" s="1" t="s">
        <v>66</v>
      </c>
      <c r="J13" t="s">
        <v>316</v>
      </c>
      <c r="K13" s="84" t="s">
        <v>364</v>
      </c>
    </row>
    <row r="14" spans="1:11" ht="18" customHeight="1" x14ac:dyDescent="0.35">
      <c r="B14" s="1" t="s">
        <v>170</v>
      </c>
      <c r="C14" t="s">
        <v>380</v>
      </c>
      <c r="E14" t="s">
        <v>383</v>
      </c>
      <c r="G14" s="1" t="s">
        <v>356</v>
      </c>
      <c r="H14" t="s">
        <v>323</v>
      </c>
      <c r="I14" s="1" t="s">
        <v>66</v>
      </c>
      <c r="J14" t="s">
        <v>316</v>
      </c>
      <c r="K14" s="84" t="s">
        <v>363</v>
      </c>
    </row>
    <row r="15" spans="1:11" ht="18" customHeight="1" x14ac:dyDescent="0.35">
      <c r="B15" s="1" t="s">
        <v>322</v>
      </c>
      <c r="C15" t="s">
        <v>381</v>
      </c>
      <c r="E15" t="s">
        <v>383</v>
      </c>
      <c r="G15" s="1" t="s">
        <v>299</v>
      </c>
      <c r="H15" t="s">
        <v>344</v>
      </c>
      <c r="I15" s="1" t="s">
        <v>79</v>
      </c>
      <c r="J15" t="s">
        <v>315</v>
      </c>
      <c r="K15" s="84" t="s">
        <v>317</v>
      </c>
    </row>
    <row r="16" spans="1:11" ht="18" customHeight="1" x14ac:dyDescent="0.35">
      <c r="G16" s="1" t="s">
        <v>306</v>
      </c>
      <c r="H16" t="s">
        <v>353</v>
      </c>
      <c r="I16" s="1" t="s">
        <v>396</v>
      </c>
      <c r="J16" t="s">
        <v>316</v>
      </c>
      <c r="K16" s="84" t="s">
        <v>317</v>
      </c>
    </row>
    <row r="17" spans="7:11" ht="18" customHeight="1" x14ac:dyDescent="0.35">
      <c r="G17" s="1" t="s">
        <v>357</v>
      </c>
      <c r="H17" t="s">
        <v>342</v>
      </c>
      <c r="I17" s="1" t="s">
        <v>247</v>
      </c>
      <c r="J17" t="s">
        <v>316</v>
      </c>
      <c r="K17" s="84" t="s">
        <v>364</v>
      </c>
    </row>
    <row r="18" spans="7:11" ht="18" customHeight="1" x14ac:dyDescent="0.25">
      <c r="G18" s="1" t="s">
        <v>310</v>
      </c>
      <c r="H18" t="s">
        <v>318</v>
      </c>
      <c r="I18" s="1" t="s">
        <v>393</v>
      </c>
      <c r="J18" t="s">
        <v>315</v>
      </c>
      <c r="K18" s="84" t="s">
        <v>317</v>
      </c>
    </row>
    <row r="19" spans="7:11" ht="18" customHeight="1" x14ac:dyDescent="0.25">
      <c r="G19" s="1" t="s">
        <v>311</v>
      </c>
      <c r="H19" t="s">
        <v>319</v>
      </c>
      <c r="I19" s="1" t="s">
        <v>393</v>
      </c>
      <c r="J19" t="s">
        <v>315</v>
      </c>
      <c r="K19" s="84" t="s">
        <v>317</v>
      </c>
    </row>
    <row r="20" spans="7:11" ht="18" customHeight="1" x14ac:dyDescent="0.25">
      <c r="G20" s="1" t="s">
        <v>312</v>
      </c>
      <c r="H20" t="s">
        <v>320</v>
      </c>
      <c r="I20" s="1" t="s">
        <v>392</v>
      </c>
      <c r="J20" t="s">
        <v>315</v>
      </c>
      <c r="K20" s="84" t="s">
        <v>317</v>
      </c>
    </row>
    <row r="21" spans="7:11" ht="18" customHeight="1" x14ac:dyDescent="0.25">
      <c r="G21" s="1" t="s">
        <v>314</v>
      </c>
      <c r="H21" t="s">
        <v>321</v>
      </c>
      <c r="I21" s="1" t="s">
        <v>392</v>
      </c>
      <c r="J21" t="s">
        <v>315</v>
      </c>
      <c r="K21" s="84" t="s">
        <v>317</v>
      </c>
    </row>
    <row r="22" spans="7:11" ht="18" customHeight="1" x14ac:dyDescent="0.35">
      <c r="G22" s="1" t="s">
        <v>395</v>
      </c>
      <c r="H22" t="s">
        <v>401</v>
      </c>
      <c r="I22" s="1" t="s">
        <v>394</v>
      </c>
      <c r="J22" t="s">
        <v>316</v>
      </c>
      <c r="K22" s="84" t="s">
        <v>363</v>
      </c>
    </row>
    <row r="23" spans="7:11" ht="18" customHeight="1" x14ac:dyDescent="0.25">
      <c r="G23" s="1" t="s">
        <v>300</v>
      </c>
      <c r="H23" t="s">
        <v>400</v>
      </c>
      <c r="I23" s="1" t="s">
        <v>370</v>
      </c>
      <c r="J23" t="s">
        <v>316</v>
      </c>
      <c r="K23" s="84" t="s">
        <v>317</v>
      </c>
    </row>
    <row r="24" spans="7:11" ht="18" customHeight="1" x14ac:dyDescent="0.35">
      <c r="G24" s="1" t="s">
        <v>305</v>
      </c>
      <c r="H24" t="s">
        <v>352</v>
      </c>
      <c r="I24" s="1" t="s">
        <v>391</v>
      </c>
      <c r="J24" t="s">
        <v>316</v>
      </c>
      <c r="K24" s="84" t="s">
        <v>317</v>
      </c>
    </row>
    <row r="25" spans="7:11" ht="18" customHeight="1" x14ac:dyDescent="0.35">
      <c r="G25" s="1" t="s">
        <v>304</v>
      </c>
      <c r="H25" t="s">
        <v>347</v>
      </c>
      <c r="I25" s="1" t="s">
        <v>390</v>
      </c>
      <c r="J25" t="s">
        <v>315</v>
      </c>
      <c r="K25" s="84" t="s">
        <v>317</v>
      </c>
    </row>
    <row r="26" spans="7:11" ht="18" customHeight="1" x14ac:dyDescent="0.25">
      <c r="K26" s="84"/>
    </row>
    <row r="27" spans="7:11" ht="18" customHeight="1" x14ac:dyDescent="0.35">
      <c r="G27" s="536" t="s">
        <v>303</v>
      </c>
      <c r="H27" t="s">
        <v>346</v>
      </c>
      <c r="I27" s="1" t="s">
        <v>384</v>
      </c>
      <c r="J27" t="s">
        <v>315</v>
      </c>
      <c r="K27" s="84" t="s">
        <v>317</v>
      </c>
    </row>
    <row r="28" spans="7:11" ht="18" customHeight="1" x14ac:dyDescent="0.35">
      <c r="G28" s="1" t="s">
        <v>309</v>
      </c>
      <c r="H28" t="s">
        <v>348</v>
      </c>
      <c r="I28" s="1" t="s">
        <v>385</v>
      </c>
      <c r="J28" t="s">
        <v>316</v>
      </c>
      <c r="K28" s="84" t="s">
        <v>317</v>
      </c>
    </row>
    <row r="29" spans="7:11" ht="18" customHeight="1" x14ac:dyDescent="0.35">
      <c r="G29" s="1" t="s">
        <v>308</v>
      </c>
      <c r="H29" t="s">
        <v>349</v>
      </c>
      <c r="I29" s="1" t="s">
        <v>385</v>
      </c>
      <c r="J29" t="s">
        <v>315</v>
      </c>
      <c r="K29" s="84" t="s">
        <v>317</v>
      </c>
    </row>
    <row r="30" spans="7:11" ht="18" customHeight="1" x14ac:dyDescent="0.35">
      <c r="G30" s="1" t="s">
        <v>307</v>
      </c>
      <c r="H30" t="s">
        <v>354</v>
      </c>
      <c r="I30" s="272" t="s">
        <v>386</v>
      </c>
      <c r="J30" t="s">
        <v>316</v>
      </c>
      <c r="K30" s="84" t="s">
        <v>317</v>
      </c>
    </row>
    <row r="31" spans="7:11" ht="18" customHeight="1" x14ac:dyDescent="0.35">
      <c r="G31" s="1" t="s">
        <v>302</v>
      </c>
      <c r="H31" t="s">
        <v>345</v>
      </c>
      <c r="I31" s="272" t="s">
        <v>386</v>
      </c>
      <c r="J31" t="s">
        <v>315</v>
      </c>
      <c r="K31" s="84" t="s">
        <v>317</v>
      </c>
    </row>
    <row r="32" spans="7:11" ht="18" customHeight="1" x14ac:dyDescent="0.25">
      <c r="G32" s="1" t="s">
        <v>361</v>
      </c>
      <c r="H32" t="s">
        <v>369</v>
      </c>
      <c r="I32" s="1" t="s">
        <v>362</v>
      </c>
      <c r="J32" t="s">
        <v>316</v>
      </c>
      <c r="K32" s="84" t="s">
        <v>363</v>
      </c>
    </row>
    <row r="33" spans="7:11" ht="18" customHeight="1" x14ac:dyDescent="0.35">
      <c r="G33" s="1" t="s">
        <v>358</v>
      </c>
      <c r="H33" t="s">
        <v>368</v>
      </c>
      <c r="I33" s="1" t="s">
        <v>245</v>
      </c>
      <c r="J33" t="s">
        <v>365</v>
      </c>
      <c r="K33" s="84" t="s">
        <v>364</v>
      </c>
    </row>
    <row r="34" spans="7:11" ht="18" customHeight="1" x14ac:dyDescent="0.35">
      <c r="G34" s="1" t="s">
        <v>359</v>
      </c>
      <c r="H34" t="s">
        <v>367</v>
      </c>
      <c r="I34" s="1" t="s">
        <v>245</v>
      </c>
      <c r="J34" t="s">
        <v>365</v>
      </c>
      <c r="K34" s="84" t="s">
        <v>364</v>
      </c>
    </row>
    <row r="35" spans="7:11" ht="18" customHeight="1" x14ac:dyDescent="0.35">
      <c r="G35" s="1" t="s">
        <v>360</v>
      </c>
      <c r="H35" t="s">
        <v>366</v>
      </c>
      <c r="I35" s="1" t="s">
        <v>245</v>
      </c>
      <c r="J35" t="s">
        <v>365</v>
      </c>
      <c r="K35" s="84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9"/>
  <sheetViews>
    <sheetView zoomScaleNormal="100" workbookViewId="0">
      <selection activeCell="E21" sqref="E21"/>
    </sheetView>
  </sheetViews>
  <sheetFormatPr defaultRowHeight="15" x14ac:dyDescent="0.25"/>
  <cols>
    <col min="1" max="4" width="11.7109375" customWidth="1"/>
    <col min="5" max="5" width="14.7109375" customWidth="1"/>
    <col min="6" max="10" width="11.7109375" customWidth="1"/>
    <col min="17" max="17" width="9.140625" customWidth="1"/>
  </cols>
  <sheetData>
    <row r="1" spans="1:23" s="188" customFormat="1" ht="15.75" customHeight="1" x14ac:dyDescent="0.25">
      <c r="A1" s="321" t="s">
        <v>290</v>
      </c>
    </row>
    <row r="2" spans="1:23" s="188" customFormat="1" ht="15.75" customHeight="1" x14ac:dyDescent="0.25">
      <c r="A2" s="292" t="s">
        <v>217</v>
      </c>
    </row>
    <row r="3" spans="1:23" s="188" customFormat="1" ht="15.75" customHeight="1" x14ac:dyDescent="0.25">
      <c r="A3" s="293" t="s">
        <v>144</v>
      </c>
      <c r="B3" s="303">
        <v>44056</v>
      </c>
    </row>
    <row r="4" spans="1:23" s="188" customFormat="1" ht="15.75" customHeight="1" x14ac:dyDescent="0.25">
      <c r="A4" s="191" t="s">
        <v>174</v>
      </c>
      <c r="B4" s="188" t="s">
        <v>145</v>
      </c>
    </row>
    <row r="5" spans="1:23" s="188" customFormat="1" ht="15.75" customHeight="1" x14ac:dyDescent="0.25"/>
    <row r="6" spans="1:23" s="188" customFormat="1" ht="15.75" customHeight="1" x14ac:dyDescent="0.25">
      <c r="B6" s="292" t="s">
        <v>49</v>
      </c>
      <c r="D6" s="192" t="s">
        <v>70</v>
      </c>
      <c r="E6" s="192" t="s">
        <v>71</v>
      </c>
      <c r="F6" s="192" t="s">
        <v>72</v>
      </c>
      <c r="K6" s="292" t="s">
        <v>206</v>
      </c>
    </row>
    <row r="7" spans="1:23" s="188" customFormat="1" ht="15.75" customHeight="1" x14ac:dyDescent="0.25">
      <c r="B7" s="292"/>
      <c r="C7" s="191" t="s">
        <v>331</v>
      </c>
      <c r="D7" s="189">
        <v>5</v>
      </c>
      <c r="E7" s="188" t="s">
        <v>61</v>
      </c>
      <c r="F7" s="188" t="s">
        <v>73</v>
      </c>
      <c r="N7" s="272" t="s">
        <v>59</v>
      </c>
      <c r="O7" s="272" t="s">
        <v>60</v>
      </c>
      <c r="P7" s="272"/>
      <c r="Q7" s="272"/>
      <c r="R7" s="188" t="s">
        <v>191</v>
      </c>
    </row>
    <row r="8" spans="1:23" s="188" customFormat="1" ht="15.75" customHeight="1" x14ac:dyDescent="0.25">
      <c r="B8" s="292"/>
      <c r="C8" s="191" t="s">
        <v>332</v>
      </c>
      <c r="D8" s="189">
        <f>20*20</f>
        <v>400</v>
      </c>
      <c r="E8" s="188" t="s">
        <v>188</v>
      </c>
      <c r="F8" s="188" t="s">
        <v>73</v>
      </c>
      <c r="M8" s="191" t="s">
        <v>93</v>
      </c>
      <c r="N8" s="191">
        <v>115.9</v>
      </c>
      <c r="O8" s="191">
        <v>27.9</v>
      </c>
      <c r="P8" s="294" t="s">
        <v>96</v>
      </c>
      <c r="Q8" s="294"/>
      <c r="R8" s="295">
        <f>O8/N8*100</f>
        <v>24.072476272648831</v>
      </c>
      <c r="S8" s="188" t="s">
        <v>88</v>
      </c>
    </row>
    <row r="9" spans="1:23" s="188" customFormat="1" ht="15.75" customHeight="1" x14ac:dyDescent="0.25">
      <c r="B9" s="292"/>
      <c r="C9" s="191" t="s">
        <v>333</v>
      </c>
      <c r="D9" s="189">
        <f>D7*D8</f>
        <v>2000</v>
      </c>
      <c r="E9" s="188" t="s">
        <v>189</v>
      </c>
      <c r="F9" s="188" t="s">
        <v>201</v>
      </c>
      <c r="M9" s="191" t="s">
        <v>57</v>
      </c>
      <c r="N9" s="188">
        <v>114</v>
      </c>
      <c r="O9" s="191">
        <v>98</v>
      </c>
      <c r="P9" s="191"/>
      <c r="Q9" s="191"/>
      <c r="R9" s="295">
        <f>O9/N9*100</f>
        <v>85.964912280701753</v>
      </c>
      <c r="S9" s="188" t="s">
        <v>89</v>
      </c>
    </row>
    <row r="10" spans="1:23" s="188" customFormat="1" ht="15.75" customHeight="1" x14ac:dyDescent="0.25">
      <c r="B10" s="292"/>
      <c r="C10" s="191"/>
      <c r="M10" s="191" t="s">
        <v>90</v>
      </c>
      <c r="N10" s="188">
        <f>SUM(N11:N12)</f>
        <v>45</v>
      </c>
      <c r="O10" s="188">
        <f>SUM(O11:O12)</f>
        <v>21</v>
      </c>
      <c r="R10" s="188" t="s">
        <v>192</v>
      </c>
    </row>
    <row r="11" spans="1:23" s="188" customFormat="1" ht="15.75" customHeight="1" x14ac:dyDescent="0.25">
      <c r="C11" s="191" t="s">
        <v>154</v>
      </c>
      <c r="D11" s="189">
        <v>2650</v>
      </c>
      <c r="E11" s="188" t="s">
        <v>386</v>
      </c>
      <c r="F11" s="188" t="s">
        <v>62</v>
      </c>
      <c r="M11" s="191" t="s">
        <v>91</v>
      </c>
      <c r="N11" s="188">
        <v>33</v>
      </c>
      <c r="O11" s="188">
        <v>15</v>
      </c>
    </row>
    <row r="12" spans="1:23" s="188" customFormat="1" ht="15.75" customHeight="1" x14ac:dyDescent="0.25">
      <c r="C12" s="191" t="s">
        <v>197</v>
      </c>
      <c r="D12" s="190">
        <v>0.4</v>
      </c>
      <c r="E12" s="188" t="s">
        <v>148</v>
      </c>
      <c r="F12" s="188" t="s">
        <v>196</v>
      </c>
      <c r="M12" s="191" t="s">
        <v>92</v>
      </c>
      <c r="N12" s="188">
        <v>12</v>
      </c>
      <c r="O12" s="188">
        <v>6</v>
      </c>
      <c r="U12" s="296"/>
      <c r="W12" s="296"/>
    </row>
    <row r="13" spans="1:23" s="188" customFormat="1" ht="15.75" customHeight="1" x14ac:dyDescent="0.25">
      <c r="C13" s="191" t="s">
        <v>328</v>
      </c>
      <c r="D13" s="188">
        <v>0.24</v>
      </c>
      <c r="E13" s="188" t="s">
        <v>200</v>
      </c>
      <c r="F13" s="188" t="s">
        <v>51</v>
      </c>
      <c r="M13" s="191" t="s">
        <v>94</v>
      </c>
      <c r="N13" s="188">
        <v>2.2999999999999998</v>
      </c>
      <c r="O13" s="188">
        <v>2.7</v>
      </c>
      <c r="P13" s="188" t="s">
        <v>104</v>
      </c>
    </row>
    <row r="14" spans="1:23" s="188" customFormat="1" ht="15.75" customHeight="1" x14ac:dyDescent="0.25">
      <c r="C14" s="191" t="s">
        <v>198</v>
      </c>
      <c r="D14" s="190">
        <f>D12/D12</f>
        <v>1</v>
      </c>
      <c r="E14" s="188" t="s">
        <v>190</v>
      </c>
      <c r="F14" s="188" t="s">
        <v>329</v>
      </c>
      <c r="M14" s="191" t="s">
        <v>95</v>
      </c>
      <c r="N14" s="188">
        <v>77.3</v>
      </c>
      <c r="O14" s="188">
        <v>11.6</v>
      </c>
      <c r="P14" s="294" t="s">
        <v>96</v>
      </c>
    </row>
    <row r="15" spans="1:23" s="188" customFormat="1" ht="15.75" customHeight="1" x14ac:dyDescent="0.25">
      <c r="C15" s="191" t="s">
        <v>330</v>
      </c>
      <c r="D15" s="190">
        <f>D13/D12</f>
        <v>0.6</v>
      </c>
      <c r="E15" s="188" t="s">
        <v>190</v>
      </c>
      <c r="F15" s="188" t="s">
        <v>199</v>
      </c>
      <c r="M15" s="191" t="s">
        <v>102</v>
      </c>
      <c r="N15" s="296">
        <v>1.3</v>
      </c>
      <c r="O15" s="190">
        <v>0.33</v>
      </c>
      <c r="P15" s="294" t="s">
        <v>97</v>
      </c>
    </row>
    <row r="16" spans="1:23" s="188" customFormat="1" ht="15.75" customHeight="1" x14ac:dyDescent="0.25">
      <c r="C16" s="191"/>
      <c r="M16" s="191" t="s">
        <v>103</v>
      </c>
      <c r="N16" s="188">
        <v>3.5</v>
      </c>
      <c r="O16" s="188">
        <v>1.1000000000000001</v>
      </c>
      <c r="P16" s="294" t="s">
        <v>97</v>
      </c>
    </row>
    <row r="17" spans="3:23" s="188" customFormat="1" ht="15.75" customHeight="1" x14ac:dyDescent="0.25">
      <c r="C17" s="191" t="s">
        <v>334</v>
      </c>
      <c r="D17" s="189">
        <f>D9*D12</f>
        <v>800</v>
      </c>
      <c r="E17" s="188" t="s">
        <v>189</v>
      </c>
      <c r="F17" s="188" t="s">
        <v>202</v>
      </c>
      <c r="M17" s="191"/>
    </row>
    <row r="18" spans="3:23" s="188" customFormat="1" ht="15.75" customHeight="1" x14ac:dyDescent="0.25">
      <c r="C18" s="191" t="s">
        <v>335</v>
      </c>
      <c r="D18" s="189">
        <f>D9*(1-D12)</f>
        <v>1200</v>
      </c>
      <c r="E18" s="188" t="s">
        <v>189</v>
      </c>
      <c r="F18" s="188" t="s">
        <v>203</v>
      </c>
      <c r="K18" s="292"/>
      <c r="L18" s="292"/>
      <c r="M18" s="191" t="s">
        <v>78</v>
      </c>
      <c r="N18" s="189">
        <f>$D8*(N14/100)*1000</f>
        <v>309200</v>
      </c>
      <c r="O18" s="189">
        <f>$D8*(O14/100)*1000</f>
        <v>46400</v>
      </c>
      <c r="P18" s="188" t="s">
        <v>64</v>
      </c>
    </row>
    <row r="19" spans="3:23" s="188" customFormat="1" ht="15.75" customHeight="1" x14ac:dyDescent="0.25">
      <c r="C19" s="191" t="s">
        <v>336</v>
      </c>
      <c r="D19" s="189">
        <f>D18*D11</f>
        <v>3180000</v>
      </c>
      <c r="E19" s="188" t="s">
        <v>387</v>
      </c>
      <c r="F19" s="188" t="s">
        <v>337</v>
      </c>
      <c r="K19" s="292"/>
      <c r="L19" s="292"/>
      <c r="M19" s="191" t="s">
        <v>98</v>
      </c>
      <c r="N19" s="190">
        <f>N18/$D19</f>
        <v>9.7232704402515718E-2</v>
      </c>
      <c r="O19" s="190">
        <f>O18/$D19</f>
        <v>1.459119496855346E-2</v>
      </c>
      <c r="P19" s="188" t="s">
        <v>45</v>
      </c>
    </row>
    <row r="20" spans="3:23" s="188" customFormat="1" ht="15.75" customHeight="1" x14ac:dyDescent="0.25">
      <c r="C20" s="191"/>
      <c r="D20" s="189">
        <f>D19/1000</f>
        <v>3180</v>
      </c>
      <c r="E20" s="188" t="s">
        <v>388</v>
      </c>
      <c r="F20" s="189" t="s">
        <v>74</v>
      </c>
      <c r="K20" s="292"/>
      <c r="L20" s="292"/>
    </row>
    <row r="21" spans="3:23" s="188" customFormat="1" ht="15.75" customHeight="1" x14ac:dyDescent="0.25">
      <c r="C21" s="191" t="s">
        <v>339</v>
      </c>
      <c r="D21" s="189">
        <f>D19/D9</f>
        <v>1590</v>
      </c>
      <c r="E21" s="188" t="s">
        <v>386</v>
      </c>
      <c r="F21" s="188" t="s">
        <v>338</v>
      </c>
      <c r="K21" s="292"/>
      <c r="L21" s="292"/>
    </row>
    <row r="22" spans="3:23" s="188" customFormat="1" ht="15.75" customHeight="1" x14ac:dyDescent="0.25">
      <c r="C22" s="191"/>
      <c r="K22" s="292"/>
      <c r="L22" s="292"/>
    </row>
    <row r="23" spans="3:23" s="188" customFormat="1" ht="15.75" customHeight="1" x14ac:dyDescent="0.25">
      <c r="C23" s="299" t="s">
        <v>52</v>
      </c>
      <c r="D23" s="192" t="s">
        <v>70</v>
      </c>
      <c r="E23" s="192" t="s">
        <v>71</v>
      </c>
      <c r="F23" s="192" t="s">
        <v>72</v>
      </c>
      <c r="K23" s="292" t="s">
        <v>50</v>
      </c>
      <c r="L23" s="292"/>
    </row>
    <row r="24" spans="3:23" s="188" customFormat="1" ht="15.75" customHeight="1" x14ac:dyDescent="0.25">
      <c r="C24" s="191" t="s">
        <v>53</v>
      </c>
      <c r="D24" s="190">
        <f>(D14*D$12*D$9)/D$19*1000</f>
        <v>0.25157232704402516</v>
      </c>
      <c r="E24" s="188" t="s">
        <v>389</v>
      </c>
      <c r="F24" s="99" t="s">
        <v>55</v>
      </c>
      <c r="N24" s="272" t="s">
        <v>59</v>
      </c>
      <c r="O24" s="272" t="s">
        <v>60</v>
      </c>
      <c r="Q24" s="188" t="s">
        <v>75</v>
      </c>
      <c r="U24" s="272" t="s">
        <v>59</v>
      </c>
      <c r="V24" s="272" t="s">
        <v>60</v>
      </c>
    </row>
    <row r="25" spans="3:23" s="188" customFormat="1" ht="15.75" customHeight="1" x14ac:dyDescent="0.25">
      <c r="C25" s="191" t="s">
        <v>54</v>
      </c>
      <c r="D25" s="190">
        <f>(D15*D$12*D$9)/D$19*1000</f>
        <v>0.15094339622641512</v>
      </c>
      <c r="E25" s="188" t="s">
        <v>389</v>
      </c>
      <c r="F25" s="99" t="s">
        <v>56</v>
      </c>
      <c r="M25" s="191"/>
      <c r="N25" s="297"/>
      <c r="O25" s="297"/>
      <c r="Q25" s="188" t="s">
        <v>76</v>
      </c>
      <c r="U25" s="190">
        <f>N15</f>
        <v>1.3</v>
      </c>
      <c r="V25" s="190">
        <f>O15</f>
        <v>0.33</v>
      </c>
      <c r="W25" s="188" t="s">
        <v>63</v>
      </c>
    </row>
    <row r="26" spans="3:23" s="188" customFormat="1" ht="15.75" customHeight="1" x14ac:dyDescent="0.25">
      <c r="C26" s="191" t="s">
        <v>341</v>
      </c>
      <c r="D26" s="190">
        <f>D24-D25</f>
        <v>0.10062893081761004</v>
      </c>
      <c r="E26" s="188" t="s">
        <v>389</v>
      </c>
      <c r="F26" s="99" t="s">
        <v>205</v>
      </c>
      <c r="Q26" s="188" t="s">
        <v>77</v>
      </c>
      <c r="U26" s="189">
        <f>$D8*(U25/100)*1000</f>
        <v>5200</v>
      </c>
      <c r="V26" s="189">
        <f>$D8*(V25/100)*1000</f>
        <v>1320</v>
      </c>
      <c r="W26" s="188" t="s">
        <v>64</v>
      </c>
    </row>
    <row r="27" spans="3:23" s="188" customFormat="1" ht="15.75" customHeight="1" x14ac:dyDescent="0.25">
      <c r="C27" s="188" t="s">
        <v>340</v>
      </c>
      <c r="U27" s="99">
        <f>U26/$D19</f>
        <v>1.6352201257861635E-3</v>
      </c>
      <c r="V27" s="298">
        <f>V26/$D19</f>
        <v>4.150943396226415E-4</v>
      </c>
      <c r="W27" s="188" t="s">
        <v>45</v>
      </c>
    </row>
    <row r="28" spans="3:23" s="188" customFormat="1" ht="15.75" customHeight="1" x14ac:dyDescent="0.25">
      <c r="M28" s="191"/>
      <c r="N28" s="296"/>
      <c r="O28" s="296"/>
    </row>
    <row r="29" spans="3:23" s="188" customFormat="1" ht="15.75" customHeight="1" x14ac:dyDescent="0.25"/>
    <row r="30" spans="3:23" s="188" customFormat="1" ht="15.75" customHeight="1" x14ac:dyDescent="0.25"/>
    <row r="31" spans="3:23" s="188" customFormat="1" ht="15.75" customHeight="1" x14ac:dyDescent="0.25"/>
    <row r="32" spans="3:23" s="188" customFormat="1" ht="15.75" customHeight="1" x14ac:dyDescent="0.25"/>
    <row r="33" spans="10:23" s="188" customFormat="1" ht="15.75" customHeight="1" x14ac:dyDescent="0.25"/>
    <row r="34" spans="10:23" s="188" customFormat="1" ht="15.75" customHeight="1" x14ac:dyDescent="0.25"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0:23" ht="15.75" customHeight="1" x14ac:dyDescent="0.25"/>
    <row r="36" spans="10:23" ht="15.75" customHeight="1" x14ac:dyDescent="0.25"/>
    <row r="37" spans="10:23" ht="15.75" customHeight="1" x14ac:dyDescent="0.25"/>
    <row r="38" spans="10:23" ht="15.75" customHeight="1" x14ac:dyDescent="0.25"/>
    <row r="39" spans="10:23" ht="15.75" customHeight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8"/>
  <sheetViews>
    <sheetView zoomScaleNormal="100" workbookViewId="0">
      <selection sqref="A1:A2"/>
    </sheetView>
  </sheetViews>
  <sheetFormatPr defaultRowHeight="15" x14ac:dyDescent="0.25"/>
  <cols>
    <col min="1" max="1" width="9.7109375" customWidth="1"/>
    <col min="2" max="2" width="13.28515625" customWidth="1"/>
    <col min="3" max="10" width="10.7109375" customWidth="1"/>
    <col min="11" max="11" width="16.7109375" customWidth="1"/>
    <col min="12" max="16" width="10.7109375" customWidth="1"/>
    <col min="17" max="17" width="9.7109375" customWidth="1"/>
    <col min="18" max="18" width="13.28515625" customWidth="1"/>
    <col min="19" max="26" width="10.7109375" customWidth="1"/>
    <col min="27" max="27" width="16.7109375" customWidth="1"/>
    <col min="28" max="32" width="10.7109375" customWidth="1"/>
  </cols>
  <sheetData>
    <row r="1" spans="1:32" ht="15.75" customHeight="1" x14ac:dyDescent="0.25">
      <c r="A1" s="64" t="s">
        <v>216</v>
      </c>
      <c r="Q1" s="6" t="s">
        <v>216</v>
      </c>
    </row>
    <row r="2" spans="1:32" ht="15.75" customHeight="1" x14ac:dyDescent="0.25">
      <c r="A2" s="6" t="s">
        <v>151</v>
      </c>
      <c r="Q2" s="6" t="s">
        <v>150</v>
      </c>
    </row>
    <row r="3" spans="1:32" ht="15.75" customHeight="1" x14ac:dyDescent="0.25">
      <c r="A3" s="5" t="s">
        <v>144</v>
      </c>
      <c r="B3" s="8" t="s">
        <v>146</v>
      </c>
      <c r="Q3" s="5" t="s">
        <v>144</v>
      </c>
      <c r="R3" s="8" t="s">
        <v>146</v>
      </c>
    </row>
    <row r="4" spans="1:32" s="188" customFormat="1" ht="15.75" customHeight="1" x14ac:dyDescent="0.25">
      <c r="A4" s="5" t="s">
        <v>174</v>
      </c>
      <c r="B4" s="84" t="s">
        <v>147</v>
      </c>
      <c r="F4" s="192" t="s">
        <v>70</v>
      </c>
      <c r="G4" s="192" t="s">
        <v>71</v>
      </c>
      <c r="H4" s="192" t="s">
        <v>72</v>
      </c>
      <c r="T4" s="192" t="s">
        <v>70</v>
      </c>
      <c r="U4" s="192" t="s">
        <v>71</v>
      </c>
      <c r="V4" s="192" t="s">
        <v>72</v>
      </c>
    </row>
    <row r="5" spans="1:32" s="188" customFormat="1" ht="15.75" customHeight="1" x14ac:dyDescent="0.25">
      <c r="E5" s="191" t="s">
        <v>156</v>
      </c>
      <c r="F5" s="188">
        <v>0.4</v>
      </c>
      <c r="G5" s="188" t="s">
        <v>148</v>
      </c>
      <c r="H5" s="188" t="s">
        <v>131</v>
      </c>
      <c r="I5" s="85"/>
      <c r="J5" s="85"/>
      <c r="K5" s="85"/>
      <c r="S5" s="191" t="s">
        <v>156</v>
      </c>
      <c r="T5" s="188">
        <v>0.21</v>
      </c>
      <c r="U5" s="188" t="s">
        <v>148</v>
      </c>
      <c r="V5" s="188" t="s">
        <v>134</v>
      </c>
    </row>
    <row r="6" spans="1:32" s="188" customFormat="1" ht="15.75" customHeight="1" x14ac:dyDescent="0.25">
      <c r="E6" s="191" t="s">
        <v>154</v>
      </c>
      <c r="F6" s="189">
        <v>2650</v>
      </c>
      <c r="G6" s="188" t="s">
        <v>149</v>
      </c>
      <c r="H6" s="188" t="s">
        <v>132</v>
      </c>
      <c r="S6" s="191" t="s">
        <v>154</v>
      </c>
      <c r="T6" s="189">
        <v>2650</v>
      </c>
      <c r="U6" s="188" t="s">
        <v>149</v>
      </c>
      <c r="V6" s="188" t="s">
        <v>132</v>
      </c>
    </row>
    <row r="7" spans="1:32" s="188" customFormat="1" ht="15.75" customHeight="1" x14ac:dyDescent="0.25">
      <c r="E7" s="191" t="s">
        <v>155</v>
      </c>
      <c r="F7" s="190">
        <f>F5/((1-F5)*F6)*1000</f>
        <v>0.25157232704402516</v>
      </c>
      <c r="G7" s="188" t="s">
        <v>45</v>
      </c>
      <c r="H7" s="188" t="s">
        <v>153</v>
      </c>
      <c r="S7" s="191" t="s">
        <v>155</v>
      </c>
      <c r="T7" s="190">
        <f>T5/((1-T5)*T6)*1000</f>
        <v>0.10031048483401002</v>
      </c>
      <c r="U7" s="188" t="s">
        <v>45</v>
      </c>
      <c r="V7" s="188" t="s">
        <v>133</v>
      </c>
    </row>
    <row r="8" spans="1:32" s="188" customFormat="1" ht="15.75" customHeight="1" x14ac:dyDescent="0.25"/>
    <row r="9" spans="1:32" s="188" customFormat="1" ht="15.75" customHeight="1" x14ac:dyDescent="0.25">
      <c r="B9" s="193"/>
      <c r="D9" s="537" t="s">
        <v>165</v>
      </c>
      <c r="E9" s="538"/>
      <c r="F9" s="539"/>
      <c r="G9" s="537" t="s">
        <v>166</v>
      </c>
      <c r="H9" s="538"/>
      <c r="I9" s="539"/>
      <c r="J9" s="537" t="s">
        <v>167</v>
      </c>
      <c r="K9" s="538"/>
      <c r="L9" s="538"/>
      <c r="M9" s="539"/>
      <c r="N9" s="537" t="s">
        <v>168</v>
      </c>
      <c r="O9" s="538"/>
      <c r="P9" s="539"/>
      <c r="R9" s="193"/>
      <c r="T9" s="537" t="s">
        <v>165</v>
      </c>
      <c r="U9" s="538"/>
      <c r="V9" s="539"/>
      <c r="W9" s="537" t="s">
        <v>166</v>
      </c>
      <c r="X9" s="538"/>
      <c r="Y9" s="539"/>
      <c r="Z9" s="537" t="s">
        <v>167</v>
      </c>
      <c r="AA9" s="538"/>
      <c r="AB9" s="538"/>
      <c r="AC9" s="539"/>
      <c r="AD9" s="537" t="s">
        <v>168</v>
      </c>
      <c r="AE9" s="538"/>
      <c r="AF9" s="539"/>
    </row>
    <row r="10" spans="1:32" s="194" customFormat="1" ht="30" customHeight="1" x14ac:dyDescent="0.25">
      <c r="B10" s="248" t="s">
        <v>4</v>
      </c>
      <c r="C10" s="249" t="s">
        <v>143</v>
      </c>
      <c r="D10" s="250" t="s">
        <v>6</v>
      </c>
      <c r="E10" s="249" t="s">
        <v>157</v>
      </c>
      <c r="F10" s="251" t="s">
        <v>38</v>
      </c>
      <c r="G10" s="250" t="s">
        <v>36</v>
      </c>
      <c r="H10" s="249" t="s">
        <v>157</v>
      </c>
      <c r="I10" s="251" t="s">
        <v>38</v>
      </c>
      <c r="J10" s="249" t="s">
        <v>169</v>
      </c>
      <c r="K10" s="249" t="s">
        <v>171</v>
      </c>
      <c r="L10" s="249" t="s">
        <v>157</v>
      </c>
      <c r="M10" s="251" t="s">
        <v>38</v>
      </c>
      <c r="N10" s="249" t="s">
        <v>170</v>
      </c>
      <c r="O10" s="249" t="s">
        <v>157</v>
      </c>
      <c r="P10" s="251" t="s">
        <v>38</v>
      </c>
      <c r="R10" s="248" t="s">
        <v>4</v>
      </c>
      <c r="S10" s="249" t="s">
        <v>143</v>
      </c>
      <c r="T10" s="250" t="s">
        <v>6</v>
      </c>
      <c r="U10" s="249" t="s">
        <v>157</v>
      </c>
      <c r="V10" s="251" t="s">
        <v>38</v>
      </c>
      <c r="W10" s="250" t="s">
        <v>36</v>
      </c>
      <c r="X10" s="249" t="s">
        <v>157</v>
      </c>
      <c r="Y10" s="251" t="s">
        <v>38</v>
      </c>
      <c r="Z10" s="249" t="s">
        <v>169</v>
      </c>
      <c r="AA10" s="249" t="s">
        <v>171</v>
      </c>
      <c r="AB10" s="249" t="s">
        <v>157</v>
      </c>
      <c r="AC10" s="251" t="s">
        <v>38</v>
      </c>
      <c r="AD10" s="249" t="s">
        <v>170</v>
      </c>
      <c r="AE10" s="249" t="s">
        <v>157</v>
      </c>
      <c r="AF10" s="251" t="s">
        <v>38</v>
      </c>
    </row>
    <row r="11" spans="1:32" s="188" customFormat="1" ht="15.75" customHeight="1" x14ac:dyDescent="0.25">
      <c r="B11" s="217"/>
      <c r="C11" s="253" t="s">
        <v>7</v>
      </c>
      <c r="D11" s="254" t="s">
        <v>8</v>
      </c>
      <c r="E11" s="253" t="s">
        <v>7</v>
      </c>
      <c r="F11" s="255" t="s">
        <v>37</v>
      </c>
      <c r="G11" s="254" t="s">
        <v>8</v>
      </c>
      <c r="H11" s="253" t="s">
        <v>7</v>
      </c>
      <c r="I11" s="255" t="s">
        <v>37</v>
      </c>
      <c r="J11" s="253" t="s">
        <v>7</v>
      </c>
      <c r="K11" s="253"/>
      <c r="L11" s="253" t="s">
        <v>7</v>
      </c>
      <c r="M11" s="255"/>
      <c r="N11" s="253" t="s">
        <v>7</v>
      </c>
      <c r="O11" s="253" t="s">
        <v>7</v>
      </c>
      <c r="P11" s="255" t="s">
        <v>37</v>
      </c>
      <c r="R11" s="217"/>
      <c r="S11" s="253" t="s">
        <v>7</v>
      </c>
      <c r="T11" s="254" t="s">
        <v>8</v>
      </c>
      <c r="U11" s="253" t="s">
        <v>7</v>
      </c>
      <c r="V11" s="255" t="s">
        <v>37</v>
      </c>
      <c r="W11" s="254" t="s">
        <v>8</v>
      </c>
      <c r="X11" s="253" t="s">
        <v>7</v>
      </c>
      <c r="Y11" s="255" t="s">
        <v>37</v>
      </c>
      <c r="Z11" s="253" t="s">
        <v>7</v>
      </c>
      <c r="AA11" s="253"/>
      <c r="AB11" s="253" t="s">
        <v>7</v>
      </c>
      <c r="AC11" s="255"/>
      <c r="AD11" s="253" t="s">
        <v>7</v>
      </c>
      <c r="AE11" s="253" t="s">
        <v>7</v>
      </c>
      <c r="AF11" s="255" t="s">
        <v>37</v>
      </c>
    </row>
    <row r="12" spans="1:32" s="252" customFormat="1" ht="30" customHeight="1" thickBot="1" x14ac:dyDescent="0.3">
      <c r="B12" s="259" t="s">
        <v>160</v>
      </c>
      <c r="C12" s="256"/>
      <c r="D12" s="257" t="s">
        <v>3</v>
      </c>
      <c r="E12" s="256" t="s">
        <v>152</v>
      </c>
      <c r="F12" s="258" t="s">
        <v>158</v>
      </c>
      <c r="G12" s="273" t="s">
        <v>175</v>
      </c>
      <c r="H12" s="256" t="s">
        <v>163</v>
      </c>
      <c r="I12" s="258" t="s">
        <v>158</v>
      </c>
      <c r="J12" s="256" t="s">
        <v>161</v>
      </c>
      <c r="K12" s="256" t="s">
        <v>173</v>
      </c>
      <c r="L12" s="256" t="s">
        <v>164</v>
      </c>
      <c r="M12" s="258" t="s">
        <v>158</v>
      </c>
      <c r="N12" s="256" t="s">
        <v>162</v>
      </c>
      <c r="O12" s="256" t="s">
        <v>172</v>
      </c>
      <c r="P12" s="258" t="s">
        <v>158</v>
      </c>
      <c r="R12" s="259" t="s">
        <v>160</v>
      </c>
      <c r="S12" s="256"/>
      <c r="T12" s="257" t="s">
        <v>3</v>
      </c>
      <c r="U12" s="256" t="s">
        <v>152</v>
      </c>
      <c r="V12" s="258" t="s">
        <v>158</v>
      </c>
      <c r="W12" s="273" t="s">
        <v>175</v>
      </c>
      <c r="X12" s="256" t="s">
        <v>163</v>
      </c>
      <c r="Y12" s="258" t="s">
        <v>158</v>
      </c>
      <c r="Z12" s="256" t="s">
        <v>161</v>
      </c>
      <c r="AA12" s="256" t="s">
        <v>173</v>
      </c>
      <c r="AB12" s="256" t="s">
        <v>164</v>
      </c>
      <c r="AC12" s="258" t="s">
        <v>158</v>
      </c>
      <c r="AD12" s="256" t="s">
        <v>162</v>
      </c>
      <c r="AE12" s="256" t="s">
        <v>172</v>
      </c>
      <c r="AF12" s="258" t="s">
        <v>158</v>
      </c>
    </row>
    <row r="13" spans="1:32" s="188" customFormat="1" ht="15.75" customHeight="1" thickTop="1" x14ac:dyDescent="0.25">
      <c r="B13" s="195" t="s">
        <v>9</v>
      </c>
      <c r="C13" s="196">
        <v>50</v>
      </c>
      <c r="D13" s="197">
        <v>25873</v>
      </c>
      <c r="E13" s="198">
        <f>D13/F$7</f>
        <v>102845.175</v>
      </c>
      <c r="F13" s="199">
        <f>IF(AND(ISNUMBER($C13), ISNUMBER(E13)), E13/$C13, "")</f>
        <v>2056.9034999999999</v>
      </c>
      <c r="G13" s="262">
        <v>985</v>
      </c>
      <c r="H13" s="198">
        <f>IF(ISNUMBER(G13), G13/F$7, "")</f>
        <v>3915.375</v>
      </c>
      <c r="I13" s="199">
        <f>IF(AND(ISNUMBER($C13), ISNUMBER(H13)), H13/$C13, "")</f>
        <v>78.307500000000005</v>
      </c>
      <c r="J13" s="200">
        <v>3.39</v>
      </c>
      <c r="K13" s="269" t="s">
        <v>47</v>
      </c>
      <c r="L13" s="201">
        <f t="shared" ref="L13:L46" si="0">IF(AND(ISTEXT(K13), ISNUMBER(J13)), IF(K13="Available Content", J13*10/$F$7, J13), "")</f>
        <v>3.39</v>
      </c>
      <c r="M13" s="202">
        <f>IF(AND(ISNUMBER($C13), ISNUMBER(L13)), L13/$C13, "")</f>
        <v>6.7799999999999999E-2</v>
      </c>
      <c r="N13" s="203">
        <v>5.0500000000000003E-2</v>
      </c>
      <c r="O13" s="201">
        <f>IF(AND(ISTEXT(K13),ISNUMBER(J13),ISNUMBER(N13)),MAX(L13,N13),"")</f>
        <v>3.39</v>
      </c>
      <c r="P13" s="202">
        <f>IF(AND(ISNUMBER($C13), ISNUMBER(O13)), O13/$C13, "")</f>
        <v>6.7799999999999999E-2</v>
      </c>
      <c r="R13" s="280" t="s">
        <v>9</v>
      </c>
      <c r="S13" s="196">
        <v>50</v>
      </c>
      <c r="T13" s="197">
        <v>25456</v>
      </c>
      <c r="U13" s="198">
        <f>IF(ISNUMBER(T13), T13/$T$7, "")</f>
        <v>253772.07619047622</v>
      </c>
      <c r="V13" s="199">
        <f>IF(AND(ISNUMBER($C13), ISNUMBER(U13)), U13/$C13, "")</f>
        <v>5075.4415238095244</v>
      </c>
      <c r="W13" s="197">
        <v>2470</v>
      </c>
      <c r="X13" s="198">
        <f>IF(ISNUMBER(W13), W13/T$7, "")</f>
        <v>24623.547619047622</v>
      </c>
      <c r="Y13" s="199">
        <f>IF(AND(ISNUMBER($C13), ISNUMBER(X13)), X13/$C13, "")</f>
        <v>492.47095238095244</v>
      </c>
      <c r="Z13" s="204">
        <v>0.13100000000000001</v>
      </c>
      <c r="AA13" s="196" t="s">
        <v>47</v>
      </c>
      <c r="AB13" s="205">
        <f t="shared" ref="AB13:AB46" si="1">IF(AND(ISTEXT(AA13), ISNUMBER(Z13)), IF(AA13="Available Content", Z13*10/$F$7, Z13), "")</f>
        <v>0.13100000000000001</v>
      </c>
      <c r="AC13" s="206">
        <f>IF(AND(ISNUMBER($C13), ISNUMBER(AB13)), AB13/$C13, "")</f>
        <v>2.6199999999999999E-3</v>
      </c>
      <c r="AD13" s="204">
        <v>0.254</v>
      </c>
      <c r="AE13" s="205">
        <f t="shared" ref="AE13:AE28" si="2">IF(AND(ISTEXT(AA13),ISNUMBER(Z13),ISNUMBER(AD13)),MAX(AB13,AD13),"")</f>
        <v>0.254</v>
      </c>
      <c r="AF13" s="206">
        <f>IF(AND(ISNUMBER($C13), ISNUMBER(AE13)), AE13/$C13, "")</f>
        <v>5.0800000000000003E-3</v>
      </c>
    </row>
    <row r="14" spans="1:32" s="188" customFormat="1" ht="15.75" customHeight="1" x14ac:dyDescent="0.25">
      <c r="B14" s="275" t="s">
        <v>10</v>
      </c>
      <c r="C14" s="207">
        <v>6.0000000000000001E-3</v>
      </c>
      <c r="D14" s="208">
        <v>458</v>
      </c>
      <c r="E14" s="209">
        <f>D14/F$7</f>
        <v>1820.55</v>
      </c>
      <c r="F14" s="210">
        <f t="shared" ref="F14:F46" si="3">IF(AND(ISNUMBER(C14), ISNUMBER(E14)), E14/C14, "")</f>
        <v>303425</v>
      </c>
      <c r="G14" s="263">
        <v>12.9</v>
      </c>
      <c r="H14" s="209">
        <f>IF(ISNUMBER(G14), G14/F$7, "")</f>
        <v>51.277500000000003</v>
      </c>
      <c r="I14" s="210">
        <f>IF(AND(ISNUMBER($C14), ISNUMBER(H14)), H14/$C14, "")</f>
        <v>8546.25</v>
      </c>
      <c r="J14" s="207">
        <v>0.25</v>
      </c>
      <c r="K14" s="270" t="s">
        <v>47</v>
      </c>
      <c r="L14" s="212">
        <f t="shared" si="0"/>
        <v>0.25</v>
      </c>
      <c r="M14" s="210">
        <f t="shared" ref="M14:M46" si="4">IF(AND(ISNUMBER($C14), ISNUMBER(L14)), L14/$C14, "")</f>
        <v>41.666666666666664</v>
      </c>
      <c r="N14" s="213">
        <v>7.0199999999999999E-2</v>
      </c>
      <c r="O14" s="214">
        <f t="shared" ref="O14:O46" si="5">IF(AND(ISTEXT(K14),ISNUMBER(J14),ISNUMBER(N14)),MAX(L14,N14),"")</f>
        <v>0.25</v>
      </c>
      <c r="P14" s="278">
        <f t="shared" ref="P14:P46" si="6">IF(AND(ISNUMBER($C14), ISNUMBER(O14)), O14/$C14, "")</f>
        <v>41.666666666666664</v>
      </c>
      <c r="R14" s="275" t="s">
        <v>10</v>
      </c>
      <c r="S14" s="207">
        <v>6.0000000000000001E-3</v>
      </c>
      <c r="T14" s="208">
        <v>444</v>
      </c>
      <c r="U14" s="209">
        <f t="shared" ref="U14:U46" si="7">IF(ISNUMBER(T14), T14/$T$7, "")</f>
        <v>4426.2571428571437</v>
      </c>
      <c r="V14" s="210">
        <f t="shared" ref="V14:V46" si="8">IF(AND(ISNUMBER(S14), ISNUMBER(U14)), U14/S14, "")</f>
        <v>737709.5238095239</v>
      </c>
      <c r="W14" s="215">
        <v>53.95000000000001</v>
      </c>
      <c r="X14" s="209">
        <f>IF(ISNUMBER(W14), W14/T$7, "")</f>
        <v>537.83011904761918</v>
      </c>
      <c r="Y14" s="210">
        <f>IF(AND(ISNUMBER($C14), ISNUMBER(X14)), X14/$C14, "")</f>
        <v>89638.353174603195</v>
      </c>
      <c r="Z14" s="207">
        <v>0.20899999999999999</v>
      </c>
      <c r="AA14" s="211" t="s">
        <v>47</v>
      </c>
      <c r="AB14" s="212">
        <f t="shared" si="1"/>
        <v>0.20899999999999999</v>
      </c>
      <c r="AC14" s="210">
        <f t="shared" ref="AC14:AC46" si="9">IF(AND(ISNUMBER($C14), ISNUMBER(AB14)), AB14/$C14, "")</f>
        <v>34.833333333333329</v>
      </c>
      <c r="AD14" s="216">
        <v>1.1299999999999999</v>
      </c>
      <c r="AE14" s="212">
        <f t="shared" si="2"/>
        <v>1.1299999999999999</v>
      </c>
      <c r="AF14" s="278">
        <f t="shared" ref="AF14:AF46" si="10">IF(AND(ISNUMBER($C14), ISNUMBER(AE14)), AE14/$C14, "")</f>
        <v>188.33333333333331</v>
      </c>
    </row>
    <row r="15" spans="1:32" s="188" customFormat="1" ht="15.75" customHeight="1" x14ac:dyDescent="0.25">
      <c r="B15" s="275" t="s">
        <v>11</v>
      </c>
      <c r="C15" s="216">
        <v>0.01</v>
      </c>
      <c r="D15" s="208">
        <v>355</v>
      </c>
      <c r="E15" s="209">
        <f>D15/F$7</f>
        <v>1411.125</v>
      </c>
      <c r="F15" s="210">
        <f t="shared" si="3"/>
        <v>141112.5</v>
      </c>
      <c r="G15" s="263">
        <v>800</v>
      </c>
      <c r="H15" s="209">
        <f>IF(ISNUMBER(G15), G15/F$7, "")</f>
        <v>3180</v>
      </c>
      <c r="I15" s="210">
        <f>IF(AND(ISNUMBER($C15), ISNUMBER(H15)), H15/$C15, "")</f>
        <v>318000</v>
      </c>
      <c r="J15" s="223">
        <v>0.127</v>
      </c>
      <c r="K15" s="270" t="s">
        <v>47</v>
      </c>
      <c r="L15" s="214">
        <f t="shared" si="0"/>
        <v>0.127</v>
      </c>
      <c r="M15" s="210">
        <f t="shared" si="4"/>
        <v>12.7</v>
      </c>
      <c r="N15" s="207">
        <v>3.6999999999999998E-2</v>
      </c>
      <c r="O15" s="214">
        <f t="shared" si="5"/>
        <v>0.127</v>
      </c>
      <c r="P15" s="278">
        <f t="shared" si="6"/>
        <v>12.7</v>
      </c>
      <c r="R15" s="275" t="s">
        <v>11</v>
      </c>
      <c r="S15" s="216">
        <v>0.01</v>
      </c>
      <c r="T15" s="208">
        <v>251.4</v>
      </c>
      <c r="U15" s="209">
        <f t="shared" si="7"/>
        <v>2506.218571428572</v>
      </c>
      <c r="V15" s="210">
        <f t="shared" si="8"/>
        <v>250621.85714285719</v>
      </c>
      <c r="W15" s="265">
        <v>767.4</v>
      </c>
      <c r="X15" s="209">
        <f>IF(ISNUMBER(W15), W15/T$7, "")</f>
        <v>7650.2471428571434</v>
      </c>
      <c r="Y15" s="210">
        <f>IF(AND(ISNUMBER($C15), ISNUMBER(X15)), X15/$C15, "")</f>
        <v>765024.71428571432</v>
      </c>
      <c r="Z15" s="223">
        <v>0.35499999999999998</v>
      </c>
      <c r="AA15" s="211" t="s">
        <v>47</v>
      </c>
      <c r="AB15" s="214">
        <f t="shared" si="1"/>
        <v>0.35499999999999998</v>
      </c>
      <c r="AC15" s="210">
        <f t="shared" si="9"/>
        <v>35.5</v>
      </c>
      <c r="AD15" s="207">
        <v>0.10100000000000001</v>
      </c>
      <c r="AE15" s="214">
        <f t="shared" si="2"/>
        <v>0.35499999999999998</v>
      </c>
      <c r="AF15" s="278">
        <f t="shared" si="10"/>
        <v>35.5</v>
      </c>
    </row>
    <row r="16" spans="1:32" s="188" customFormat="1" ht="15.75" customHeight="1" x14ac:dyDescent="0.25">
      <c r="B16" s="275" t="s">
        <v>12</v>
      </c>
      <c r="C16" s="218">
        <v>2</v>
      </c>
      <c r="D16" s="208">
        <v>529</v>
      </c>
      <c r="E16" s="209">
        <f>D16/F$7</f>
        <v>2102.7750000000001</v>
      </c>
      <c r="F16" s="210">
        <f t="shared" si="3"/>
        <v>1051.3875</v>
      </c>
      <c r="G16" s="264">
        <v>0.80300000000000005</v>
      </c>
      <c r="H16" s="212">
        <f>IF(ISNUMBER(G16), G16/F$7, "")</f>
        <v>3.1919250000000003</v>
      </c>
      <c r="I16" s="220">
        <f>IF(AND(ISNUMBER($C16), ISNUMBER(H16)), H16/$C16, "")</f>
        <v>1.5959625000000002</v>
      </c>
      <c r="J16" s="207">
        <v>9.5000000000000001E-2</v>
      </c>
      <c r="K16" s="270" t="s">
        <v>47</v>
      </c>
      <c r="L16" s="214">
        <f t="shared" si="0"/>
        <v>9.5000000000000001E-2</v>
      </c>
      <c r="M16" s="221">
        <f t="shared" si="4"/>
        <v>4.7500000000000001E-2</v>
      </c>
      <c r="N16" s="207">
        <v>0.13100000000000001</v>
      </c>
      <c r="O16" s="214">
        <f t="shared" si="5"/>
        <v>0.13100000000000001</v>
      </c>
      <c r="P16" s="220">
        <f t="shared" si="6"/>
        <v>6.5500000000000003E-2</v>
      </c>
      <c r="R16" s="275" t="s">
        <v>12</v>
      </c>
      <c r="S16" s="218">
        <v>2</v>
      </c>
      <c r="T16" s="208">
        <v>518.79999999999995</v>
      </c>
      <c r="U16" s="209">
        <f t="shared" si="7"/>
        <v>5171.9419047619049</v>
      </c>
      <c r="V16" s="210">
        <f t="shared" si="8"/>
        <v>2585.9709523809524</v>
      </c>
      <c r="W16" s="222">
        <v>7.365000000000002</v>
      </c>
      <c r="X16" s="212">
        <f>IF(ISNUMBER(W16), W16/T$7, "")</f>
        <v>73.422035714285741</v>
      </c>
      <c r="Y16" s="210">
        <f>IF(AND(ISNUMBER($C16), ISNUMBER(X16)), X16/$C16, "")</f>
        <v>36.71101785714287</v>
      </c>
      <c r="Z16" s="207">
        <v>0.42399999999999999</v>
      </c>
      <c r="AA16" s="211" t="s">
        <v>47</v>
      </c>
      <c r="AB16" s="214">
        <f t="shared" si="1"/>
        <v>0.42399999999999999</v>
      </c>
      <c r="AC16" s="220">
        <f t="shared" si="9"/>
        <v>0.21199999999999999</v>
      </c>
      <c r="AD16" s="207">
        <v>0.128</v>
      </c>
      <c r="AE16" s="214">
        <f t="shared" si="2"/>
        <v>0.42399999999999999</v>
      </c>
      <c r="AF16" s="220">
        <f t="shared" si="10"/>
        <v>0.21199999999999999</v>
      </c>
    </row>
    <row r="17" spans="2:32" s="188" customFormat="1" ht="15.75" customHeight="1" x14ac:dyDescent="0.25">
      <c r="B17" s="275" t="s">
        <v>13</v>
      </c>
      <c r="C17" s="223">
        <v>4.0000000000000001E-3</v>
      </c>
      <c r="D17" s="222">
        <v>0.34</v>
      </c>
      <c r="E17" s="214">
        <f>D17/F$7</f>
        <v>1.3515000000000001</v>
      </c>
      <c r="F17" s="220">
        <f t="shared" si="3"/>
        <v>337.87500000000006</v>
      </c>
      <c r="G17" s="264">
        <v>0.184</v>
      </c>
      <c r="H17" s="212">
        <f>IF(ISNUMBER(G17), G17/F$7, "")</f>
        <v>0.73139999999999994</v>
      </c>
      <c r="I17" s="210">
        <f>IF(AND(ISNUMBER($C17), ISNUMBER(H17)), H17/$C17, "")</f>
        <v>182.85</v>
      </c>
      <c r="J17" s="207">
        <v>2.2799999999999999E-3</v>
      </c>
      <c r="K17" s="270" t="s">
        <v>47</v>
      </c>
      <c r="L17" s="214">
        <f t="shared" si="0"/>
        <v>2.2799999999999999E-3</v>
      </c>
      <c r="M17" s="221">
        <f t="shared" si="4"/>
        <v>0.56999999999999995</v>
      </c>
      <c r="N17" s="224">
        <v>6.4000000000000005E-4</v>
      </c>
      <c r="O17" s="214">
        <f t="shared" si="5"/>
        <v>2.2799999999999999E-3</v>
      </c>
      <c r="P17" s="220">
        <f t="shared" si="6"/>
        <v>0.56999999999999995</v>
      </c>
      <c r="R17" s="275" t="s">
        <v>13</v>
      </c>
      <c r="S17" s="223">
        <v>4.0000000000000001E-3</v>
      </c>
      <c r="T17" s="225">
        <v>0.38</v>
      </c>
      <c r="U17" s="214">
        <f t="shared" si="7"/>
        <v>3.7882380952380958</v>
      </c>
      <c r="V17" s="210">
        <f t="shared" si="8"/>
        <v>947.05952380952397</v>
      </c>
      <c r="W17" s="219">
        <v>0.21650000000000005</v>
      </c>
      <c r="X17" s="212">
        <f>IF(ISNUMBER(W17), W17/T$7, "")</f>
        <v>2.1582988095238105</v>
      </c>
      <c r="Y17" s="210">
        <f>IF(AND(ISNUMBER($C17), ISNUMBER(X17)), X17/$C17, "")</f>
        <v>539.57470238095266</v>
      </c>
      <c r="Z17" s="224">
        <v>6.4000000000000005E-4</v>
      </c>
      <c r="AA17" s="211" t="s">
        <v>47</v>
      </c>
      <c r="AB17" s="226">
        <f t="shared" si="1"/>
        <v>6.4000000000000005E-4</v>
      </c>
      <c r="AC17" s="220">
        <f t="shared" si="9"/>
        <v>0.16</v>
      </c>
      <c r="AD17" s="227">
        <v>1E-3</v>
      </c>
      <c r="AE17" s="214">
        <f t="shared" si="2"/>
        <v>1E-3</v>
      </c>
      <c r="AF17" s="220">
        <f t="shared" si="10"/>
        <v>0.25</v>
      </c>
    </row>
    <row r="18" spans="2:32" s="188" customFormat="1" ht="15.75" customHeight="1" x14ac:dyDescent="0.25">
      <c r="B18" s="275" t="s">
        <v>14</v>
      </c>
      <c r="C18" s="260" t="s">
        <v>46</v>
      </c>
      <c r="D18" s="228" t="s">
        <v>159</v>
      </c>
      <c r="E18" s="229" t="s">
        <v>46</v>
      </c>
      <c r="F18" s="521"/>
      <c r="G18" s="522"/>
      <c r="H18" s="522"/>
      <c r="I18" s="522"/>
      <c r="J18" s="522"/>
      <c r="K18" s="523"/>
      <c r="L18" s="522" t="str">
        <f t="shared" si="0"/>
        <v/>
      </c>
      <c r="M18" s="522" t="str">
        <f t="shared" si="4"/>
        <v/>
      </c>
      <c r="N18" s="522"/>
      <c r="O18" s="522" t="str">
        <f t="shared" si="5"/>
        <v/>
      </c>
      <c r="P18" s="522" t="str">
        <f t="shared" si="6"/>
        <v/>
      </c>
      <c r="R18" s="275" t="s">
        <v>14</v>
      </c>
      <c r="S18" s="207"/>
      <c r="T18" s="228" t="s">
        <v>159</v>
      </c>
      <c r="U18" s="229" t="s">
        <v>46</v>
      </c>
      <c r="V18" s="521" t="str">
        <f t="shared" si="8"/>
        <v/>
      </c>
      <c r="W18" s="522"/>
      <c r="X18" s="522"/>
      <c r="Y18" s="522"/>
      <c r="Z18" s="522"/>
      <c r="AA18" s="522"/>
      <c r="AB18" s="522" t="str">
        <f t="shared" si="1"/>
        <v/>
      </c>
      <c r="AC18" s="522" t="str">
        <f t="shared" si="9"/>
        <v/>
      </c>
      <c r="AD18" s="522"/>
      <c r="AE18" s="522" t="str">
        <f t="shared" si="2"/>
        <v/>
      </c>
      <c r="AF18" s="522" t="str">
        <f t="shared" si="10"/>
        <v/>
      </c>
    </row>
    <row r="19" spans="2:32" s="188" customFormat="1" ht="15.75" customHeight="1" x14ac:dyDescent="0.25">
      <c r="B19" s="275" t="s">
        <v>15</v>
      </c>
      <c r="C19" s="223">
        <v>5.0000000000000001E-3</v>
      </c>
      <c r="D19" s="230">
        <v>14000</v>
      </c>
      <c r="E19" s="209">
        <f>D19/F$7</f>
        <v>55650</v>
      </c>
      <c r="F19" s="210">
        <f t="shared" si="3"/>
        <v>11130000</v>
      </c>
      <c r="G19" s="208">
        <v>501</v>
      </c>
      <c r="H19" s="209">
        <f>IF(ISNUMBER(G19), G19/F$7, "")</f>
        <v>1991.4749999999999</v>
      </c>
      <c r="I19" s="210">
        <f>IF(AND(ISNUMBER($C19), ISNUMBER(H19)), H19/$C19, "")</f>
        <v>398295</v>
      </c>
      <c r="J19" s="231">
        <v>22.9</v>
      </c>
      <c r="K19" s="270" t="s">
        <v>47</v>
      </c>
      <c r="L19" s="232">
        <f t="shared" si="0"/>
        <v>22.9</v>
      </c>
      <c r="M19" s="210">
        <f t="shared" si="4"/>
        <v>4580</v>
      </c>
      <c r="N19" s="231">
        <v>15.4</v>
      </c>
      <c r="O19" s="232">
        <f t="shared" si="5"/>
        <v>22.9</v>
      </c>
      <c r="P19" s="278">
        <f t="shared" si="6"/>
        <v>4580</v>
      </c>
      <c r="R19" s="275" t="s">
        <v>15</v>
      </c>
      <c r="S19" s="223">
        <v>5.0000000000000001E-3</v>
      </c>
      <c r="T19" s="230">
        <v>13000</v>
      </c>
      <c r="U19" s="209">
        <f t="shared" si="7"/>
        <v>129597.61904761907</v>
      </c>
      <c r="V19" s="210">
        <f t="shared" si="8"/>
        <v>25919523.809523813</v>
      </c>
      <c r="W19" s="263">
        <v>380</v>
      </c>
      <c r="X19" s="209">
        <f>IF(ISNUMBER(W19), W19/T$7, "")</f>
        <v>3788.2380952380959</v>
      </c>
      <c r="Y19" s="210">
        <f>IF(AND(ISNUMBER($C19), ISNUMBER(X19)), X19/$C19, "")</f>
        <v>757647.61904761917</v>
      </c>
      <c r="Z19" s="213">
        <v>9.4299999999999995E-2</v>
      </c>
      <c r="AA19" s="211" t="s">
        <v>47</v>
      </c>
      <c r="AB19" s="226">
        <f t="shared" si="1"/>
        <v>9.4299999999999995E-2</v>
      </c>
      <c r="AC19" s="210">
        <f t="shared" si="9"/>
        <v>18.86</v>
      </c>
      <c r="AD19" s="207">
        <v>1.0999999999999999E-2</v>
      </c>
      <c r="AE19" s="214">
        <f t="shared" si="2"/>
        <v>9.4299999999999995E-2</v>
      </c>
      <c r="AF19" s="278">
        <f t="shared" si="10"/>
        <v>18.86</v>
      </c>
    </row>
    <row r="20" spans="2:32" s="188" customFormat="1" ht="15.75" customHeight="1" x14ac:dyDescent="0.25">
      <c r="B20" s="275" t="s">
        <v>33</v>
      </c>
      <c r="C20" s="260" t="s">
        <v>46</v>
      </c>
      <c r="D20" s="208">
        <v>18693</v>
      </c>
      <c r="E20" s="209">
        <f>D20/F$7</f>
        <v>74304.675000000003</v>
      </c>
      <c r="F20" s="524"/>
      <c r="G20" s="525"/>
      <c r="H20" s="525"/>
      <c r="I20" s="525"/>
      <c r="J20" s="525"/>
      <c r="K20" s="526"/>
      <c r="L20" s="525" t="str">
        <f t="shared" ref="L20:L21" si="11">IF(AND(ISTEXT(K20), ISNUMBER(J20)), IF(K20="Available Content", J20*10/$F$7, J20), "")</f>
        <v/>
      </c>
      <c r="M20" s="525" t="str">
        <f t="shared" ref="M20:M21" si="12">IF(AND(ISNUMBER($C20), ISNUMBER(L20)), L20/$C20, "")</f>
        <v/>
      </c>
      <c r="N20" s="525"/>
      <c r="O20" s="525" t="str">
        <f t="shared" ref="O20:O21" si="13">IF(AND(ISTEXT(K20),ISNUMBER(J20),ISNUMBER(N20)),MAX(L20,N20),"")</f>
        <v/>
      </c>
      <c r="P20" s="525" t="str">
        <f t="shared" ref="P20:P21" si="14">IF(AND(ISNUMBER($C20), ISNUMBER(O20)), O20/$C20, "")</f>
        <v/>
      </c>
      <c r="R20" s="275" t="s">
        <v>33</v>
      </c>
      <c r="S20" s="207"/>
      <c r="T20" s="208">
        <v>66692</v>
      </c>
      <c r="U20" s="209">
        <f t="shared" si="7"/>
        <v>664855.72380952386</v>
      </c>
      <c r="V20" s="524" t="str">
        <f t="shared" si="8"/>
        <v/>
      </c>
      <c r="W20" s="525"/>
      <c r="X20" s="525"/>
      <c r="Y20" s="525"/>
      <c r="Z20" s="525"/>
      <c r="AA20" s="525"/>
      <c r="AB20" s="525" t="str">
        <f t="shared" si="1"/>
        <v/>
      </c>
      <c r="AC20" s="525" t="str">
        <f>IF(AND(ISNUMBER($C20), ISNUMBER(AB20)), AB20/$C20, "")</f>
        <v/>
      </c>
      <c r="AD20" s="525"/>
      <c r="AE20" s="525" t="str">
        <f>IF(AND(ISTEXT(AA20),ISNUMBER(Z20),ISNUMBER(AD20)),MAX(AB20,AD20),"")</f>
        <v/>
      </c>
      <c r="AF20" s="525" t="str">
        <f>IF(AND(ISNUMBER($C20), ISNUMBER(AE20)), AE20/$C20, "")</f>
        <v/>
      </c>
    </row>
    <row r="21" spans="2:32" s="188" customFormat="1" ht="15.75" customHeight="1" x14ac:dyDescent="0.25">
      <c r="B21" s="275" t="s">
        <v>39</v>
      </c>
      <c r="C21" s="260" t="s">
        <v>46</v>
      </c>
      <c r="D21" s="215">
        <v>11.7</v>
      </c>
      <c r="E21" s="232">
        <f>D21/F$7</f>
        <v>46.5075</v>
      </c>
      <c r="F21" s="528"/>
      <c r="G21" s="529"/>
      <c r="H21" s="529"/>
      <c r="I21" s="529"/>
      <c r="J21" s="529"/>
      <c r="K21" s="530"/>
      <c r="L21" s="529" t="str">
        <f t="shared" si="11"/>
        <v/>
      </c>
      <c r="M21" s="529" t="str">
        <f t="shared" si="12"/>
        <v/>
      </c>
      <c r="N21" s="529"/>
      <c r="O21" s="529" t="str">
        <f t="shared" si="13"/>
        <v/>
      </c>
      <c r="P21" s="529" t="str">
        <f t="shared" si="14"/>
        <v/>
      </c>
      <c r="R21" s="275" t="s">
        <v>39</v>
      </c>
      <c r="S21" s="207"/>
      <c r="T21" s="215">
        <v>10.5</v>
      </c>
      <c r="U21" s="232">
        <f t="shared" si="7"/>
        <v>104.67500000000001</v>
      </c>
      <c r="V21" s="528" t="str">
        <f t="shared" si="8"/>
        <v/>
      </c>
      <c r="W21" s="529"/>
      <c r="X21" s="529"/>
      <c r="Y21" s="529"/>
      <c r="Z21" s="529"/>
      <c r="AA21" s="529"/>
      <c r="AB21" s="529" t="str">
        <f t="shared" si="1"/>
        <v/>
      </c>
      <c r="AC21" s="529" t="str">
        <f>IF(AND(ISNUMBER($C21), ISNUMBER(AB21)), AB21/$C21, "")</f>
        <v/>
      </c>
      <c r="AD21" s="529"/>
      <c r="AE21" s="529" t="str">
        <f>IF(AND(ISTEXT(AA21),ISNUMBER(Z21),ISNUMBER(AD21)),MAX(AB21,AD21),"")</f>
        <v/>
      </c>
      <c r="AF21" s="529" t="str">
        <f>IF(AND(ISNUMBER($C21), ISNUMBER(AE21)), AE21/$C21, "")</f>
        <v/>
      </c>
    </row>
    <row r="22" spans="2:32" s="188" customFormat="1" ht="15.75" customHeight="1" x14ac:dyDescent="0.25">
      <c r="B22" s="275" t="s">
        <v>16</v>
      </c>
      <c r="C22" s="218">
        <v>250</v>
      </c>
      <c r="D22" s="228" t="s">
        <v>44</v>
      </c>
      <c r="E22" s="229" t="s">
        <v>46</v>
      </c>
      <c r="F22" s="233" t="str">
        <f t="shared" si="3"/>
        <v/>
      </c>
      <c r="G22" s="208">
        <v>475</v>
      </c>
      <c r="H22" s="209">
        <f>IF(ISNUMBER(G22), G22/F$7, "")</f>
        <v>1888.125</v>
      </c>
      <c r="I22" s="220">
        <f>IF(AND(ISNUMBER($C22), ISNUMBER(H22)), H22/$C22, "")</f>
        <v>7.5525000000000002</v>
      </c>
      <c r="J22" s="234">
        <v>24.3</v>
      </c>
      <c r="K22" s="270" t="s">
        <v>36</v>
      </c>
      <c r="L22" s="232">
        <f t="shared" si="0"/>
        <v>965.92499999999995</v>
      </c>
      <c r="M22" s="220">
        <f t="shared" si="4"/>
        <v>3.8636999999999997</v>
      </c>
      <c r="N22" s="211">
        <v>744</v>
      </c>
      <c r="O22" s="209">
        <f t="shared" si="5"/>
        <v>965.92499999999995</v>
      </c>
      <c r="P22" s="279">
        <f t="shared" si="6"/>
        <v>3.8636999999999997</v>
      </c>
      <c r="R22" s="275" t="s">
        <v>16</v>
      </c>
      <c r="S22" s="218">
        <v>250</v>
      </c>
      <c r="T22" s="228" t="s">
        <v>44</v>
      </c>
      <c r="U22" s="229" t="s">
        <v>46</v>
      </c>
      <c r="V22" s="233" t="str">
        <f t="shared" si="8"/>
        <v/>
      </c>
      <c r="W22" s="208">
        <v>528</v>
      </c>
      <c r="X22" s="209">
        <f>IF(ISNUMBER(W22), W22/T$7, "")</f>
        <v>5263.6571428571433</v>
      </c>
      <c r="Y22" s="210">
        <f>IF(AND(ISNUMBER($C22), ISNUMBER(X22)), X22/$C22, "")</f>
        <v>21.054628571428573</v>
      </c>
      <c r="Z22" s="231">
        <v>35.5</v>
      </c>
      <c r="AA22" s="211" t="s">
        <v>36</v>
      </c>
      <c r="AB22" s="209">
        <f t="shared" si="1"/>
        <v>1411.125</v>
      </c>
      <c r="AC22" s="220">
        <f t="shared" si="9"/>
        <v>5.6444999999999999</v>
      </c>
      <c r="AD22" s="211">
        <v>497</v>
      </c>
      <c r="AE22" s="209">
        <f t="shared" si="2"/>
        <v>1411.125</v>
      </c>
      <c r="AF22" s="279">
        <f t="shared" si="10"/>
        <v>5.6444999999999999</v>
      </c>
    </row>
    <row r="23" spans="2:32" s="188" customFormat="1" ht="15.75" customHeight="1" x14ac:dyDescent="0.25">
      <c r="B23" s="275" t="s">
        <v>17</v>
      </c>
      <c r="C23" s="234">
        <v>0.1</v>
      </c>
      <c r="D23" s="208">
        <v>1174</v>
      </c>
      <c r="E23" s="209">
        <f>D23/F$7</f>
        <v>4666.6499999999996</v>
      </c>
      <c r="F23" s="210">
        <f t="shared" si="3"/>
        <v>46666.499999999993</v>
      </c>
      <c r="G23" s="265">
        <v>21.9</v>
      </c>
      <c r="H23" s="209">
        <f>IF(ISNUMBER(G23), G23/F$7, "")</f>
        <v>87.052499999999995</v>
      </c>
      <c r="I23" s="210">
        <f>IF(AND(ISNUMBER($C23), ISNUMBER(H23)), H23/$C23, "")</f>
        <v>870.52499999999986</v>
      </c>
      <c r="J23" s="268">
        <v>1.4E-3</v>
      </c>
      <c r="K23" s="270" t="s">
        <v>47</v>
      </c>
      <c r="L23" s="235">
        <f t="shared" si="0"/>
        <v>1.4E-3</v>
      </c>
      <c r="M23" s="221">
        <f t="shared" si="4"/>
        <v>1.3999999999999999E-2</v>
      </c>
      <c r="N23" s="236">
        <v>2.0999999999999999E-3</v>
      </c>
      <c r="O23" s="237">
        <f t="shared" si="5"/>
        <v>2.0999999999999999E-3</v>
      </c>
      <c r="P23" s="221">
        <f t="shared" si="6"/>
        <v>2.0999999999999998E-2</v>
      </c>
      <c r="R23" s="275" t="s">
        <v>17</v>
      </c>
      <c r="S23" s="234">
        <v>0.1</v>
      </c>
      <c r="T23" s="208">
        <v>552.1</v>
      </c>
      <c r="U23" s="209">
        <f t="shared" si="7"/>
        <v>5503.9111904761912</v>
      </c>
      <c r="V23" s="210">
        <f t="shared" si="8"/>
        <v>55039.111904761907</v>
      </c>
      <c r="W23" s="265">
        <v>21.1</v>
      </c>
      <c r="X23" s="209">
        <f>IF(ISNUMBER(W23), W23/T$7, "")</f>
        <v>210.3469047619048</v>
      </c>
      <c r="Y23" s="210">
        <f>IF(AND(ISNUMBER($C23), ISNUMBER(X23)), X23/$C23, "")</f>
        <v>2103.4690476190476</v>
      </c>
      <c r="Z23" s="223">
        <v>0.28899999999999998</v>
      </c>
      <c r="AA23" s="211" t="s">
        <v>47</v>
      </c>
      <c r="AB23" s="214">
        <f t="shared" si="1"/>
        <v>0.28899999999999998</v>
      </c>
      <c r="AC23" s="220">
        <f t="shared" si="9"/>
        <v>2.8899999999999997</v>
      </c>
      <c r="AD23" s="207">
        <v>0.45500000000000002</v>
      </c>
      <c r="AE23" s="214">
        <f t="shared" si="2"/>
        <v>0.45500000000000002</v>
      </c>
      <c r="AF23" s="279">
        <f t="shared" si="10"/>
        <v>4.55</v>
      </c>
    </row>
    <row r="24" spans="2:32" s="188" customFormat="1" ht="15.75" customHeight="1" x14ac:dyDescent="0.25">
      <c r="B24" s="275" t="s">
        <v>34</v>
      </c>
      <c r="C24" s="260" t="s">
        <v>46</v>
      </c>
      <c r="D24" s="215">
        <v>44.1</v>
      </c>
      <c r="E24" s="209">
        <f>D24/F$7</f>
        <v>175.29750000000001</v>
      </c>
      <c r="F24" s="521"/>
      <c r="G24" s="522"/>
      <c r="H24" s="522"/>
      <c r="I24" s="522"/>
      <c r="J24" s="522"/>
      <c r="K24" s="523"/>
      <c r="L24" s="522" t="str">
        <f t="shared" ref="L24" si="15">IF(AND(ISTEXT(K24), ISNUMBER(J24)), IF(K24="Available Content", J24*10/$F$7, J24), "")</f>
        <v/>
      </c>
      <c r="M24" s="522" t="str">
        <f t="shared" ref="M24" si="16">IF(AND(ISNUMBER($C24), ISNUMBER(L24)), L24/$C24, "")</f>
        <v/>
      </c>
      <c r="N24" s="522"/>
      <c r="O24" s="522" t="str">
        <f t="shared" ref="O24" si="17">IF(AND(ISTEXT(K24),ISNUMBER(J24),ISNUMBER(N24)),MAX(L24,N24),"")</f>
        <v/>
      </c>
      <c r="P24" s="522" t="str">
        <f t="shared" ref="P24" si="18">IF(AND(ISNUMBER($C24), ISNUMBER(O24)), O24/$C24, "")</f>
        <v/>
      </c>
      <c r="R24" s="275" t="s">
        <v>34</v>
      </c>
      <c r="S24" s="207"/>
      <c r="T24" s="215">
        <v>43.9</v>
      </c>
      <c r="U24" s="209">
        <f t="shared" si="7"/>
        <v>437.6411904761905</v>
      </c>
      <c r="V24" s="521" t="str">
        <f t="shared" si="8"/>
        <v/>
      </c>
      <c r="W24" s="522"/>
      <c r="X24" s="522"/>
      <c r="Y24" s="522"/>
      <c r="Z24" s="522"/>
      <c r="AA24" s="522"/>
      <c r="AB24" s="522" t="str">
        <f t="shared" si="1"/>
        <v/>
      </c>
      <c r="AC24" s="522" t="str">
        <f>IF(AND(ISNUMBER($C24), ISNUMBER(AB24)), AB24/$C24, "")</f>
        <v/>
      </c>
      <c r="AD24" s="522"/>
      <c r="AE24" s="522" t="str">
        <f>IF(AND(ISTEXT(AA24),ISNUMBER(Z24),ISNUMBER(AD24)),MAX(AB24,AD24),"")</f>
        <v/>
      </c>
      <c r="AF24" s="522" t="str">
        <f>IF(AND(ISNUMBER($C24), ISNUMBER(AE24)), AE24/$C24, "")</f>
        <v/>
      </c>
    </row>
    <row r="25" spans="2:32" s="188" customFormat="1" ht="15.75" customHeight="1" x14ac:dyDescent="0.25">
      <c r="B25" s="275" t="s">
        <v>18</v>
      </c>
      <c r="C25" s="234">
        <v>1.3</v>
      </c>
      <c r="D25" s="208">
        <v>14666</v>
      </c>
      <c r="E25" s="209">
        <f>D25/F$7</f>
        <v>58297.35</v>
      </c>
      <c r="F25" s="210">
        <f t="shared" si="3"/>
        <v>44844.115384615383</v>
      </c>
      <c r="G25" s="263">
        <v>11214</v>
      </c>
      <c r="H25" s="209">
        <f>IF(ISNUMBER(G25), G25/F$7, "")</f>
        <v>44575.65</v>
      </c>
      <c r="I25" s="210">
        <f>IF(AND(ISNUMBER($C25), ISNUMBER(H25)), H25/$C25, "")</f>
        <v>34288.961538461539</v>
      </c>
      <c r="J25" s="211">
        <v>162</v>
      </c>
      <c r="K25" s="270" t="s">
        <v>47</v>
      </c>
      <c r="L25" s="209">
        <f t="shared" si="0"/>
        <v>162</v>
      </c>
      <c r="M25" s="210">
        <f t="shared" si="4"/>
        <v>124.61538461538461</v>
      </c>
      <c r="N25" s="216">
        <v>2.62</v>
      </c>
      <c r="O25" s="209">
        <f t="shared" si="5"/>
        <v>162</v>
      </c>
      <c r="P25" s="278">
        <f t="shared" si="6"/>
        <v>124.61538461538461</v>
      </c>
      <c r="R25" s="275" t="s">
        <v>18</v>
      </c>
      <c r="S25" s="234">
        <v>1.3</v>
      </c>
      <c r="T25" s="208">
        <v>16348</v>
      </c>
      <c r="U25" s="209">
        <f t="shared" si="7"/>
        <v>162973.99047619049</v>
      </c>
      <c r="V25" s="210">
        <f t="shared" si="8"/>
        <v>125364.60805860806</v>
      </c>
      <c r="W25" s="263">
        <v>8988</v>
      </c>
      <c r="X25" s="209">
        <f>IF(ISNUMBER(W25), W25/T$7, "")</f>
        <v>89601.800000000017</v>
      </c>
      <c r="Y25" s="210">
        <f>IF(AND(ISNUMBER($C25), ISNUMBER(X25)), X25/$C25, "")</f>
        <v>68924.461538461546</v>
      </c>
      <c r="Z25" s="267">
        <v>2.2999999999999998</v>
      </c>
      <c r="AA25" s="211" t="s">
        <v>47</v>
      </c>
      <c r="AB25" s="214">
        <f t="shared" si="1"/>
        <v>2.2999999999999998</v>
      </c>
      <c r="AC25" s="220">
        <f t="shared" si="9"/>
        <v>1.7692307692307689</v>
      </c>
      <c r="AD25" s="216">
        <v>1.39</v>
      </c>
      <c r="AE25" s="212">
        <f t="shared" si="2"/>
        <v>2.2999999999999998</v>
      </c>
      <c r="AF25" s="279">
        <f t="shared" si="10"/>
        <v>1.7692307692307689</v>
      </c>
    </row>
    <row r="26" spans="2:32" s="188" customFormat="1" ht="15.75" customHeight="1" x14ac:dyDescent="0.25">
      <c r="B26" s="275" t="s">
        <v>19</v>
      </c>
      <c r="C26" s="218">
        <v>4</v>
      </c>
      <c r="D26" s="228" t="s">
        <v>44</v>
      </c>
      <c r="E26" s="229" t="s">
        <v>46</v>
      </c>
      <c r="F26" s="233" t="str">
        <f t="shared" si="3"/>
        <v/>
      </c>
      <c r="G26" s="215">
        <v>27.6</v>
      </c>
      <c r="H26" s="209">
        <f>IF(ISNUMBER(G26), G26/F$7, "")</f>
        <v>109.71000000000001</v>
      </c>
      <c r="I26" s="210">
        <f>IF(AND(ISNUMBER($C26), ISNUMBER(H26)), H26/$C26, "")</f>
        <v>27.427500000000002</v>
      </c>
      <c r="J26" s="216">
        <v>4.04</v>
      </c>
      <c r="K26" s="270" t="s">
        <v>47</v>
      </c>
      <c r="L26" s="212">
        <f t="shared" si="0"/>
        <v>4.04</v>
      </c>
      <c r="M26" s="221">
        <f t="shared" si="4"/>
        <v>1.01</v>
      </c>
      <c r="N26" s="216">
        <v>7.98</v>
      </c>
      <c r="O26" s="212">
        <f t="shared" si="5"/>
        <v>7.98</v>
      </c>
      <c r="P26" s="279">
        <f t="shared" si="6"/>
        <v>1.9950000000000001</v>
      </c>
      <c r="R26" s="275" t="s">
        <v>19</v>
      </c>
      <c r="S26" s="218">
        <v>4</v>
      </c>
      <c r="T26" s="228" t="s">
        <v>44</v>
      </c>
      <c r="U26" s="229" t="s">
        <v>46</v>
      </c>
      <c r="V26" s="233" t="str">
        <f t="shared" si="8"/>
        <v/>
      </c>
      <c r="W26" s="208">
        <v>302</v>
      </c>
      <c r="X26" s="209">
        <f>IF(ISNUMBER(W26), W26/T$7, "")</f>
        <v>3010.6523809523815</v>
      </c>
      <c r="Y26" s="210">
        <f>IF(AND(ISNUMBER($C26), ISNUMBER(X26)), X26/$C26, "")</f>
        <v>752.66309523809537</v>
      </c>
      <c r="Z26" s="216">
        <v>6.45</v>
      </c>
      <c r="AA26" s="211" t="s">
        <v>47</v>
      </c>
      <c r="AB26" s="214">
        <f t="shared" si="1"/>
        <v>6.45</v>
      </c>
      <c r="AC26" s="220">
        <f t="shared" si="9"/>
        <v>1.6125</v>
      </c>
      <c r="AD26" s="216">
        <v>1.05</v>
      </c>
      <c r="AE26" s="212">
        <f t="shared" si="2"/>
        <v>6.45</v>
      </c>
      <c r="AF26" s="279">
        <f t="shared" si="10"/>
        <v>1.6125</v>
      </c>
    </row>
    <row r="27" spans="2:32" s="188" customFormat="1" ht="15.75" customHeight="1" x14ac:dyDescent="0.25">
      <c r="B27" s="275" t="s">
        <v>20</v>
      </c>
      <c r="C27" s="234">
        <v>0.3</v>
      </c>
      <c r="D27" s="208">
        <v>16584</v>
      </c>
      <c r="E27" s="209">
        <f>D27/F$7</f>
        <v>65921.399999999994</v>
      </c>
      <c r="F27" s="210">
        <f t="shared" si="3"/>
        <v>219738</v>
      </c>
      <c r="G27" s="263">
        <v>2683</v>
      </c>
      <c r="H27" s="209">
        <f>IF(ISNUMBER(G27), G27/F$7, "")</f>
        <v>10664.924999999999</v>
      </c>
      <c r="I27" s="210">
        <f>IF(AND(ISNUMBER($C27), ISNUMBER(H27)), H27/$C27, "")</f>
        <v>35549.75</v>
      </c>
      <c r="J27" s="213">
        <v>3.3999999999999998E-3</v>
      </c>
      <c r="K27" s="270" t="s">
        <v>47</v>
      </c>
      <c r="L27" s="214">
        <f t="shared" si="0"/>
        <v>3.3999999999999998E-3</v>
      </c>
      <c r="M27" s="221">
        <f t="shared" si="4"/>
        <v>1.1333333333333332E-2</v>
      </c>
      <c r="N27" s="227">
        <v>2E-3</v>
      </c>
      <c r="O27" s="214">
        <f t="shared" si="5"/>
        <v>3.3999999999999998E-3</v>
      </c>
      <c r="P27" s="221">
        <f t="shared" si="6"/>
        <v>1.1333333333333332E-2</v>
      </c>
      <c r="R27" s="275" t="s">
        <v>20</v>
      </c>
      <c r="S27" s="234">
        <v>0.3</v>
      </c>
      <c r="T27" s="208">
        <v>48736</v>
      </c>
      <c r="U27" s="209">
        <f t="shared" si="7"/>
        <v>485851.50476190483</v>
      </c>
      <c r="V27" s="210">
        <f t="shared" si="8"/>
        <v>1619505.0158730161</v>
      </c>
      <c r="W27" s="263">
        <v>3393</v>
      </c>
      <c r="X27" s="209">
        <f>IF(ISNUMBER(W27), W27/T$7, "")</f>
        <v>33824.978571428575</v>
      </c>
      <c r="Y27" s="210">
        <f>IF(AND(ISNUMBER($C27), ISNUMBER(X27)), X27/$C27, "")</f>
        <v>112749.92857142859</v>
      </c>
      <c r="Z27" s="227">
        <v>2E-3</v>
      </c>
      <c r="AA27" s="211" t="s">
        <v>47</v>
      </c>
      <c r="AB27" s="238">
        <f t="shared" si="1"/>
        <v>2E-3</v>
      </c>
      <c r="AC27" s="239">
        <f t="shared" si="9"/>
        <v>6.6666666666666671E-3</v>
      </c>
      <c r="AD27" s="207">
        <v>8.2000000000000007E-3</v>
      </c>
      <c r="AE27" s="214">
        <f t="shared" si="2"/>
        <v>8.2000000000000007E-3</v>
      </c>
      <c r="AF27" s="221">
        <f t="shared" si="10"/>
        <v>2.7333333333333338E-2</v>
      </c>
    </row>
    <row r="28" spans="2:32" s="188" customFormat="1" ht="15.75" customHeight="1" x14ac:dyDescent="0.25">
      <c r="B28" s="275" t="s">
        <v>21</v>
      </c>
      <c r="C28" s="223">
        <v>1.4999999999999999E-2</v>
      </c>
      <c r="D28" s="208">
        <v>3371</v>
      </c>
      <c r="E28" s="209">
        <f>D28/F$7</f>
        <v>13399.725</v>
      </c>
      <c r="F28" s="210">
        <f t="shared" si="3"/>
        <v>893315</v>
      </c>
      <c r="G28" s="265">
        <v>126.1</v>
      </c>
      <c r="H28" s="209">
        <f>IF(ISNUMBER(G28), G28/F$7, "")</f>
        <v>501.2475</v>
      </c>
      <c r="I28" s="210">
        <f>IF(AND(ISNUMBER($C28), ISNUMBER(H28)), H28/$C28, "")</f>
        <v>33416.5</v>
      </c>
      <c r="J28" s="267">
        <v>7.78</v>
      </c>
      <c r="K28" s="270" t="s">
        <v>47</v>
      </c>
      <c r="L28" s="212">
        <f t="shared" si="0"/>
        <v>7.78</v>
      </c>
      <c r="M28" s="210">
        <f t="shared" si="4"/>
        <v>518.66666666666674</v>
      </c>
      <c r="N28" s="216">
        <v>1.0900000000000001</v>
      </c>
      <c r="O28" s="212">
        <f t="shared" si="5"/>
        <v>7.78</v>
      </c>
      <c r="P28" s="278">
        <f t="shared" si="6"/>
        <v>518.66666666666674</v>
      </c>
      <c r="R28" s="275" t="s">
        <v>21</v>
      </c>
      <c r="S28" s="223">
        <v>1.4999999999999999E-2</v>
      </c>
      <c r="T28" s="208">
        <v>3131</v>
      </c>
      <c r="U28" s="209">
        <f t="shared" si="7"/>
        <v>31213.088095238098</v>
      </c>
      <c r="V28" s="210">
        <f t="shared" si="8"/>
        <v>2080872.5396825399</v>
      </c>
      <c r="W28" s="263">
        <v>114</v>
      </c>
      <c r="X28" s="209">
        <f>IF(ISNUMBER(W28), W28/T$7, "")</f>
        <v>1136.4714285714288</v>
      </c>
      <c r="Y28" s="210">
        <f>IF(AND(ISNUMBER($C28), ISNUMBER(X28)), X28/$C28, "")</f>
        <v>75764.761904761923</v>
      </c>
      <c r="Z28" s="234">
        <v>7.2</v>
      </c>
      <c r="AA28" s="211" t="s">
        <v>47</v>
      </c>
      <c r="AB28" s="232">
        <f t="shared" si="1"/>
        <v>7.2</v>
      </c>
      <c r="AC28" s="210">
        <f t="shared" si="9"/>
        <v>480.00000000000006</v>
      </c>
      <c r="AD28" s="216">
        <v>3.37</v>
      </c>
      <c r="AE28" s="232">
        <f t="shared" si="2"/>
        <v>7.2</v>
      </c>
      <c r="AF28" s="278">
        <f t="shared" si="10"/>
        <v>480.00000000000006</v>
      </c>
    </row>
    <row r="29" spans="2:32" s="188" customFormat="1" ht="15.75" customHeight="1" x14ac:dyDescent="0.25">
      <c r="B29" s="275" t="s">
        <v>35</v>
      </c>
      <c r="C29" s="260" t="s">
        <v>46</v>
      </c>
      <c r="D29" s="228" t="s">
        <v>159</v>
      </c>
      <c r="E29" s="229" t="s">
        <v>46</v>
      </c>
      <c r="F29" s="524"/>
      <c r="G29" s="525"/>
      <c r="H29" s="525"/>
      <c r="I29" s="525"/>
      <c r="J29" s="525"/>
      <c r="K29" s="526"/>
      <c r="L29" s="525" t="str">
        <f t="shared" ref="L29:L33" si="19">IF(AND(ISTEXT(K29), ISNUMBER(J29)), IF(K29="Available Content", J29*10/$F$7, J29), "")</f>
        <v/>
      </c>
      <c r="M29" s="525" t="str">
        <f t="shared" ref="M29:M33" si="20">IF(AND(ISNUMBER($C29), ISNUMBER(L29)), L29/$C29, "")</f>
        <v/>
      </c>
      <c r="N29" s="525"/>
      <c r="O29" s="525" t="str">
        <f t="shared" ref="O29:O33" si="21">IF(AND(ISTEXT(K29),ISNUMBER(J29),ISNUMBER(N29)),MAX(L29,N29),"")</f>
        <v/>
      </c>
      <c r="P29" s="525" t="str">
        <f t="shared" ref="P29:P33" si="22">IF(AND(ISNUMBER($C29), ISNUMBER(O29)), O29/$C29, "")</f>
        <v/>
      </c>
      <c r="R29" s="275" t="s">
        <v>35</v>
      </c>
      <c r="S29" s="207"/>
      <c r="T29" s="228" t="s">
        <v>159</v>
      </c>
      <c r="U29" s="229" t="s">
        <v>46</v>
      </c>
      <c r="V29" s="524" t="str">
        <f t="shared" si="8"/>
        <v/>
      </c>
      <c r="W29" s="525"/>
      <c r="X29" s="525"/>
      <c r="Y29" s="525"/>
      <c r="Z29" s="525"/>
      <c r="AA29" s="525"/>
      <c r="AB29" s="525" t="str">
        <f t="shared" si="1"/>
        <v/>
      </c>
      <c r="AC29" s="525" t="str">
        <f>IF(AND(ISNUMBER($C29), ISNUMBER(AB29)), AB29/$C29, "")</f>
        <v/>
      </c>
      <c r="AD29" s="525"/>
      <c r="AE29" s="525" t="str">
        <f t="shared" ref="AE29:AE35" si="23">IF(AND(ISTEXT(AA29),ISNUMBER(Z29),ISNUMBER(AD29)),MAX(AB29,AD29),"")</f>
        <v/>
      </c>
      <c r="AF29" s="525" t="str">
        <f>IF(AND(ISNUMBER($C29), ISNUMBER(AE29)), AE29/$C29, "")</f>
        <v/>
      </c>
    </row>
    <row r="30" spans="2:32" s="188" customFormat="1" ht="15.75" customHeight="1" x14ac:dyDescent="0.25">
      <c r="B30" s="275" t="s">
        <v>22</v>
      </c>
      <c r="C30" s="260" t="s">
        <v>46</v>
      </c>
      <c r="D30" s="208">
        <v>7500</v>
      </c>
      <c r="E30" s="209">
        <f>D30/F$7</f>
        <v>29812.5</v>
      </c>
      <c r="F30" s="527"/>
      <c r="G30" s="218"/>
      <c r="H30" s="218"/>
      <c r="I30" s="218"/>
      <c r="J30" s="218"/>
      <c r="K30" s="344"/>
      <c r="L30" s="218" t="str">
        <f t="shared" si="19"/>
        <v/>
      </c>
      <c r="M30" s="218" t="str">
        <f t="shared" si="20"/>
        <v/>
      </c>
      <c r="N30" s="218"/>
      <c r="O30" s="218" t="str">
        <f t="shared" si="21"/>
        <v/>
      </c>
      <c r="P30" s="218" t="str">
        <f t="shared" si="22"/>
        <v/>
      </c>
      <c r="R30" s="275" t="s">
        <v>22</v>
      </c>
      <c r="S30" s="207"/>
      <c r="T30" s="208">
        <v>6536</v>
      </c>
      <c r="U30" s="209">
        <f t="shared" si="7"/>
        <v>65157.695238095243</v>
      </c>
      <c r="V30" s="527" t="str">
        <f t="shared" si="8"/>
        <v/>
      </c>
      <c r="W30" s="218"/>
      <c r="X30" s="218"/>
      <c r="Y30" s="218"/>
      <c r="Z30" s="218"/>
      <c r="AA30" s="218"/>
      <c r="AB30" s="218" t="str">
        <f t="shared" si="1"/>
        <v/>
      </c>
      <c r="AC30" s="218" t="str">
        <f>IF(AND(ISNUMBER($C30), ISNUMBER(AB30)), AB30/$C30, "")</f>
        <v/>
      </c>
      <c r="AD30" s="218"/>
      <c r="AE30" s="218" t="str">
        <f t="shared" si="23"/>
        <v/>
      </c>
      <c r="AF30" s="218" t="str">
        <f>IF(AND(ISNUMBER($C30), ISNUMBER(AE30)), AE30/$C30, "")</f>
        <v/>
      </c>
    </row>
    <row r="31" spans="2:32" s="188" customFormat="1" ht="15.75" customHeight="1" x14ac:dyDescent="0.25">
      <c r="B31" s="275" t="s">
        <v>23</v>
      </c>
      <c r="C31" s="260" t="s">
        <v>46</v>
      </c>
      <c r="D31" s="208">
        <v>1033</v>
      </c>
      <c r="E31" s="209">
        <f>D31/F$7</f>
        <v>4106.1750000000002</v>
      </c>
      <c r="F31" s="527"/>
      <c r="G31" s="218"/>
      <c r="H31" s="218"/>
      <c r="I31" s="218"/>
      <c r="J31" s="218"/>
      <c r="K31" s="344"/>
      <c r="L31" s="218" t="str">
        <f t="shared" si="19"/>
        <v/>
      </c>
      <c r="M31" s="218" t="str">
        <f t="shared" si="20"/>
        <v/>
      </c>
      <c r="N31" s="218"/>
      <c r="O31" s="218" t="str">
        <f t="shared" si="21"/>
        <v/>
      </c>
      <c r="P31" s="218" t="str">
        <f t="shared" si="22"/>
        <v/>
      </c>
      <c r="R31" s="275" t="s">
        <v>23</v>
      </c>
      <c r="S31" s="207"/>
      <c r="T31" s="208">
        <v>875.3</v>
      </c>
      <c r="U31" s="209">
        <f t="shared" si="7"/>
        <v>8725.9073809523816</v>
      </c>
      <c r="V31" s="527" t="str">
        <f t="shared" si="8"/>
        <v/>
      </c>
      <c r="W31" s="218"/>
      <c r="X31" s="218"/>
      <c r="Y31" s="218"/>
      <c r="Z31" s="218"/>
      <c r="AA31" s="218"/>
      <c r="AB31" s="218" t="str">
        <f t="shared" si="1"/>
        <v/>
      </c>
      <c r="AC31" s="218" t="str">
        <f>IF(AND(ISNUMBER($C31), ISNUMBER(AB31)), AB31/$C31, "")</f>
        <v/>
      </c>
      <c r="AD31" s="218"/>
      <c r="AE31" s="218" t="str">
        <f t="shared" si="23"/>
        <v/>
      </c>
      <c r="AF31" s="218" t="str">
        <f>IF(AND(ISNUMBER($C31), ISNUMBER(AE31)), AE31/$C31, "")</f>
        <v/>
      </c>
    </row>
    <row r="32" spans="2:32" s="188" customFormat="1" ht="15.75" customHeight="1" x14ac:dyDescent="0.25">
      <c r="B32" s="275" t="s">
        <v>24</v>
      </c>
      <c r="C32" s="260" t="s">
        <v>46</v>
      </c>
      <c r="D32" s="208">
        <v>270</v>
      </c>
      <c r="E32" s="209">
        <f>D32/F$7</f>
        <v>1073.25</v>
      </c>
      <c r="F32" s="527"/>
      <c r="G32" s="218"/>
      <c r="H32" s="218"/>
      <c r="I32" s="218"/>
      <c r="J32" s="218"/>
      <c r="K32" s="344"/>
      <c r="L32" s="218" t="str">
        <f t="shared" si="19"/>
        <v/>
      </c>
      <c r="M32" s="218" t="str">
        <f t="shared" si="20"/>
        <v/>
      </c>
      <c r="N32" s="218"/>
      <c r="O32" s="218" t="str">
        <f t="shared" si="21"/>
        <v/>
      </c>
      <c r="P32" s="218" t="str">
        <f t="shared" si="22"/>
        <v/>
      </c>
      <c r="R32" s="275" t="s">
        <v>24</v>
      </c>
      <c r="S32" s="207"/>
      <c r="T32" s="208">
        <v>259.89999999999998</v>
      </c>
      <c r="U32" s="209">
        <f t="shared" si="7"/>
        <v>2590.9554761904765</v>
      </c>
      <c r="V32" s="527" t="str">
        <f t="shared" si="8"/>
        <v/>
      </c>
      <c r="W32" s="218"/>
      <c r="X32" s="218"/>
      <c r="Y32" s="218"/>
      <c r="Z32" s="218"/>
      <c r="AA32" s="218"/>
      <c r="AB32" s="218" t="str">
        <f t="shared" si="1"/>
        <v/>
      </c>
      <c r="AC32" s="218" t="str">
        <f>IF(AND(ISNUMBER($C32), ISNUMBER(AB32)), AB32/$C32, "")</f>
        <v/>
      </c>
      <c r="AD32" s="218"/>
      <c r="AE32" s="218" t="str">
        <f t="shared" si="23"/>
        <v/>
      </c>
      <c r="AF32" s="218" t="str">
        <f>IF(AND(ISNUMBER($C32), ISNUMBER(AE32)), AE32/$C32, "")</f>
        <v/>
      </c>
    </row>
    <row r="33" spans="2:32" s="188" customFormat="1" ht="15.75" customHeight="1" x14ac:dyDescent="0.25">
      <c r="B33" s="275" t="s">
        <v>25</v>
      </c>
      <c r="C33" s="260" t="s">
        <v>46</v>
      </c>
      <c r="D33" s="215">
        <v>62.5</v>
      </c>
      <c r="E33" s="209">
        <f>D33/F$7</f>
        <v>248.4375</v>
      </c>
      <c r="F33" s="528"/>
      <c r="G33" s="529"/>
      <c r="H33" s="529"/>
      <c r="I33" s="529"/>
      <c r="J33" s="529"/>
      <c r="K33" s="530"/>
      <c r="L33" s="529" t="str">
        <f t="shared" si="19"/>
        <v/>
      </c>
      <c r="M33" s="529" t="str">
        <f t="shared" si="20"/>
        <v/>
      </c>
      <c r="N33" s="529"/>
      <c r="O33" s="529" t="str">
        <f t="shared" si="21"/>
        <v/>
      </c>
      <c r="P33" s="529" t="str">
        <f t="shared" si="22"/>
        <v/>
      </c>
      <c r="R33" s="275" t="s">
        <v>25</v>
      </c>
      <c r="S33" s="207"/>
      <c r="T33" s="215">
        <v>64.900000000000006</v>
      </c>
      <c r="U33" s="209">
        <f t="shared" si="7"/>
        <v>646.99119047619058</v>
      </c>
      <c r="V33" s="528" t="str">
        <f t="shared" si="8"/>
        <v/>
      </c>
      <c r="W33" s="529"/>
      <c r="X33" s="529"/>
      <c r="Y33" s="529"/>
      <c r="Z33" s="529"/>
      <c r="AA33" s="529"/>
      <c r="AB33" s="529" t="str">
        <f t="shared" si="1"/>
        <v/>
      </c>
      <c r="AC33" s="529" t="str">
        <f>IF(AND(ISNUMBER($C33), ISNUMBER(AB33)), AB33/$C33, "")</f>
        <v/>
      </c>
      <c r="AD33" s="529"/>
      <c r="AE33" s="529" t="str">
        <f t="shared" si="23"/>
        <v/>
      </c>
      <c r="AF33" s="529" t="str">
        <f>IF(AND(ISNUMBER($C33), ISNUMBER(AE33)), AE33/$C33, "")</f>
        <v/>
      </c>
    </row>
    <row r="34" spans="2:32" s="188" customFormat="1" ht="15.75" customHeight="1" x14ac:dyDescent="0.25">
      <c r="B34" s="275" t="s">
        <v>0</v>
      </c>
      <c r="C34" s="211">
        <v>44</v>
      </c>
      <c r="D34" s="228" t="s">
        <v>44</v>
      </c>
      <c r="E34" s="229" t="s">
        <v>46</v>
      </c>
      <c r="F34" s="233" t="str">
        <f t="shared" si="3"/>
        <v/>
      </c>
      <c r="G34" s="215">
        <v>27.1</v>
      </c>
      <c r="H34" s="209">
        <f>IF(ISNUMBER(G34), G34/F$7, "")</f>
        <v>107.72250000000001</v>
      </c>
      <c r="I34" s="220">
        <f>IF(AND(ISNUMBER($C34), ISNUMBER(H34)), H34/$C34, "")</f>
        <v>2.4482386363636368</v>
      </c>
      <c r="J34" s="231">
        <v>2.69</v>
      </c>
      <c r="K34" s="270" t="s">
        <v>36</v>
      </c>
      <c r="L34" s="209">
        <f t="shared" si="0"/>
        <v>106.92749999999999</v>
      </c>
      <c r="M34" s="220">
        <f t="shared" si="4"/>
        <v>2.4301704545454546</v>
      </c>
      <c r="N34" s="211">
        <v>137</v>
      </c>
      <c r="O34" s="209">
        <f t="shared" si="5"/>
        <v>137</v>
      </c>
      <c r="P34" s="279">
        <f t="shared" si="6"/>
        <v>3.1136363636363638</v>
      </c>
      <c r="R34" s="275" t="s">
        <v>0</v>
      </c>
      <c r="S34" s="211">
        <v>44</v>
      </c>
      <c r="T34" s="228" t="s">
        <v>44</v>
      </c>
      <c r="U34" s="229" t="s">
        <v>46</v>
      </c>
      <c r="V34" s="233" t="str">
        <f t="shared" si="8"/>
        <v/>
      </c>
      <c r="W34" s="215">
        <v>26.8</v>
      </c>
      <c r="X34" s="209">
        <f>IF(ISNUMBER(W34), W34/T$7, "")</f>
        <v>267.17047619047622</v>
      </c>
      <c r="Y34" s="220">
        <f>IF(AND(ISNUMBER($C34), ISNUMBER(X34)), X34/$C34, "")</f>
        <v>6.0720562770562774</v>
      </c>
      <c r="Z34" s="216">
        <v>2.68</v>
      </c>
      <c r="AA34" s="211" t="s">
        <v>36</v>
      </c>
      <c r="AB34" s="209">
        <f t="shared" si="1"/>
        <v>106.53</v>
      </c>
      <c r="AC34" s="220">
        <f t="shared" si="9"/>
        <v>2.4211363636363639</v>
      </c>
      <c r="AD34" s="216">
        <v>3.73</v>
      </c>
      <c r="AE34" s="209">
        <f t="shared" si="23"/>
        <v>106.53</v>
      </c>
      <c r="AF34" s="279">
        <f t="shared" si="10"/>
        <v>2.4211363636363639</v>
      </c>
    </row>
    <row r="35" spans="2:32" s="188" customFormat="1" ht="15.75" customHeight="1" x14ac:dyDescent="0.25">
      <c r="B35" s="275" t="s">
        <v>26</v>
      </c>
      <c r="C35" s="260" t="s">
        <v>46</v>
      </c>
      <c r="D35" s="208">
        <v>33164</v>
      </c>
      <c r="E35" s="209">
        <f>D35/F$7</f>
        <v>131826.9</v>
      </c>
      <c r="F35" s="521"/>
      <c r="G35" s="522"/>
      <c r="H35" s="522"/>
      <c r="I35" s="522"/>
      <c r="J35" s="522"/>
      <c r="K35" s="523"/>
      <c r="L35" s="522" t="str">
        <f t="shared" ref="L35" si="24">IF(AND(ISTEXT(K35), ISNUMBER(J35)), IF(K35="Available Content", J35*10/$F$7, J35), "")</f>
        <v/>
      </c>
      <c r="M35" s="522" t="str">
        <f t="shared" ref="M35" si="25">IF(AND(ISNUMBER($C35), ISNUMBER(L35)), L35/$C35, "")</f>
        <v/>
      </c>
      <c r="N35" s="522"/>
      <c r="O35" s="522" t="str">
        <f t="shared" ref="O35" si="26">IF(AND(ISTEXT(K35),ISNUMBER(J35),ISNUMBER(N35)),MAX(L35,N35),"")</f>
        <v/>
      </c>
      <c r="P35" s="522" t="str">
        <f t="shared" ref="P35" si="27">IF(AND(ISNUMBER($C35), ISNUMBER(O35)), O35/$C35, "")</f>
        <v/>
      </c>
      <c r="R35" s="275" t="s">
        <v>26</v>
      </c>
      <c r="S35" s="207"/>
      <c r="T35" s="208">
        <v>36339</v>
      </c>
      <c r="U35" s="209">
        <f t="shared" si="7"/>
        <v>362265.22142857144</v>
      </c>
      <c r="V35" s="521" t="str">
        <f t="shared" si="8"/>
        <v/>
      </c>
      <c r="W35" s="522"/>
      <c r="X35" s="522"/>
      <c r="Y35" s="522"/>
      <c r="Z35" s="522"/>
      <c r="AA35" s="522"/>
      <c r="AB35" s="522" t="str">
        <f t="shared" si="1"/>
        <v/>
      </c>
      <c r="AC35" s="522" t="str">
        <f>IF(AND(ISNUMBER($C35), ISNUMBER(AB35)), AB35/$C35, "")</f>
        <v/>
      </c>
      <c r="AD35" s="522"/>
      <c r="AE35" s="522" t="str">
        <f t="shared" si="23"/>
        <v/>
      </c>
      <c r="AF35" s="522" t="str">
        <f>IF(AND(ISNUMBER($C35), ISNUMBER(AE35)), AE35/$C35, "")</f>
        <v/>
      </c>
    </row>
    <row r="36" spans="2:32" s="188" customFormat="1" ht="15.75" customHeight="1" x14ac:dyDescent="0.25">
      <c r="B36" s="275" t="s">
        <v>27</v>
      </c>
      <c r="C36" s="216">
        <v>0.05</v>
      </c>
      <c r="D36" s="215">
        <v>31.7</v>
      </c>
      <c r="E36" s="209">
        <f>D36/F$7</f>
        <v>126.00749999999999</v>
      </c>
      <c r="F36" s="210">
        <f t="shared" si="3"/>
        <v>2520.1499999999996</v>
      </c>
      <c r="G36" s="222">
        <v>4.93</v>
      </c>
      <c r="H36" s="209">
        <f>IF(ISNUMBER(G36), G36/F$7, "")</f>
        <v>19.59675</v>
      </c>
      <c r="I36" s="210">
        <f>IF(AND(ISNUMBER($C36), ISNUMBER(H36)), H36/$C36, "")</f>
        <v>391.935</v>
      </c>
      <c r="J36" s="223">
        <v>0.153</v>
      </c>
      <c r="K36" s="270" t="s">
        <v>36</v>
      </c>
      <c r="L36" s="214">
        <f t="shared" si="0"/>
        <v>6.0817500000000004</v>
      </c>
      <c r="M36" s="210">
        <f t="shared" si="4"/>
        <v>121.63500000000001</v>
      </c>
      <c r="N36" s="216">
        <v>1.82</v>
      </c>
      <c r="O36" s="212">
        <f t="shared" si="5"/>
        <v>6.0817500000000004</v>
      </c>
      <c r="P36" s="278">
        <f t="shared" si="6"/>
        <v>121.63500000000001</v>
      </c>
      <c r="R36" s="275" t="s">
        <v>27</v>
      </c>
      <c r="S36" s="216">
        <v>0.05</v>
      </c>
      <c r="T36" s="215">
        <v>31.6</v>
      </c>
      <c r="U36" s="209">
        <f t="shared" si="7"/>
        <v>315.02190476190481</v>
      </c>
      <c r="V36" s="210">
        <f t="shared" si="8"/>
        <v>6300.4380952380961</v>
      </c>
      <c r="W36" s="215">
        <v>5.13</v>
      </c>
      <c r="X36" s="209">
        <f>IF(ISNUMBER(W36), W36/T$7, "")</f>
        <v>51.141214285714291</v>
      </c>
      <c r="Y36" s="210">
        <f>IF(AND(ISNUMBER($C36), ISNUMBER(X36)), X36/$C36, "")</f>
        <v>1022.8242857142858</v>
      </c>
      <c r="Z36" s="207">
        <v>0.249</v>
      </c>
      <c r="AA36" s="211" t="s">
        <v>36</v>
      </c>
      <c r="AB36" s="214">
        <f t="shared" si="1"/>
        <v>9.8977500000000003</v>
      </c>
      <c r="AC36" s="210">
        <f t="shared" si="9"/>
        <v>197.95499999999998</v>
      </c>
      <c r="AD36" s="216">
        <v>1.1299999999999999</v>
      </c>
      <c r="AE36" s="212">
        <f t="shared" ref="AE36:AE46" si="28">IF(AND(ISTEXT(AA36),ISNUMBER(Z36),ISNUMBER(AD36)),MAX(AB36,AD36),"")</f>
        <v>9.8977500000000003</v>
      </c>
      <c r="AF36" s="278">
        <f t="shared" si="10"/>
        <v>197.95499999999998</v>
      </c>
    </row>
    <row r="37" spans="2:32" s="188" customFormat="1" ht="15.75" customHeight="1" x14ac:dyDescent="0.25">
      <c r="B37" s="275" t="s">
        <v>40</v>
      </c>
      <c r="C37" s="261" t="s">
        <v>46</v>
      </c>
      <c r="D37" s="208">
        <v>246438</v>
      </c>
      <c r="E37" s="209">
        <f>D37/F$7</f>
        <v>979591.05</v>
      </c>
      <c r="F37" s="524"/>
      <c r="G37" s="525"/>
      <c r="H37" s="525"/>
      <c r="I37" s="525"/>
      <c r="J37" s="525"/>
      <c r="K37" s="526"/>
      <c r="L37" s="525" t="str">
        <f t="shared" ref="L37:L39" si="29">IF(AND(ISTEXT(K37), ISNUMBER(J37)), IF(K37="Available Content", J37*10/$F$7, J37), "")</f>
        <v/>
      </c>
      <c r="M37" s="525" t="str">
        <f t="shared" ref="M37:M39" si="30">IF(AND(ISNUMBER($C37), ISNUMBER(L37)), L37/$C37, "")</f>
        <v/>
      </c>
      <c r="N37" s="525"/>
      <c r="O37" s="525" t="str">
        <f t="shared" ref="O37:O39" si="31">IF(AND(ISTEXT(K37),ISNUMBER(J37),ISNUMBER(N37)),MAX(L37,N37),"")</f>
        <v/>
      </c>
      <c r="P37" s="525" t="str">
        <f t="shared" ref="P37:P39" si="32">IF(AND(ISNUMBER($C37), ISNUMBER(O37)), O37/$C37, "")</f>
        <v/>
      </c>
      <c r="R37" s="275" t="s">
        <v>40</v>
      </c>
      <c r="S37" s="216"/>
      <c r="T37" s="208">
        <v>243763</v>
      </c>
      <c r="U37" s="209">
        <f t="shared" si="7"/>
        <v>2430084.9547619051</v>
      </c>
      <c r="V37" s="524" t="str">
        <f t="shared" si="8"/>
        <v/>
      </c>
      <c r="W37" s="525"/>
      <c r="X37" s="525"/>
      <c r="Y37" s="525"/>
      <c r="Z37" s="525"/>
      <c r="AA37" s="525"/>
      <c r="AB37" s="525" t="str">
        <f t="shared" si="1"/>
        <v/>
      </c>
      <c r="AC37" s="525" t="str">
        <f>IF(AND(ISNUMBER($C37), ISNUMBER(AB37)), AB37/$C37, "")</f>
        <v/>
      </c>
      <c r="AD37" s="525"/>
      <c r="AE37" s="525" t="str">
        <f t="shared" si="28"/>
        <v/>
      </c>
      <c r="AF37" s="525" t="str">
        <f>IF(AND(ISNUMBER($C37), ISNUMBER(AE37)), AE37/$C37, "")</f>
        <v/>
      </c>
    </row>
    <row r="38" spans="2:32" s="188" customFormat="1" ht="15.75" customHeight="1" x14ac:dyDescent="0.25">
      <c r="B38" s="275" t="s">
        <v>28</v>
      </c>
      <c r="C38" s="260" t="s">
        <v>46</v>
      </c>
      <c r="D38" s="208">
        <v>12031</v>
      </c>
      <c r="E38" s="209">
        <f>D38/F$7</f>
        <v>47823.224999999999</v>
      </c>
      <c r="F38" s="527"/>
      <c r="G38" s="218"/>
      <c r="H38" s="218"/>
      <c r="I38" s="218"/>
      <c r="J38" s="218"/>
      <c r="K38" s="344"/>
      <c r="L38" s="218" t="str">
        <f t="shared" si="29"/>
        <v/>
      </c>
      <c r="M38" s="218" t="str">
        <f t="shared" si="30"/>
        <v/>
      </c>
      <c r="N38" s="218"/>
      <c r="O38" s="218" t="str">
        <f t="shared" si="31"/>
        <v/>
      </c>
      <c r="P38" s="218" t="str">
        <f t="shared" si="32"/>
        <v/>
      </c>
      <c r="R38" s="275" t="s">
        <v>28</v>
      </c>
      <c r="S38" s="207"/>
      <c r="T38" s="208">
        <v>14998</v>
      </c>
      <c r="U38" s="209">
        <f t="shared" si="7"/>
        <v>149515.7761904762</v>
      </c>
      <c r="V38" s="527" t="str">
        <f t="shared" si="8"/>
        <v/>
      </c>
      <c r="W38" s="218"/>
      <c r="X38" s="218"/>
      <c r="Y38" s="218"/>
      <c r="Z38" s="218"/>
      <c r="AA38" s="218"/>
      <c r="AB38" s="218" t="str">
        <f t="shared" si="1"/>
        <v/>
      </c>
      <c r="AC38" s="218" t="str">
        <f>IF(AND(ISNUMBER($C38), ISNUMBER(AB38)), AB38/$C38, "")</f>
        <v/>
      </c>
      <c r="AD38" s="218"/>
      <c r="AE38" s="218" t="str">
        <f t="shared" si="28"/>
        <v/>
      </c>
      <c r="AF38" s="218" t="str">
        <f>IF(AND(ISNUMBER($C38), ISNUMBER(AE38)), AE38/$C38, "")</f>
        <v/>
      </c>
    </row>
    <row r="39" spans="2:32" s="188" customFormat="1" ht="15.75" customHeight="1" x14ac:dyDescent="0.25">
      <c r="B39" s="275" t="s">
        <v>29</v>
      </c>
      <c r="C39" s="260" t="s">
        <v>46</v>
      </c>
      <c r="D39" s="208">
        <v>258.89999999999998</v>
      </c>
      <c r="E39" s="209">
        <f>D39/F$7</f>
        <v>1029.1274999999998</v>
      </c>
      <c r="F39" s="528"/>
      <c r="G39" s="529"/>
      <c r="H39" s="529"/>
      <c r="I39" s="529"/>
      <c r="J39" s="529"/>
      <c r="K39" s="530"/>
      <c r="L39" s="529" t="str">
        <f t="shared" si="29"/>
        <v/>
      </c>
      <c r="M39" s="529" t="str">
        <f t="shared" si="30"/>
        <v/>
      </c>
      <c r="N39" s="529"/>
      <c r="O39" s="529" t="str">
        <f t="shared" si="31"/>
        <v/>
      </c>
      <c r="P39" s="529" t="str">
        <f t="shared" si="32"/>
        <v/>
      </c>
      <c r="R39" s="275" t="s">
        <v>29</v>
      </c>
      <c r="S39" s="207"/>
      <c r="T39" s="208">
        <v>293.2</v>
      </c>
      <c r="U39" s="209">
        <f t="shared" si="7"/>
        <v>2922.9247619047624</v>
      </c>
      <c r="V39" s="528" t="str">
        <f t="shared" si="8"/>
        <v/>
      </c>
      <c r="W39" s="529"/>
      <c r="X39" s="529"/>
      <c r="Y39" s="529"/>
      <c r="Z39" s="529"/>
      <c r="AA39" s="529"/>
      <c r="AB39" s="529" t="str">
        <f t="shared" si="1"/>
        <v/>
      </c>
      <c r="AC39" s="529" t="str">
        <f>IF(AND(ISNUMBER($C39), ISNUMBER(AB39)), AB39/$C39, "")</f>
        <v/>
      </c>
      <c r="AD39" s="529"/>
      <c r="AE39" s="529" t="str">
        <f t="shared" si="28"/>
        <v/>
      </c>
      <c r="AF39" s="529" t="str">
        <f>IF(AND(ISNUMBER($C39), ISNUMBER(AE39)), AE39/$C39, "")</f>
        <v/>
      </c>
    </row>
    <row r="40" spans="2:32" s="188" customFormat="1" ht="15.75" customHeight="1" x14ac:dyDescent="0.25">
      <c r="B40" s="275" t="s">
        <v>1</v>
      </c>
      <c r="C40" s="211">
        <v>250</v>
      </c>
      <c r="D40" s="228" t="s">
        <v>44</v>
      </c>
      <c r="E40" s="229" t="s">
        <v>46</v>
      </c>
      <c r="F40" s="233" t="str">
        <f t="shared" si="3"/>
        <v/>
      </c>
      <c r="G40" s="263">
        <v>44785</v>
      </c>
      <c r="H40" s="209">
        <f>IF(ISNUMBER(G40), G40/F$7, "")</f>
        <v>178020.375</v>
      </c>
      <c r="I40" s="210">
        <f>IF(AND(ISNUMBER($C40), ISNUMBER(H40)), H40/$C40, "")</f>
        <v>712.08150000000001</v>
      </c>
      <c r="J40" s="218">
        <v>2207</v>
      </c>
      <c r="K40" s="270" t="s">
        <v>36</v>
      </c>
      <c r="L40" s="209">
        <f t="shared" si="0"/>
        <v>87728.25</v>
      </c>
      <c r="M40" s="210">
        <f t="shared" si="4"/>
        <v>350.91300000000001</v>
      </c>
      <c r="N40" s="211">
        <v>12300</v>
      </c>
      <c r="O40" s="209">
        <f t="shared" si="5"/>
        <v>87728.25</v>
      </c>
      <c r="P40" s="278">
        <f t="shared" si="6"/>
        <v>350.91300000000001</v>
      </c>
      <c r="R40" s="275" t="s">
        <v>1</v>
      </c>
      <c r="S40" s="211">
        <v>250</v>
      </c>
      <c r="T40" s="228" t="s">
        <v>44</v>
      </c>
      <c r="U40" s="229" t="s">
        <v>46</v>
      </c>
      <c r="V40" s="233" t="str">
        <f t="shared" si="8"/>
        <v/>
      </c>
      <c r="W40" s="263">
        <v>21323</v>
      </c>
      <c r="X40" s="209">
        <f>IF(ISNUMBER(W40), W40/T$7, "")</f>
        <v>212570.00238095241</v>
      </c>
      <c r="Y40" s="210">
        <f>IF(AND(ISNUMBER($C40), ISNUMBER(X40)), X40/$C40, "")</f>
        <v>850.28000952380967</v>
      </c>
      <c r="Z40" s="218">
        <v>1863</v>
      </c>
      <c r="AA40" s="211" t="s">
        <v>47</v>
      </c>
      <c r="AB40" s="209">
        <f t="shared" si="1"/>
        <v>1863</v>
      </c>
      <c r="AC40" s="220">
        <f t="shared" si="9"/>
        <v>7.452</v>
      </c>
      <c r="AD40" s="211">
        <v>1180</v>
      </c>
      <c r="AE40" s="209">
        <f t="shared" si="28"/>
        <v>1863</v>
      </c>
      <c r="AF40" s="279">
        <f t="shared" si="10"/>
        <v>7.452</v>
      </c>
    </row>
    <row r="41" spans="2:32" s="188" customFormat="1" ht="15.75" customHeight="1" x14ac:dyDescent="0.25">
      <c r="B41" s="275" t="s">
        <v>30</v>
      </c>
      <c r="C41" s="207">
        <v>2E-3</v>
      </c>
      <c r="D41" s="215">
        <v>34.9</v>
      </c>
      <c r="E41" s="209">
        <f t="shared" ref="E41:E46" si="33">D41/F$7</f>
        <v>138.72749999999999</v>
      </c>
      <c r="F41" s="210">
        <f t="shared" si="3"/>
        <v>69363.75</v>
      </c>
      <c r="G41" s="265">
        <v>16</v>
      </c>
      <c r="H41" s="209">
        <f>IF(ISNUMBER(G41), G41/F$7, "")</f>
        <v>63.6</v>
      </c>
      <c r="I41" s="210">
        <f>IF(AND(ISNUMBER($C41), ISNUMBER(H41)), H41/$C41, "")</f>
        <v>31800</v>
      </c>
      <c r="J41" s="223">
        <v>0.68200000000000005</v>
      </c>
      <c r="K41" s="270" t="s">
        <v>47</v>
      </c>
      <c r="L41" s="214">
        <f t="shared" si="0"/>
        <v>0.68200000000000005</v>
      </c>
      <c r="M41" s="210">
        <f t="shared" si="4"/>
        <v>341</v>
      </c>
      <c r="N41" s="216">
        <v>1.74</v>
      </c>
      <c r="O41" s="212">
        <f t="shared" si="5"/>
        <v>1.74</v>
      </c>
      <c r="P41" s="278">
        <f t="shared" si="6"/>
        <v>870</v>
      </c>
      <c r="R41" s="275" t="s">
        <v>30</v>
      </c>
      <c r="S41" s="207">
        <v>2E-3</v>
      </c>
      <c r="T41" s="215">
        <v>24.3</v>
      </c>
      <c r="U41" s="209">
        <f t="shared" si="7"/>
        <v>242.24785714285719</v>
      </c>
      <c r="V41" s="210">
        <f t="shared" si="8"/>
        <v>121123.92857142859</v>
      </c>
      <c r="W41" s="215">
        <v>17.55</v>
      </c>
      <c r="X41" s="209">
        <f>IF(ISNUMBER(W41), W41/T$7, "")</f>
        <v>174.95678571428573</v>
      </c>
      <c r="Y41" s="210">
        <f>IF(AND(ISNUMBER($C41), ISNUMBER(X41)), X41/$C41, "")</f>
        <v>87478.39285714287</v>
      </c>
      <c r="Z41" s="207">
        <v>0.23</v>
      </c>
      <c r="AA41" s="211" t="s">
        <v>47</v>
      </c>
      <c r="AB41" s="214">
        <f t="shared" si="1"/>
        <v>0.23</v>
      </c>
      <c r="AC41" s="210">
        <f t="shared" si="9"/>
        <v>115</v>
      </c>
      <c r="AD41" s="207">
        <v>5.0999999999999997E-2</v>
      </c>
      <c r="AE41" s="214">
        <f t="shared" si="28"/>
        <v>0.23</v>
      </c>
      <c r="AF41" s="278">
        <f t="shared" si="10"/>
        <v>115</v>
      </c>
    </row>
    <row r="42" spans="2:32" s="188" customFormat="1" ht="15.75" customHeight="1" x14ac:dyDescent="0.25">
      <c r="B42" s="275" t="s">
        <v>41</v>
      </c>
      <c r="C42" s="260" t="s">
        <v>46</v>
      </c>
      <c r="D42" s="208">
        <v>140</v>
      </c>
      <c r="E42" s="209">
        <f t="shared" si="33"/>
        <v>556.5</v>
      </c>
      <c r="F42" s="524"/>
      <c r="G42" s="525"/>
      <c r="H42" s="525"/>
      <c r="I42" s="525"/>
      <c r="J42" s="525"/>
      <c r="K42" s="526"/>
      <c r="L42" s="525" t="str">
        <f t="shared" ref="L42:L45" si="34">IF(AND(ISTEXT(K42), ISNUMBER(J42)), IF(K42="Available Content", J42*10/$F$7, J42), "")</f>
        <v/>
      </c>
      <c r="M42" s="525" t="str">
        <f t="shared" ref="M42:M45" si="35">IF(AND(ISNUMBER($C42), ISNUMBER(L42)), L42/$C42, "")</f>
        <v/>
      </c>
      <c r="N42" s="525"/>
      <c r="O42" s="525" t="str">
        <f t="shared" ref="O42:O45" si="36">IF(AND(ISTEXT(K42),ISNUMBER(J42),ISNUMBER(N42)),MAX(L42,N42),"")</f>
        <v/>
      </c>
      <c r="P42" s="525" t="str">
        <f t="shared" ref="P42:P45" si="37">IF(AND(ISNUMBER($C42), ISNUMBER(O42)), O42/$C42, "")</f>
        <v/>
      </c>
      <c r="R42" s="275" t="s">
        <v>41</v>
      </c>
      <c r="S42" s="207"/>
      <c r="T42" s="208">
        <v>126.3</v>
      </c>
      <c r="U42" s="209">
        <f t="shared" si="7"/>
        <v>1259.0907142857145</v>
      </c>
      <c r="V42" s="524" t="str">
        <f t="shared" si="8"/>
        <v/>
      </c>
      <c r="W42" s="525"/>
      <c r="X42" s="525"/>
      <c r="Y42" s="525"/>
      <c r="Z42" s="525"/>
      <c r="AA42" s="525"/>
      <c r="AB42" s="525" t="str">
        <f t="shared" si="1"/>
        <v/>
      </c>
      <c r="AC42" s="525" t="str">
        <f>IF(AND(ISNUMBER($C42), ISNUMBER(AB42)), AB42/$C42, "")</f>
        <v/>
      </c>
      <c r="AD42" s="525"/>
      <c r="AE42" s="525" t="str">
        <f t="shared" si="28"/>
        <v/>
      </c>
      <c r="AF42" s="525" t="str">
        <f>IF(AND(ISNUMBER($C42), ISNUMBER(AE42)), AE42/$C42, "")</f>
        <v/>
      </c>
    </row>
    <row r="43" spans="2:32" s="188" customFormat="1" ht="15.75" customHeight="1" x14ac:dyDescent="0.25">
      <c r="B43" s="275" t="s">
        <v>42</v>
      </c>
      <c r="C43" s="260" t="s">
        <v>46</v>
      </c>
      <c r="D43" s="208">
        <v>1386</v>
      </c>
      <c r="E43" s="209">
        <f t="shared" si="33"/>
        <v>5509.35</v>
      </c>
      <c r="F43" s="527"/>
      <c r="G43" s="218"/>
      <c r="H43" s="218"/>
      <c r="I43" s="218"/>
      <c r="J43" s="218"/>
      <c r="K43" s="344"/>
      <c r="L43" s="218" t="str">
        <f t="shared" si="34"/>
        <v/>
      </c>
      <c r="M43" s="218" t="str">
        <f t="shared" si="35"/>
        <v/>
      </c>
      <c r="N43" s="218"/>
      <c r="O43" s="218" t="str">
        <f t="shared" si="36"/>
        <v/>
      </c>
      <c r="P43" s="218" t="str">
        <f t="shared" si="37"/>
        <v/>
      </c>
      <c r="R43" s="275" t="s">
        <v>42</v>
      </c>
      <c r="S43" s="207"/>
      <c r="T43" s="208">
        <v>1757</v>
      </c>
      <c r="U43" s="209">
        <f t="shared" si="7"/>
        <v>17515.616666666669</v>
      </c>
      <c r="V43" s="527" t="str">
        <f t="shared" si="8"/>
        <v/>
      </c>
      <c r="W43" s="218"/>
      <c r="X43" s="218"/>
      <c r="Y43" s="218"/>
      <c r="Z43" s="218"/>
      <c r="AA43" s="218"/>
      <c r="AB43" s="218" t="str">
        <f t="shared" si="1"/>
        <v/>
      </c>
      <c r="AC43" s="218" t="str">
        <f>IF(AND(ISNUMBER($C43), ISNUMBER(AB43)), AB43/$C43, "")</f>
        <v/>
      </c>
      <c r="AD43" s="218"/>
      <c r="AE43" s="218" t="str">
        <f t="shared" si="28"/>
        <v/>
      </c>
      <c r="AF43" s="218" t="str">
        <f>IF(AND(ISNUMBER($C43), ISNUMBER(AE43)), AE43/$C43, "")</f>
        <v/>
      </c>
    </row>
    <row r="44" spans="2:32" s="188" customFormat="1" ht="15.75" customHeight="1" x14ac:dyDescent="0.25">
      <c r="B44" s="275" t="s">
        <v>43</v>
      </c>
      <c r="C44" s="260" t="s">
        <v>46</v>
      </c>
      <c r="D44" s="222">
        <v>2.79</v>
      </c>
      <c r="E44" s="232">
        <f t="shared" si="33"/>
        <v>11.090249999999999</v>
      </c>
      <c r="F44" s="527"/>
      <c r="G44" s="218"/>
      <c r="H44" s="218"/>
      <c r="I44" s="218"/>
      <c r="J44" s="218"/>
      <c r="K44" s="344"/>
      <c r="L44" s="218" t="str">
        <f t="shared" si="34"/>
        <v/>
      </c>
      <c r="M44" s="218" t="str">
        <f t="shared" si="35"/>
        <v/>
      </c>
      <c r="N44" s="218"/>
      <c r="O44" s="218" t="str">
        <f t="shared" si="36"/>
        <v/>
      </c>
      <c r="P44" s="218" t="str">
        <f t="shared" si="37"/>
        <v/>
      </c>
      <c r="R44" s="275" t="s">
        <v>43</v>
      </c>
      <c r="S44" s="207"/>
      <c r="T44" s="222">
        <v>3.2</v>
      </c>
      <c r="U44" s="232">
        <f t="shared" si="7"/>
        <v>31.900952380952386</v>
      </c>
      <c r="V44" s="527" t="str">
        <f t="shared" si="8"/>
        <v/>
      </c>
      <c r="W44" s="218"/>
      <c r="X44" s="218"/>
      <c r="Y44" s="218"/>
      <c r="Z44" s="218"/>
      <c r="AA44" s="218"/>
      <c r="AB44" s="218" t="str">
        <f t="shared" si="1"/>
        <v/>
      </c>
      <c r="AC44" s="218" t="str">
        <f>IF(AND(ISNUMBER($C44), ISNUMBER(AB44)), AB44/$C44, "")</f>
        <v/>
      </c>
      <c r="AD44" s="218"/>
      <c r="AE44" s="218" t="str">
        <f t="shared" si="28"/>
        <v/>
      </c>
      <c r="AF44" s="218" t="str">
        <f>IF(AND(ISNUMBER($C44), ISNUMBER(AE44)), AE44/$C44, "")</f>
        <v/>
      </c>
    </row>
    <row r="45" spans="2:32" s="188" customFormat="1" ht="15.75" customHeight="1" x14ac:dyDescent="0.25">
      <c r="B45" s="275" t="s">
        <v>32</v>
      </c>
      <c r="C45" s="260" t="s">
        <v>46</v>
      </c>
      <c r="D45" s="215">
        <v>40.799999999999997</v>
      </c>
      <c r="E45" s="209">
        <f t="shared" si="33"/>
        <v>162.17999999999998</v>
      </c>
      <c r="F45" s="528"/>
      <c r="G45" s="529"/>
      <c r="H45" s="529"/>
      <c r="I45" s="529"/>
      <c r="J45" s="529"/>
      <c r="K45" s="530"/>
      <c r="L45" s="529" t="str">
        <f t="shared" si="34"/>
        <v/>
      </c>
      <c r="M45" s="529" t="str">
        <f t="shared" si="35"/>
        <v/>
      </c>
      <c r="N45" s="529"/>
      <c r="O45" s="529" t="str">
        <f t="shared" si="36"/>
        <v/>
      </c>
      <c r="P45" s="529" t="str">
        <f t="shared" si="37"/>
        <v/>
      </c>
      <c r="R45" s="275" t="s">
        <v>32</v>
      </c>
      <c r="S45" s="207"/>
      <c r="T45" s="215">
        <v>47.3</v>
      </c>
      <c r="U45" s="209">
        <f t="shared" si="7"/>
        <v>471.53595238095238</v>
      </c>
      <c r="V45" s="528" t="str">
        <f t="shared" si="8"/>
        <v/>
      </c>
      <c r="W45" s="529"/>
      <c r="X45" s="529"/>
      <c r="Y45" s="529"/>
      <c r="Z45" s="529"/>
      <c r="AA45" s="529"/>
      <c r="AB45" s="529" t="str">
        <f t="shared" si="1"/>
        <v/>
      </c>
      <c r="AC45" s="529" t="str">
        <f>IF(AND(ISNUMBER($C45), ISNUMBER(AB45)), AB45/$C45, "")</f>
        <v/>
      </c>
      <c r="AD45" s="529"/>
      <c r="AE45" s="529" t="str">
        <f t="shared" si="28"/>
        <v/>
      </c>
      <c r="AF45" s="529" t="str">
        <f>IF(AND(ISNUMBER($C45), ISNUMBER(AE45)), AE45/$C45, "")</f>
        <v/>
      </c>
    </row>
    <row r="46" spans="2:32" s="188" customFormat="1" ht="15.75" customHeight="1" x14ac:dyDescent="0.25">
      <c r="B46" s="276" t="s">
        <v>31</v>
      </c>
      <c r="C46" s="240">
        <v>5</v>
      </c>
      <c r="D46" s="241">
        <v>11595</v>
      </c>
      <c r="E46" s="242">
        <f t="shared" si="33"/>
        <v>46090.125</v>
      </c>
      <c r="F46" s="243">
        <f t="shared" si="3"/>
        <v>9218.0249999999996</v>
      </c>
      <c r="G46" s="266">
        <v>1681</v>
      </c>
      <c r="H46" s="242">
        <f>IF(ISNUMBER(G46), G46/F$7, "")</f>
        <v>6681.9750000000004</v>
      </c>
      <c r="I46" s="243">
        <f>IF(AND(ISNUMBER($C46), ISNUMBER(H46)), H46/$C46, "")</f>
        <v>1336.395</v>
      </c>
      <c r="J46" s="240">
        <v>144</v>
      </c>
      <c r="K46" s="271" t="s">
        <v>47</v>
      </c>
      <c r="L46" s="242">
        <f t="shared" si="0"/>
        <v>144</v>
      </c>
      <c r="M46" s="243">
        <f t="shared" si="4"/>
        <v>28.8</v>
      </c>
      <c r="N46" s="244">
        <v>62.5</v>
      </c>
      <c r="O46" s="242">
        <f t="shared" si="5"/>
        <v>144</v>
      </c>
      <c r="P46" s="277">
        <f t="shared" si="6"/>
        <v>28.8</v>
      </c>
      <c r="R46" s="276" t="s">
        <v>31</v>
      </c>
      <c r="S46" s="240">
        <v>5</v>
      </c>
      <c r="T46" s="241">
        <v>11184</v>
      </c>
      <c r="U46" s="242">
        <f t="shared" si="7"/>
        <v>111493.82857142859</v>
      </c>
      <c r="V46" s="243">
        <f t="shared" si="8"/>
        <v>22298.765714285717</v>
      </c>
      <c r="W46" s="266">
        <v>1625</v>
      </c>
      <c r="X46" s="242">
        <f>IF(ISNUMBER(W46), W46/T$7, "")</f>
        <v>16199.702380952383</v>
      </c>
      <c r="Y46" s="243">
        <f>IF(AND(ISNUMBER($C46), ISNUMBER(X46)), X46/$C46, "")</f>
        <v>3239.9404761904766</v>
      </c>
      <c r="Z46" s="274">
        <v>3.85</v>
      </c>
      <c r="AA46" s="240" t="s">
        <v>47</v>
      </c>
      <c r="AB46" s="242">
        <f t="shared" si="1"/>
        <v>3.85</v>
      </c>
      <c r="AC46" s="245">
        <f t="shared" si="9"/>
        <v>0.77</v>
      </c>
      <c r="AD46" s="246">
        <v>0.14199999999999999</v>
      </c>
      <c r="AE46" s="247">
        <f t="shared" si="28"/>
        <v>3.85</v>
      </c>
      <c r="AF46" s="245">
        <f t="shared" si="10"/>
        <v>0.77</v>
      </c>
    </row>
    <row r="47" spans="2:32" s="188" customFormat="1" ht="15.75" customHeight="1" x14ac:dyDescent="0.25"/>
    <row r="48" spans="2:32" ht="15.75" customHeight="1" x14ac:dyDescent="0.25"/>
  </sheetData>
  <mergeCells count="8">
    <mergeCell ref="Z9:AC9"/>
    <mergeCell ref="AD9:AF9"/>
    <mergeCell ref="D9:F9"/>
    <mergeCell ref="G9:I9"/>
    <mergeCell ref="J9:M9"/>
    <mergeCell ref="N9:P9"/>
    <mergeCell ref="T9:V9"/>
    <mergeCell ref="W9:Y9"/>
  </mergeCells>
  <conditionalFormatting sqref="Y13:Y17 Y19 Y22:Y23 Y25:Y28 Y34 Y36 Y40:Y41 Y46 AC13:AC17 AC19 AC22:AC23 AC25:AC28 AC34 AC36 AC40:AC41 AC46 AF13:AF17 AF19 AF22:AF23 AF25:AF28 AF34 AF36 AF40:AF41 AF46 P13:P17 P19 P22:P23 P25:P28 P34 P36 P40:P41 P46 M13:M17 M19 M22:M23 M25:M28 M34 M36 M40:M41 M46 I13:I17 I19 I22:I23 I25:I28 I34 I36 I40:I41 I46 F13:F17 F19 F23 F25 F27:F28 F36 F41 F46 V13:V17 V19 V23 V25 V27:V28 V36 V41 V46">
    <cfRule type="cellIs" dxfId="286" priority="1" operator="lessThanOrEqual">
      <formula>1</formula>
    </cfRule>
  </conditionalFormatting>
  <pageMargins left="0.7" right="0.7" top="0.75" bottom="0.75" header="0.3" footer="0.3"/>
  <pageSetup scale="70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0"/>
  <sheetViews>
    <sheetView zoomScaleNormal="100" workbookViewId="0">
      <selection activeCell="H38" sqref="H38"/>
    </sheetView>
  </sheetViews>
  <sheetFormatPr defaultRowHeight="15" x14ac:dyDescent="0.25"/>
  <cols>
    <col min="2" max="21" width="11.7109375" customWidth="1"/>
  </cols>
  <sheetData>
    <row r="1" spans="1:21" x14ac:dyDescent="0.25">
      <c r="A1" s="64" t="s">
        <v>216</v>
      </c>
    </row>
    <row r="2" spans="1:21" x14ac:dyDescent="0.25">
      <c r="A2" s="5" t="s">
        <v>144</v>
      </c>
      <c r="B2" s="8" t="s">
        <v>146</v>
      </c>
    </row>
    <row r="3" spans="1:21" x14ac:dyDescent="0.25">
      <c r="A3" s="5" t="s">
        <v>174</v>
      </c>
      <c r="B3" s="84" t="s">
        <v>147</v>
      </c>
    </row>
    <row r="4" spans="1:21" x14ac:dyDescent="0.25">
      <c r="A4" s="6"/>
    </row>
    <row r="5" spans="1:21" x14ac:dyDescent="0.25">
      <c r="B5" s="29" t="s">
        <v>176</v>
      </c>
      <c r="C5" s="6" t="s">
        <v>183</v>
      </c>
      <c r="L5" s="29" t="s">
        <v>181</v>
      </c>
      <c r="M5" s="6" t="s">
        <v>182</v>
      </c>
    </row>
    <row r="6" spans="1:21" ht="46.5" customHeight="1" x14ac:dyDescent="0.25">
      <c r="B6" s="174"/>
      <c r="C6" s="540" t="s">
        <v>177</v>
      </c>
      <c r="D6" s="540"/>
      <c r="E6" s="540" t="s">
        <v>178</v>
      </c>
      <c r="F6" s="540"/>
      <c r="G6" s="540" t="s">
        <v>179</v>
      </c>
      <c r="H6" s="540"/>
      <c r="I6" s="540" t="s">
        <v>180</v>
      </c>
      <c r="J6" s="540"/>
      <c r="L6" s="174"/>
      <c r="M6" s="174" t="s">
        <v>112</v>
      </c>
      <c r="N6" s="540" t="s">
        <v>6</v>
      </c>
      <c r="O6" s="540"/>
      <c r="P6" s="540" t="s">
        <v>36</v>
      </c>
      <c r="Q6" s="540"/>
      <c r="R6" s="540" t="s">
        <v>141</v>
      </c>
      <c r="S6" s="540"/>
      <c r="T6" s="540" t="s">
        <v>142</v>
      </c>
      <c r="U6" s="540"/>
    </row>
    <row r="7" spans="1:21" ht="15.75" customHeight="1" x14ac:dyDescent="0.25">
      <c r="B7" s="281" t="s">
        <v>135</v>
      </c>
      <c r="C7" s="186" t="s">
        <v>127</v>
      </c>
      <c r="D7" s="186" t="s">
        <v>128</v>
      </c>
      <c r="E7" s="186" t="s">
        <v>127</v>
      </c>
      <c r="F7" s="186" t="s">
        <v>128</v>
      </c>
      <c r="G7" s="186" t="s">
        <v>127</v>
      </c>
      <c r="H7" s="186" t="s">
        <v>128</v>
      </c>
      <c r="I7" s="186" t="s">
        <v>127</v>
      </c>
      <c r="J7" s="186" t="s">
        <v>128</v>
      </c>
      <c r="L7" s="281" t="s">
        <v>135</v>
      </c>
      <c r="M7" s="186" t="s">
        <v>46</v>
      </c>
      <c r="N7" s="186" t="s">
        <v>127</v>
      </c>
      <c r="O7" s="186" t="s">
        <v>128</v>
      </c>
      <c r="P7" s="186" t="s">
        <v>127</v>
      </c>
      <c r="Q7" s="186" t="s">
        <v>128</v>
      </c>
      <c r="R7" s="186" t="s">
        <v>127</v>
      </c>
      <c r="S7" s="186" t="s">
        <v>128</v>
      </c>
      <c r="T7" s="186" t="s">
        <v>127</v>
      </c>
      <c r="U7" s="186" t="s">
        <v>128</v>
      </c>
    </row>
    <row r="8" spans="1:21" ht="15.75" customHeight="1" x14ac:dyDescent="0.25">
      <c r="B8" s="282" t="s">
        <v>136</v>
      </c>
      <c r="C8" s="187" t="s">
        <v>46</v>
      </c>
      <c r="D8" s="187" t="s">
        <v>46</v>
      </c>
      <c r="E8" s="187" t="s">
        <v>46</v>
      </c>
      <c r="F8" s="187" t="s">
        <v>46</v>
      </c>
      <c r="G8" s="187" t="s">
        <v>137</v>
      </c>
      <c r="H8" s="187" t="s">
        <v>138</v>
      </c>
      <c r="I8" s="187" t="s">
        <v>139</v>
      </c>
      <c r="J8" s="187" t="s">
        <v>139</v>
      </c>
      <c r="L8" s="282" t="s">
        <v>136</v>
      </c>
      <c r="M8" s="187" t="s">
        <v>46</v>
      </c>
      <c r="N8" s="187" t="s">
        <v>46</v>
      </c>
      <c r="O8" s="187" t="s">
        <v>46</v>
      </c>
      <c r="P8" s="187" t="s">
        <v>46</v>
      </c>
      <c r="Q8" s="187" t="s">
        <v>46</v>
      </c>
      <c r="R8" s="187" t="s">
        <v>137</v>
      </c>
      <c r="S8" s="187" t="s">
        <v>138</v>
      </c>
      <c r="T8" s="187" t="s">
        <v>139</v>
      </c>
      <c r="U8" s="187" t="s">
        <v>139</v>
      </c>
    </row>
    <row r="9" spans="1:21" ht="15.75" customHeight="1" x14ac:dyDescent="0.25">
      <c r="B9" s="283" t="s">
        <v>140</v>
      </c>
      <c r="C9" s="284" t="s">
        <v>46</v>
      </c>
      <c r="D9" s="284" t="s">
        <v>46</v>
      </c>
      <c r="E9" s="284" t="s">
        <v>46</v>
      </c>
      <c r="F9" s="284" t="s">
        <v>46</v>
      </c>
      <c r="G9" s="284">
        <v>10</v>
      </c>
      <c r="H9" s="284">
        <v>10</v>
      </c>
      <c r="I9" s="284">
        <v>0.2</v>
      </c>
      <c r="J9" s="284">
        <v>0.2</v>
      </c>
      <c r="L9" s="283" t="s">
        <v>140</v>
      </c>
      <c r="M9" s="284" t="s">
        <v>46</v>
      </c>
      <c r="N9" s="284" t="s">
        <v>46</v>
      </c>
      <c r="O9" s="284" t="s">
        <v>46</v>
      </c>
      <c r="P9" s="284" t="s">
        <v>46</v>
      </c>
      <c r="Q9" s="284" t="s">
        <v>46</v>
      </c>
      <c r="R9" s="284">
        <v>10</v>
      </c>
      <c r="S9" s="284">
        <v>10</v>
      </c>
      <c r="T9" s="284">
        <v>0.2</v>
      </c>
      <c r="U9" s="284">
        <v>0.2</v>
      </c>
    </row>
    <row r="10" spans="1:21" ht="15.75" customHeight="1" x14ac:dyDescent="0.25">
      <c r="B10" s="175" t="s">
        <v>9</v>
      </c>
      <c r="C10" s="176">
        <f>Screening_Assessment!D13</f>
        <v>25873</v>
      </c>
      <c r="D10" s="176">
        <f>Screening_Assessment!T13</f>
        <v>25456</v>
      </c>
      <c r="E10" s="176">
        <f>Screening_Assessment!G13</f>
        <v>985</v>
      </c>
      <c r="F10" s="176">
        <f>Screening_Assessment!W13</f>
        <v>2470</v>
      </c>
      <c r="G10" s="177">
        <f>Screening_Assessment!J13</f>
        <v>3.39</v>
      </c>
      <c r="H10" s="181">
        <f>Screening_Assessment!Z13</f>
        <v>0.13100000000000001</v>
      </c>
      <c r="I10" s="182">
        <f>Screening_Assessment!N13</f>
        <v>5.0500000000000003E-2</v>
      </c>
      <c r="J10" s="181">
        <f>Screening_Assessment!AD13</f>
        <v>0.254</v>
      </c>
      <c r="L10" s="175" t="s">
        <v>9</v>
      </c>
      <c r="M10" s="175">
        <v>50</v>
      </c>
      <c r="N10" s="176">
        <f>Screening_Assessment!F13</f>
        <v>2056.9034999999999</v>
      </c>
      <c r="O10" s="176">
        <f>Screening_Assessment!V13</f>
        <v>5075.4415238095244</v>
      </c>
      <c r="P10" s="176">
        <f>Screening_Assessment!I13</f>
        <v>78.307500000000005</v>
      </c>
      <c r="Q10" s="176">
        <f>Screening_Assessment!Y13</f>
        <v>492.47095238095244</v>
      </c>
      <c r="R10" s="178">
        <f>Screening_Assessment!M13</f>
        <v>6.7799999999999999E-2</v>
      </c>
      <c r="S10" s="185">
        <f>Screening_Assessment!AC13</f>
        <v>2.6199999999999999E-3</v>
      </c>
      <c r="T10" s="178">
        <f>Screening_Assessment!P13</f>
        <v>6.7799999999999999E-2</v>
      </c>
      <c r="U10" s="185">
        <f>Screening_Assessment!AF13</f>
        <v>5.0800000000000003E-3</v>
      </c>
    </row>
    <row r="11" spans="1:21" ht="15.75" customHeight="1" x14ac:dyDescent="0.25">
      <c r="B11" s="175" t="s">
        <v>10</v>
      </c>
      <c r="C11" s="176">
        <f>Screening_Assessment!D14</f>
        <v>458</v>
      </c>
      <c r="D11" s="176">
        <f>Screening_Assessment!T14</f>
        <v>444</v>
      </c>
      <c r="E11" s="176">
        <f>Screening_Assessment!G14</f>
        <v>12.9</v>
      </c>
      <c r="F11" s="180">
        <f>Screening_Assessment!W14</f>
        <v>53.95000000000001</v>
      </c>
      <c r="G11" s="175">
        <f>Screening_Assessment!J14</f>
        <v>0.25</v>
      </c>
      <c r="H11" s="181">
        <f>Screening_Assessment!Z14</f>
        <v>0.20899999999999999</v>
      </c>
      <c r="I11" s="182">
        <f>Screening_Assessment!N14</f>
        <v>7.0199999999999999E-2</v>
      </c>
      <c r="J11" s="177">
        <f>Screening_Assessment!AD14</f>
        <v>1.1299999999999999</v>
      </c>
      <c r="L11" s="175" t="s">
        <v>10</v>
      </c>
      <c r="M11" s="175">
        <v>6.0000000000000001E-3</v>
      </c>
      <c r="N11" s="176">
        <f>Screening_Assessment!F14</f>
        <v>303425</v>
      </c>
      <c r="O11" s="176">
        <f>Screening_Assessment!V14</f>
        <v>737709.5238095239</v>
      </c>
      <c r="P11" s="176">
        <f>Screening_Assessment!I14</f>
        <v>8546.25</v>
      </c>
      <c r="Q11" s="176">
        <f>Screening_Assessment!Y14</f>
        <v>89638.353174603195</v>
      </c>
      <c r="R11" s="176">
        <f>Screening_Assessment!M14</f>
        <v>41.666666666666664</v>
      </c>
      <c r="S11" s="176">
        <f>Screening_Assessment!AC14</f>
        <v>34.833333333333329</v>
      </c>
      <c r="T11" s="176">
        <f>Screening_Assessment!P14</f>
        <v>41.666666666666664</v>
      </c>
      <c r="U11" s="176">
        <f>Screening_Assessment!AF14</f>
        <v>188.33333333333331</v>
      </c>
    </row>
    <row r="12" spans="1:21" ht="15.75" customHeight="1" x14ac:dyDescent="0.25">
      <c r="B12" s="175" t="s">
        <v>11</v>
      </c>
      <c r="C12" s="176">
        <f>Screening_Assessment!D15</f>
        <v>355</v>
      </c>
      <c r="D12" s="176">
        <f>Screening_Assessment!T15</f>
        <v>251.4</v>
      </c>
      <c r="E12" s="176">
        <f>Screening_Assessment!G15</f>
        <v>800</v>
      </c>
      <c r="F12" s="180">
        <f>Screening_Assessment!W15</f>
        <v>767.4</v>
      </c>
      <c r="G12" s="181">
        <f>Screening_Assessment!J15</f>
        <v>0.127</v>
      </c>
      <c r="H12" s="181">
        <f>Screening_Assessment!Z15</f>
        <v>0.35499999999999998</v>
      </c>
      <c r="I12" s="175">
        <f>Screening_Assessment!N15</f>
        <v>3.6999999999999998E-2</v>
      </c>
      <c r="J12" s="181">
        <f>Screening_Assessment!AD15</f>
        <v>0.10100000000000001</v>
      </c>
      <c r="L12" s="175" t="s">
        <v>11</v>
      </c>
      <c r="M12" s="175">
        <v>0.01</v>
      </c>
      <c r="N12" s="176">
        <f>Screening_Assessment!F15</f>
        <v>141112.5</v>
      </c>
      <c r="O12" s="176">
        <f>Screening_Assessment!V15</f>
        <v>250621.85714285719</v>
      </c>
      <c r="P12" s="176">
        <f>Screening_Assessment!I15</f>
        <v>318000</v>
      </c>
      <c r="Q12" s="176">
        <f>Screening_Assessment!Y15</f>
        <v>765024.71428571432</v>
      </c>
      <c r="R12" s="176">
        <f>Screening_Assessment!M15</f>
        <v>12.7</v>
      </c>
      <c r="S12" s="176">
        <f>Screening_Assessment!AC15</f>
        <v>35.5</v>
      </c>
      <c r="T12" s="176">
        <f>Screening_Assessment!P15</f>
        <v>12.7</v>
      </c>
      <c r="U12" s="176">
        <f>Screening_Assessment!AF15</f>
        <v>35.5</v>
      </c>
    </row>
    <row r="13" spans="1:21" ht="15.75" customHeight="1" x14ac:dyDescent="0.25">
      <c r="B13" s="175" t="s">
        <v>12</v>
      </c>
      <c r="C13" s="176">
        <f>Screening_Assessment!D16</f>
        <v>529</v>
      </c>
      <c r="D13" s="176">
        <f>Screening_Assessment!T16</f>
        <v>518.79999999999995</v>
      </c>
      <c r="E13" s="181">
        <f>Screening_Assessment!G16</f>
        <v>0.80300000000000005</v>
      </c>
      <c r="F13" s="177">
        <f>Screening_Assessment!W16</f>
        <v>7.365000000000002</v>
      </c>
      <c r="G13" s="175">
        <f>Screening_Assessment!J16</f>
        <v>9.5000000000000001E-2</v>
      </c>
      <c r="H13" s="181">
        <f>Screening_Assessment!Z16</f>
        <v>0.42399999999999999</v>
      </c>
      <c r="I13" s="181">
        <f>Screening_Assessment!N16</f>
        <v>0.13100000000000001</v>
      </c>
      <c r="J13" s="181">
        <f>Screening_Assessment!AD16</f>
        <v>0.128</v>
      </c>
      <c r="L13" s="175" t="s">
        <v>12</v>
      </c>
      <c r="M13" s="175">
        <v>2</v>
      </c>
      <c r="N13" s="176">
        <f>Screening_Assessment!F16</f>
        <v>1051.3875</v>
      </c>
      <c r="O13" s="176">
        <f>Screening_Assessment!V16</f>
        <v>2585.9709523809524</v>
      </c>
      <c r="P13" s="177">
        <f>Screening_Assessment!I16</f>
        <v>1.5959625000000002</v>
      </c>
      <c r="Q13" s="176">
        <f>Screening_Assessment!Y16</f>
        <v>36.71101785714287</v>
      </c>
      <c r="R13" s="178">
        <f>Screening_Assessment!M16</f>
        <v>4.7500000000000001E-2</v>
      </c>
      <c r="S13" s="178">
        <f>Screening_Assessment!AC16</f>
        <v>0.21199999999999999</v>
      </c>
      <c r="T13" s="178">
        <f>Screening_Assessment!P16</f>
        <v>6.5500000000000003E-2</v>
      </c>
      <c r="U13" s="178">
        <f>Screening_Assessment!AF16</f>
        <v>0.21199999999999999</v>
      </c>
    </row>
    <row r="14" spans="1:21" ht="15.75" customHeight="1" x14ac:dyDescent="0.25">
      <c r="B14" s="175" t="s">
        <v>13</v>
      </c>
      <c r="C14" s="178">
        <f>Screening_Assessment!D17</f>
        <v>0.34</v>
      </c>
      <c r="D14" s="178">
        <f>Screening_Assessment!T17</f>
        <v>0.38</v>
      </c>
      <c r="E14" s="181">
        <f>Screening_Assessment!G17</f>
        <v>0.184</v>
      </c>
      <c r="F14" s="181">
        <f>Screening_Assessment!W17</f>
        <v>0.21650000000000005</v>
      </c>
      <c r="G14" s="184">
        <f>Screening_Assessment!J17</f>
        <v>2.2799999999999999E-3</v>
      </c>
      <c r="H14" s="183">
        <f>Screening_Assessment!Z17</f>
        <v>6.4000000000000005E-4</v>
      </c>
      <c r="I14" s="183">
        <f>Screening_Assessment!N17</f>
        <v>6.4000000000000005E-4</v>
      </c>
      <c r="J14" s="184">
        <f>Screening_Assessment!AD17</f>
        <v>1E-3</v>
      </c>
      <c r="L14" s="175" t="s">
        <v>13</v>
      </c>
      <c r="M14" s="175">
        <v>4.0000000000000001E-3</v>
      </c>
      <c r="N14" s="176">
        <f>Screening_Assessment!F17</f>
        <v>337.87500000000006</v>
      </c>
      <c r="O14" s="176">
        <f>Screening_Assessment!V17</f>
        <v>947.05952380952397</v>
      </c>
      <c r="P14" s="176">
        <f>Screening_Assessment!I17</f>
        <v>182.85</v>
      </c>
      <c r="Q14" s="176">
        <f>Screening_Assessment!Y17</f>
        <v>539.57470238095266</v>
      </c>
      <c r="R14" s="178">
        <f>Screening_Assessment!M17</f>
        <v>0.56999999999999995</v>
      </c>
      <c r="S14" s="178">
        <f>Screening_Assessment!AC17</f>
        <v>0.16</v>
      </c>
      <c r="T14" s="178">
        <f>Screening_Assessment!P17</f>
        <v>0.56999999999999995</v>
      </c>
      <c r="U14" s="178">
        <f>Screening_Assessment!AF17</f>
        <v>0.25</v>
      </c>
    </row>
    <row r="15" spans="1:21" ht="15.75" customHeight="1" x14ac:dyDescent="0.25">
      <c r="B15" s="175" t="s">
        <v>15</v>
      </c>
      <c r="C15" s="176">
        <f>Screening_Assessment!D19</f>
        <v>14000</v>
      </c>
      <c r="D15" s="176">
        <f>Screening_Assessment!T19</f>
        <v>13000</v>
      </c>
      <c r="E15" s="176">
        <f>Screening_Assessment!G19</f>
        <v>501</v>
      </c>
      <c r="F15" s="176">
        <f>Screening_Assessment!W19</f>
        <v>380</v>
      </c>
      <c r="G15" s="180">
        <f>Screening_Assessment!J19</f>
        <v>22.9</v>
      </c>
      <c r="H15" s="182">
        <f>Screening_Assessment!Z19</f>
        <v>9.4299999999999995E-2</v>
      </c>
      <c r="I15" s="180">
        <f>Screening_Assessment!N19</f>
        <v>15.4</v>
      </c>
      <c r="J15" s="175">
        <f>Screening_Assessment!AD19</f>
        <v>1.0999999999999999E-2</v>
      </c>
      <c r="L15" s="175" t="s">
        <v>15</v>
      </c>
      <c r="M15" s="175">
        <v>5.0000000000000001E-3</v>
      </c>
      <c r="N15" s="176">
        <f>Screening_Assessment!F19</f>
        <v>11130000</v>
      </c>
      <c r="O15" s="176">
        <f>Screening_Assessment!V19</f>
        <v>25919523.809523813</v>
      </c>
      <c r="P15" s="176">
        <f>Screening_Assessment!I19</f>
        <v>398295</v>
      </c>
      <c r="Q15" s="176">
        <f>Screening_Assessment!Y19</f>
        <v>757647.61904761917</v>
      </c>
      <c r="R15" s="176">
        <f>Screening_Assessment!M19</f>
        <v>4580</v>
      </c>
      <c r="S15" s="176">
        <f>Screening_Assessment!AC19</f>
        <v>18.86</v>
      </c>
      <c r="T15" s="176">
        <f>Screening_Assessment!P19</f>
        <v>4580</v>
      </c>
      <c r="U15" s="176">
        <f>Screening_Assessment!AF19</f>
        <v>18.86</v>
      </c>
    </row>
    <row r="16" spans="1:21" ht="15.75" customHeight="1" x14ac:dyDescent="0.25">
      <c r="B16" s="175" t="s">
        <v>16</v>
      </c>
      <c r="C16" s="289" t="str">
        <f>Screening_Assessment!D22</f>
        <v>NA</v>
      </c>
      <c r="D16" s="289" t="str">
        <f>Screening_Assessment!T22</f>
        <v>NA</v>
      </c>
      <c r="E16" s="176">
        <f>Screening_Assessment!G22</f>
        <v>475</v>
      </c>
      <c r="F16" s="176">
        <f>Screening_Assessment!W22</f>
        <v>528</v>
      </c>
      <c r="G16" s="180">
        <f>Screening_Assessment!J22</f>
        <v>24.3</v>
      </c>
      <c r="H16" s="180">
        <f>Screening_Assessment!Z22</f>
        <v>35.5</v>
      </c>
      <c r="I16" s="176">
        <f>Screening_Assessment!N22</f>
        <v>744</v>
      </c>
      <c r="J16" s="176">
        <f>Screening_Assessment!AD22</f>
        <v>497</v>
      </c>
      <c r="L16" s="175" t="s">
        <v>16</v>
      </c>
      <c r="M16" s="175">
        <v>250</v>
      </c>
      <c r="N16" s="176" t="str">
        <f>Screening_Assessment!F22</f>
        <v/>
      </c>
      <c r="O16" s="176" t="str">
        <f>Screening_Assessment!V22</f>
        <v/>
      </c>
      <c r="P16" s="177">
        <f>Screening_Assessment!I22</f>
        <v>7.5525000000000002</v>
      </c>
      <c r="Q16" s="176">
        <f>Screening_Assessment!Y22</f>
        <v>21.054628571428573</v>
      </c>
      <c r="R16" s="177">
        <f>Screening_Assessment!M22</f>
        <v>3.8636999999999997</v>
      </c>
      <c r="S16" s="177">
        <f>Screening_Assessment!AC22</f>
        <v>5.6444999999999999</v>
      </c>
      <c r="T16" s="177">
        <f>Screening_Assessment!P22</f>
        <v>3.8636999999999997</v>
      </c>
      <c r="U16" s="177">
        <f>Screening_Assessment!AF22</f>
        <v>5.6444999999999999</v>
      </c>
    </row>
    <row r="17" spans="2:21" ht="15.75" customHeight="1" x14ac:dyDescent="0.25">
      <c r="B17" s="175" t="s">
        <v>17</v>
      </c>
      <c r="C17" s="176">
        <f>Screening_Assessment!D23</f>
        <v>1174</v>
      </c>
      <c r="D17" s="176">
        <f>Screening_Assessment!T23</f>
        <v>552.1</v>
      </c>
      <c r="E17" s="175">
        <f>Screening_Assessment!G23</f>
        <v>21.9</v>
      </c>
      <c r="F17" s="175">
        <f>Screening_Assessment!W23</f>
        <v>21.1</v>
      </c>
      <c r="G17" s="175">
        <f>Screening_Assessment!J23</f>
        <v>1.4E-3</v>
      </c>
      <c r="H17" s="181">
        <f>Screening_Assessment!Z23</f>
        <v>0.28899999999999998</v>
      </c>
      <c r="I17" s="175">
        <f>Screening_Assessment!N23</f>
        <v>2.0999999999999999E-3</v>
      </c>
      <c r="J17" s="181">
        <f>Screening_Assessment!AD23</f>
        <v>0.45500000000000002</v>
      </c>
      <c r="L17" s="175" t="s">
        <v>17</v>
      </c>
      <c r="M17" s="175">
        <v>0.1</v>
      </c>
      <c r="N17" s="176">
        <f>Screening_Assessment!F23</f>
        <v>46666.499999999993</v>
      </c>
      <c r="O17" s="176">
        <f>Screening_Assessment!V23</f>
        <v>55039.111904761907</v>
      </c>
      <c r="P17" s="176">
        <f>Screening_Assessment!I23</f>
        <v>870.52499999999986</v>
      </c>
      <c r="Q17" s="176">
        <f>Screening_Assessment!Y23</f>
        <v>2103.4690476190476</v>
      </c>
      <c r="R17" s="178">
        <f>Screening_Assessment!M23</f>
        <v>1.3999999999999999E-2</v>
      </c>
      <c r="S17" s="177">
        <f>Screening_Assessment!AC23</f>
        <v>2.8899999999999997</v>
      </c>
      <c r="T17" s="178">
        <f>Screening_Assessment!P23</f>
        <v>2.0999999999999998E-2</v>
      </c>
      <c r="U17" s="177">
        <f>Screening_Assessment!AF23</f>
        <v>4.55</v>
      </c>
    </row>
    <row r="18" spans="2:21" ht="15.75" customHeight="1" x14ac:dyDescent="0.25">
      <c r="B18" s="175" t="s">
        <v>18</v>
      </c>
      <c r="C18" s="176">
        <f>Screening_Assessment!D25</f>
        <v>14666</v>
      </c>
      <c r="D18" s="176">
        <f>Screening_Assessment!T25</f>
        <v>16348</v>
      </c>
      <c r="E18" s="176">
        <f>Screening_Assessment!G25</f>
        <v>11214</v>
      </c>
      <c r="F18" s="176">
        <f>Screening_Assessment!W25</f>
        <v>8988</v>
      </c>
      <c r="G18" s="176">
        <f>Screening_Assessment!J25</f>
        <v>162</v>
      </c>
      <c r="H18" s="177">
        <f>Screening_Assessment!Z25</f>
        <v>2.2999999999999998</v>
      </c>
      <c r="I18" s="177">
        <f>Screening_Assessment!N25</f>
        <v>2.62</v>
      </c>
      <c r="J18" s="177">
        <f>Screening_Assessment!AD25</f>
        <v>1.39</v>
      </c>
      <c r="L18" s="175" t="s">
        <v>18</v>
      </c>
      <c r="M18" s="175">
        <v>1.3</v>
      </c>
      <c r="N18" s="176">
        <f>Screening_Assessment!F25</f>
        <v>44844.115384615383</v>
      </c>
      <c r="O18" s="176">
        <f>Screening_Assessment!V25</f>
        <v>125364.60805860806</v>
      </c>
      <c r="P18" s="176">
        <f>Screening_Assessment!I25</f>
        <v>34288.961538461539</v>
      </c>
      <c r="Q18" s="176">
        <f>Screening_Assessment!Y25</f>
        <v>68924.461538461546</v>
      </c>
      <c r="R18" s="176">
        <f>Screening_Assessment!M25</f>
        <v>124.61538461538461</v>
      </c>
      <c r="S18" s="177">
        <f>Screening_Assessment!AC25</f>
        <v>1.7692307692307689</v>
      </c>
      <c r="T18" s="176">
        <f>Screening_Assessment!P25</f>
        <v>124.61538461538461</v>
      </c>
      <c r="U18" s="177">
        <f>Screening_Assessment!AF25</f>
        <v>1.7692307692307689</v>
      </c>
    </row>
    <row r="19" spans="2:21" ht="15.75" customHeight="1" x14ac:dyDescent="0.25">
      <c r="B19" s="175" t="s">
        <v>19</v>
      </c>
      <c r="C19" s="289" t="str">
        <f>Screening_Assessment!D26</f>
        <v>NA</v>
      </c>
      <c r="D19" s="289" t="str">
        <f>Screening_Assessment!T26</f>
        <v>NA</v>
      </c>
      <c r="E19" s="175">
        <f>Screening_Assessment!G26</f>
        <v>27.6</v>
      </c>
      <c r="F19" s="176">
        <f>Screening_Assessment!W26</f>
        <v>302</v>
      </c>
      <c r="G19" s="177">
        <f>Screening_Assessment!J26</f>
        <v>4.04</v>
      </c>
      <c r="H19" s="177">
        <f>Screening_Assessment!Z26</f>
        <v>6.45</v>
      </c>
      <c r="I19" s="177">
        <f>Screening_Assessment!N26</f>
        <v>7.98</v>
      </c>
      <c r="J19" s="177">
        <f>Screening_Assessment!AD26</f>
        <v>1.05</v>
      </c>
      <c r="L19" s="175" t="s">
        <v>19</v>
      </c>
      <c r="M19" s="175">
        <v>4</v>
      </c>
      <c r="N19" s="176" t="str">
        <f>Screening_Assessment!F26</f>
        <v/>
      </c>
      <c r="O19" s="176" t="str">
        <f>Screening_Assessment!V26</f>
        <v/>
      </c>
      <c r="P19" s="176">
        <f>Screening_Assessment!I26</f>
        <v>27.427500000000002</v>
      </c>
      <c r="Q19" s="176">
        <f>Screening_Assessment!Y26</f>
        <v>752.66309523809537</v>
      </c>
      <c r="R19" s="177">
        <f>Screening_Assessment!M26</f>
        <v>1.01</v>
      </c>
      <c r="S19" s="177">
        <f>Screening_Assessment!AC26</f>
        <v>1.6125</v>
      </c>
      <c r="T19" s="177">
        <f>Screening_Assessment!P26</f>
        <v>1.9950000000000001</v>
      </c>
      <c r="U19" s="177">
        <f>Screening_Assessment!AF26</f>
        <v>1.6125</v>
      </c>
    </row>
    <row r="20" spans="2:21" ht="15.75" customHeight="1" x14ac:dyDescent="0.25">
      <c r="B20" s="175" t="s">
        <v>20</v>
      </c>
      <c r="C20" s="176">
        <f>Screening_Assessment!D27</f>
        <v>16584</v>
      </c>
      <c r="D20" s="176">
        <f>Screening_Assessment!T27</f>
        <v>48736</v>
      </c>
      <c r="E20" s="176">
        <f>Screening_Assessment!G27</f>
        <v>2683</v>
      </c>
      <c r="F20" s="176">
        <f>Screening_Assessment!W27</f>
        <v>3393</v>
      </c>
      <c r="G20" s="175">
        <f>Screening_Assessment!J27</f>
        <v>3.3999999999999998E-3</v>
      </c>
      <c r="H20" s="175">
        <f>Screening_Assessment!Z27</f>
        <v>2E-3</v>
      </c>
      <c r="I20" s="175">
        <f>Screening_Assessment!N27</f>
        <v>2E-3</v>
      </c>
      <c r="J20" s="175">
        <f>Screening_Assessment!AD27</f>
        <v>8.2000000000000007E-3</v>
      </c>
      <c r="L20" s="175" t="s">
        <v>20</v>
      </c>
      <c r="M20" s="175">
        <v>0.3</v>
      </c>
      <c r="N20" s="176">
        <f>Screening_Assessment!F27</f>
        <v>219738</v>
      </c>
      <c r="O20" s="176">
        <f>Screening_Assessment!V27</f>
        <v>1619505.0158730161</v>
      </c>
      <c r="P20" s="176">
        <f>Screening_Assessment!I27</f>
        <v>35549.75</v>
      </c>
      <c r="Q20" s="176">
        <f>Screening_Assessment!Y27</f>
        <v>112749.92857142859</v>
      </c>
      <c r="R20" s="185">
        <f>Screening_Assessment!M27</f>
        <v>1.1333333333333332E-2</v>
      </c>
      <c r="S20" s="185">
        <f>Screening_Assessment!AC27</f>
        <v>6.6666666666666671E-3</v>
      </c>
      <c r="T20" s="185">
        <f>Screening_Assessment!P27</f>
        <v>1.1333333333333332E-2</v>
      </c>
      <c r="U20" s="178">
        <f>Screening_Assessment!AF27</f>
        <v>2.7333333333333338E-2</v>
      </c>
    </row>
    <row r="21" spans="2:21" ht="15.75" customHeight="1" x14ac:dyDescent="0.25">
      <c r="B21" s="175" t="s">
        <v>21</v>
      </c>
      <c r="C21" s="176">
        <f>Screening_Assessment!D28</f>
        <v>3371</v>
      </c>
      <c r="D21" s="176">
        <f>Screening_Assessment!T28</f>
        <v>3131</v>
      </c>
      <c r="E21" s="175">
        <f>Screening_Assessment!G28</f>
        <v>126.1</v>
      </c>
      <c r="F21" s="176">
        <f>Screening_Assessment!W28</f>
        <v>114</v>
      </c>
      <c r="G21" s="177">
        <f>Screening_Assessment!J28</f>
        <v>7.78</v>
      </c>
      <c r="H21" s="175">
        <f>Screening_Assessment!Z28</f>
        <v>7.2</v>
      </c>
      <c r="I21" s="177">
        <f>Screening_Assessment!N28</f>
        <v>1.0900000000000001</v>
      </c>
      <c r="J21" s="177">
        <f>Screening_Assessment!AD28</f>
        <v>3.37</v>
      </c>
      <c r="L21" s="175" t="s">
        <v>21</v>
      </c>
      <c r="M21" s="175">
        <v>1.4999999999999999E-2</v>
      </c>
      <c r="N21" s="176">
        <f>Screening_Assessment!F28</f>
        <v>893315</v>
      </c>
      <c r="O21" s="176">
        <f>Screening_Assessment!V28</f>
        <v>2080872.5396825399</v>
      </c>
      <c r="P21" s="176">
        <f>Screening_Assessment!I28</f>
        <v>33416.5</v>
      </c>
      <c r="Q21" s="176">
        <f>Screening_Assessment!Y28</f>
        <v>75764.761904761923</v>
      </c>
      <c r="R21" s="176">
        <f>Screening_Assessment!M28</f>
        <v>518.66666666666674</v>
      </c>
      <c r="S21" s="176">
        <f>Screening_Assessment!AC28</f>
        <v>480.00000000000006</v>
      </c>
      <c r="T21" s="176">
        <f>Screening_Assessment!P28</f>
        <v>518.66666666666674</v>
      </c>
      <c r="U21" s="176">
        <f>Screening_Assessment!AF28</f>
        <v>480.00000000000006</v>
      </c>
    </row>
    <row r="22" spans="2:21" ht="15.75" customHeight="1" x14ac:dyDescent="0.25">
      <c r="B22" s="175" t="s">
        <v>0</v>
      </c>
      <c r="C22" s="289" t="str">
        <f>Screening_Assessment!D34</f>
        <v>NA</v>
      </c>
      <c r="D22" s="289" t="str">
        <f>Screening_Assessment!T34</f>
        <v>NA</v>
      </c>
      <c r="E22" s="175">
        <f>Screening_Assessment!G34</f>
        <v>27.1</v>
      </c>
      <c r="F22" s="175">
        <f>Screening_Assessment!W34</f>
        <v>26.8</v>
      </c>
      <c r="G22" s="179">
        <f>Screening_Assessment!J34</f>
        <v>2.69</v>
      </c>
      <c r="H22" s="177">
        <f>Screening_Assessment!Z34</f>
        <v>2.68</v>
      </c>
      <c r="I22" s="176">
        <f>Screening_Assessment!N34</f>
        <v>137</v>
      </c>
      <c r="J22" s="177">
        <f>Screening_Assessment!AD34</f>
        <v>3.73</v>
      </c>
      <c r="L22" s="175" t="s">
        <v>0</v>
      </c>
      <c r="M22" s="175">
        <v>44</v>
      </c>
      <c r="N22" s="176" t="str">
        <f>Screening_Assessment!F34</f>
        <v/>
      </c>
      <c r="O22" s="176" t="str">
        <f>Screening_Assessment!V34</f>
        <v/>
      </c>
      <c r="P22" s="177">
        <f>Screening_Assessment!I34</f>
        <v>2.4482386363636368</v>
      </c>
      <c r="Q22" s="177">
        <f>Screening_Assessment!Y34</f>
        <v>6.0720562770562774</v>
      </c>
      <c r="R22" s="177">
        <f>Screening_Assessment!M34</f>
        <v>2.4301704545454546</v>
      </c>
      <c r="S22" s="177">
        <f>Screening_Assessment!AC34</f>
        <v>2.4211363636363639</v>
      </c>
      <c r="T22" s="177">
        <f>Screening_Assessment!P34</f>
        <v>3.1136363636363638</v>
      </c>
      <c r="U22" s="177">
        <f>Screening_Assessment!AF34</f>
        <v>2.4211363636363639</v>
      </c>
    </row>
    <row r="23" spans="2:21" ht="15.75" customHeight="1" x14ac:dyDescent="0.25">
      <c r="B23" s="175" t="s">
        <v>27</v>
      </c>
      <c r="C23" s="176">
        <f>Screening_Assessment!D36</f>
        <v>31.7</v>
      </c>
      <c r="D23" s="176">
        <f>Screening_Assessment!T36</f>
        <v>31.6</v>
      </c>
      <c r="E23" s="177">
        <f>Screening_Assessment!G36</f>
        <v>4.93</v>
      </c>
      <c r="F23" s="177">
        <f>Screening_Assessment!W36</f>
        <v>5.13</v>
      </c>
      <c r="G23" s="181">
        <f>Screening_Assessment!J36</f>
        <v>0.153</v>
      </c>
      <c r="H23" s="181">
        <f>Screening_Assessment!Z36</f>
        <v>0.249</v>
      </c>
      <c r="I23" s="177">
        <f>Screening_Assessment!N36</f>
        <v>1.82</v>
      </c>
      <c r="J23" s="177">
        <f>Screening_Assessment!AD36</f>
        <v>1.1299999999999999</v>
      </c>
      <c r="L23" s="175" t="s">
        <v>27</v>
      </c>
      <c r="M23" s="175">
        <v>0.05</v>
      </c>
      <c r="N23" s="176">
        <f>Screening_Assessment!F36</f>
        <v>2520.1499999999996</v>
      </c>
      <c r="O23" s="176">
        <f>Screening_Assessment!V36</f>
        <v>6300.4380952380961</v>
      </c>
      <c r="P23" s="176">
        <f>Screening_Assessment!I36</f>
        <v>391.935</v>
      </c>
      <c r="Q23" s="176">
        <f>Screening_Assessment!Y36</f>
        <v>1022.8242857142858</v>
      </c>
      <c r="R23" s="176">
        <f>Screening_Assessment!M36</f>
        <v>121.63500000000001</v>
      </c>
      <c r="S23" s="176">
        <f>Screening_Assessment!AC36</f>
        <v>197.95499999999998</v>
      </c>
      <c r="T23" s="176">
        <f>Screening_Assessment!P36</f>
        <v>121.63500000000001</v>
      </c>
      <c r="U23" s="176">
        <f>Screening_Assessment!AF36</f>
        <v>197.95499999999998</v>
      </c>
    </row>
    <row r="24" spans="2:21" ht="15.75" customHeight="1" x14ac:dyDescent="0.25">
      <c r="B24" s="175" t="s">
        <v>1</v>
      </c>
      <c r="C24" s="289" t="str">
        <f>Screening_Assessment!D40</f>
        <v>NA</v>
      </c>
      <c r="D24" s="289" t="str">
        <f>Screening_Assessment!T40</f>
        <v>NA</v>
      </c>
      <c r="E24" s="176">
        <f>Screening_Assessment!G40</f>
        <v>44785</v>
      </c>
      <c r="F24" s="176">
        <f>Screening_Assessment!W40</f>
        <v>21323</v>
      </c>
      <c r="G24" s="176">
        <f>Screening_Assessment!J40</f>
        <v>2207</v>
      </c>
      <c r="H24" s="176">
        <f>Screening_Assessment!Z40</f>
        <v>1863</v>
      </c>
      <c r="I24" s="176">
        <f>Screening_Assessment!N40</f>
        <v>12300</v>
      </c>
      <c r="J24" s="176">
        <f>Screening_Assessment!AD40</f>
        <v>1180</v>
      </c>
      <c r="L24" s="175" t="s">
        <v>1</v>
      </c>
      <c r="M24" s="175">
        <v>250</v>
      </c>
      <c r="N24" s="176" t="str">
        <f>Screening_Assessment!F40</f>
        <v/>
      </c>
      <c r="O24" s="176" t="str">
        <f>Screening_Assessment!V40</f>
        <v/>
      </c>
      <c r="P24" s="176">
        <f>Screening_Assessment!I40</f>
        <v>712.08150000000001</v>
      </c>
      <c r="Q24" s="176">
        <f>Screening_Assessment!Y40</f>
        <v>850.28000952380967</v>
      </c>
      <c r="R24" s="176">
        <f>Screening_Assessment!M40</f>
        <v>350.91300000000001</v>
      </c>
      <c r="S24" s="177">
        <f>Screening_Assessment!AC40</f>
        <v>7.452</v>
      </c>
      <c r="T24" s="176">
        <f>Screening_Assessment!P40</f>
        <v>350.91300000000001</v>
      </c>
      <c r="U24" s="177">
        <f>Screening_Assessment!AF40</f>
        <v>7.452</v>
      </c>
    </row>
    <row r="25" spans="2:21" ht="15.75" customHeight="1" x14ac:dyDescent="0.25">
      <c r="B25" s="175" t="s">
        <v>30</v>
      </c>
      <c r="C25" s="176">
        <f>Screening_Assessment!D41</f>
        <v>34.9</v>
      </c>
      <c r="D25" s="176">
        <f>Screening_Assessment!T41</f>
        <v>24.3</v>
      </c>
      <c r="E25" s="175">
        <f>Screening_Assessment!G41</f>
        <v>16</v>
      </c>
      <c r="F25" s="175">
        <f>Screening_Assessment!W41</f>
        <v>17.55</v>
      </c>
      <c r="G25" s="181">
        <f>Screening_Assessment!J41</f>
        <v>0.68200000000000005</v>
      </c>
      <c r="H25" s="175">
        <f>Screening_Assessment!Z41</f>
        <v>0.23</v>
      </c>
      <c r="I25" s="177">
        <f>Screening_Assessment!N41</f>
        <v>1.74</v>
      </c>
      <c r="J25" s="175">
        <f>Screening_Assessment!AD41</f>
        <v>5.0999999999999997E-2</v>
      </c>
      <c r="L25" s="175" t="s">
        <v>30</v>
      </c>
      <c r="M25" s="175">
        <v>2E-3</v>
      </c>
      <c r="N25" s="176">
        <f>Screening_Assessment!F41</f>
        <v>69363.75</v>
      </c>
      <c r="O25" s="176">
        <f>Screening_Assessment!V41</f>
        <v>121123.92857142859</v>
      </c>
      <c r="P25" s="176">
        <f>Screening_Assessment!I41</f>
        <v>31800</v>
      </c>
      <c r="Q25" s="176">
        <f>Screening_Assessment!Y41</f>
        <v>87478.39285714287</v>
      </c>
      <c r="R25" s="176">
        <f>Screening_Assessment!M41</f>
        <v>341</v>
      </c>
      <c r="S25" s="176">
        <f>Screening_Assessment!AC41</f>
        <v>115</v>
      </c>
      <c r="T25" s="176">
        <f>Screening_Assessment!P41</f>
        <v>870</v>
      </c>
      <c r="U25" s="176">
        <f>Screening_Assessment!AF41</f>
        <v>115</v>
      </c>
    </row>
    <row r="26" spans="2:21" ht="15.75" customHeight="1" x14ac:dyDescent="0.25">
      <c r="B26" s="283" t="s">
        <v>31</v>
      </c>
      <c r="C26" s="285">
        <f>Screening_Assessment!D46</f>
        <v>11595</v>
      </c>
      <c r="D26" s="285">
        <f>Screening_Assessment!T46</f>
        <v>11184</v>
      </c>
      <c r="E26" s="285">
        <f>Screening_Assessment!G46</f>
        <v>1681</v>
      </c>
      <c r="F26" s="285">
        <f>Screening_Assessment!W46</f>
        <v>1625</v>
      </c>
      <c r="G26" s="285">
        <f>Screening_Assessment!J46</f>
        <v>144</v>
      </c>
      <c r="H26" s="286">
        <f>Screening_Assessment!Z46</f>
        <v>3.85</v>
      </c>
      <c r="I26" s="287">
        <f>Screening_Assessment!N46</f>
        <v>62.5</v>
      </c>
      <c r="J26" s="288">
        <f>Screening_Assessment!AD46</f>
        <v>0.14199999999999999</v>
      </c>
      <c r="L26" s="283" t="s">
        <v>31</v>
      </c>
      <c r="M26" s="283">
        <v>5</v>
      </c>
      <c r="N26" s="285">
        <f>Screening_Assessment!F46</f>
        <v>9218.0249999999996</v>
      </c>
      <c r="O26" s="285">
        <f>Screening_Assessment!V46</f>
        <v>22298.765714285717</v>
      </c>
      <c r="P26" s="285">
        <f>Screening_Assessment!I46</f>
        <v>1336.395</v>
      </c>
      <c r="Q26" s="285">
        <f>Screening_Assessment!Y46</f>
        <v>3239.9404761904766</v>
      </c>
      <c r="R26" s="285">
        <f>Screening_Assessment!M46</f>
        <v>28.8</v>
      </c>
      <c r="S26" s="286">
        <f>Screening_Assessment!AC46</f>
        <v>0.77</v>
      </c>
      <c r="T26" s="285">
        <f>Screening_Assessment!P46</f>
        <v>28.8</v>
      </c>
      <c r="U26" s="286">
        <f>Screening_Assessment!AF46</f>
        <v>0.77</v>
      </c>
    </row>
    <row r="28" spans="2:21" x14ac:dyDescent="0.25">
      <c r="C28" s="290" t="s">
        <v>185</v>
      </c>
      <c r="D28" t="s">
        <v>186</v>
      </c>
      <c r="M28" s="291" t="s">
        <v>38</v>
      </c>
      <c r="N28" t="s">
        <v>187</v>
      </c>
    </row>
    <row r="29" spans="2:21" x14ac:dyDescent="0.25">
      <c r="M29" s="520" t="s">
        <v>38</v>
      </c>
      <c r="N29" t="s">
        <v>184</v>
      </c>
    </row>
    <row r="30" spans="2:21" x14ac:dyDescent="0.25">
      <c r="M30" s="519" t="s">
        <v>38</v>
      </c>
      <c r="N30" t="s">
        <v>285</v>
      </c>
    </row>
    <row r="31" spans="2:21" ht="15.75" customHeight="1" x14ac:dyDescent="0.25"/>
    <row r="32" spans="2:2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</sheetData>
  <mergeCells count="8">
    <mergeCell ref="P6:Q6"/>
    <mergeCell ref="R6:S6"/>
    <mergeCell ref="T6:U6"/>
    <mergeCell ref="C6:D6"/>
    <mergeCell ref="E6:F6"/>
    <mergeCell ref="G6:H6"/>
    <mergeCell ref="I6:J6"/>
    <mergeCell ref="N6:O6"/>
  </mergeCells>
  <conditionalFormatting sqref="N10:U26">
    <cfRule type="cellIs" dxfId="285" priority="1" operator="lessThan">
      <formula>0.01</formula>
    </cfRule>
    <cfRule type="cellIs" dxfId="284" priority="2" operator="greaterThanOrEqual">
      <formula>1000</formula>
    </cfRule>
    <cfRule type="cellIs" dxfId="283" priority="3" operator="less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238"/>
  <sheetViews>
    <sheetView zoomScale="80" zoomScaleNormal="80" workbookViewId="0">
      <pane xSplit="6" topLeftCell="G1" activePane="topRight" state="frozen"/>
      <selection pane="topRight" activeCell="BD8" sqref="BD8"/>
    </sheetView>
  </sheetViews>
  <sheetFormatPr defaultRowHeight="15" x14ac:dyDescent="0.25"/>
  <cols>
    <col min="2" max="5" width="10.7109375" customWidth="1"/>
    <col min="6" max="7" width="11.7109375" customWidth="1"/>
    <col min="8" max="8" width="12.7109375" customWidth="1"/>
    <col min="9" max="71" width="11.7109375" customWidth="1"/>
  </cols>
  <sheetData>
    <row r="1" spans="1:71" ht="15.75" customHeight="1" x14ac:dyDescent="0.25">
      <c r="A1" s="64" t="s">
        <v>218</v>
      </c>
      <c r="V1" s="541" t="s">
        <v>234</v>
      </c>
      <c r="W1" s="542"/>
      <c r="AU1" s="541" t="s">
        <v>234</v>
      </c>
      <c r="AV1" s="542"/>
      <c r="AZ1" s="541" t="s">
        <v>234</v>
      </c>
      <c r="BA1" s="542"/>
      <c r="BE1" s="541" t="s">
        <v>234</v>
      </c>
      <c r="BF1" s="542"/>
    </row>
    <row r="2" spans="1:71" ht="15.75" customHeight="1" thickBot="1" x14ac:dyDescent="0.3">
      <c r="A2" s="6" t="s">
        <v>151</v>
      </c>
      <c r="V2" s="384" t="s">
        <v>294</v>
      </c>
      <c r="W2" s="385" t="s">
        <v>2</v>
      </c>
      <c r="AU2" s="384" t="s">
        <v>294</v>
      </c>
      <c r="AV2" s="385" t="s">
        <v>2</v>
      </c>
      <c r="AZ2" s="384" t="s">
        <v>294</v>
      </c>
      <c r="BA2" s="385" t="s">
        <v>2</v>
      </c>
      <c r="BE2" s="384" t="s">
        <v>294</v>
      </c>
      <c r="BF2" s="385" t="s">
        <v>2</v>
      </c>
    </row>
    <row r="3" spans="1:71" ht="15.75" customHeight="1" thickTop="1" x14ac:dyDescent="0.25">
      <c r="A3" s="5" t="s">
        <v>144</v>
      </c>
      <c r="B3" t="s">
        <v>398</v>
      </c>
      <c r="V3" s="380">
        <v>0.20106288739988754</v>
      </c>
      <c r="W3" s="381">
        <v>743.53385039766806</v>
      </c>
      <c r="AU3" s="380">
        <v>0.20000000000000004</v>
      </c>
      <c r="AV3" s="386">
        <v>136.53961780758002</v>
      </c>
      <c r="AZ3" s="380">
        <v>0.20000000000000004</v>
      </c>
      <c r="BA3" s="386">
        <v>1.8199917709704083</v>
      </c>
      <c r="BE3" s="380">
        <v>0.20000000000000004</v>
      </c>
      <c r="BF3" s="388">
        <v>12147.446357004566</v>
      </c>
    </row>
    <row r="4" spans="1:71" ht="15.75" customHeight="1" x14ac:dyDescent="0.25">
      <c r="A4" s="5" t="s">
        <v>174</v>
      </c>
      <c r="B4" t="s">
        <v>147</v>
      </c>
      <c r="V4" s="380">
        <v>0.49341529242834897</v>
      </c>
      <c r="W4" s="381">
        <v>36.968341349127144</v>
      </c>
      <c r="AU4" s="380">
        <v>0.49999999999999989</v>
      </c>
      <c r="AV4" s="386">
        <v>1.4414913798468167</v>
      </c>
      <c r="AZ4" s="380">
        <v>0.49999999999999989</v>
      </c>
      <c r="BA4" s="386">
        <v>0.35132655987788203</v>
      </c>
      <c r="BE4" s="380">
        <v>0.49999999999999989</v>
      </c>
      <c r="BF4" s="388">
        <v>3970.0648289253159</v>
      </c>
    </row>
    <row r="5" spans="1:71" ht="15.75" customHeight="1" x14ac:dyDescent="0.25">
      <c r="V5" s="380">
        <v>0.98990599658842715</v>
      </c>
      <c r="W5" s="381">
        <v>10.877768906861643</v>
      </c>
      <c r="AU5" s="380">
        <v>1</v>
      </c>
      <c r="AV5" s="386">
        <v>0.4169464234844949</v>
      </c>
      <c r="AZ5" s="380">
        <v>1</v>
      </c>
      <c r="BA5" s="386">
        <v>7.7815796834091192E-2</v>
      </c>
      <c r="BE5" s="380">
        <v>1</v>
      </c>
      <c r="BF5" s="388">
        <v>2457.7990949398395</v>
      </c>
    </row>
    <row r="6" spans="1:71" ht="15.75" customHeight="1" x14ac:dyDescent="0.25">
      <c r="B6" s="6" t="s">
        <v>238</v>
      </c>
      <c r="V6" s="380">
        <v>1.4943362840967449</v>
      </c>
      <c r="W6" s="381">
        <v>6.3555508377860006</v>
      </c>
      <c r="AU6" s="380">
        <v>1.5</v>
      </c>
      <c r="AV6" s="386">
        <v>0.46111576666242787</v>
      </c>
      <c r="AZ6" s="380">
        <v>1.5</v>
      </c>
      <c r="BA6" s="386">
        <v>5.1966211010820294E-2</v>
      </c>
      <c r="BE6" s="380">
        <v>1.5</v>
      </c>
      <c r="BF6" s="388">
        <v>2085.4309286296598</v>
      </c>
    </row>
    <row r="7" spans="1:71" ht="15.75" customHeight="1" x14ac:dyDescent="0.35">
      <c r="C7" s="5" t="s">
        <v>204</v>
      </c>
      <c r="D7" s="17">
        <f>Scenario_Info!D19</f>
        <v>3180000</v>
      </c>
      <c r="E7" t="s">
        <v>387</v>
      </c>
      <c r="V7" s="380">
        <v>1.9960677409017085</v>
      </c>
      <c r="W7" s="381">
        <v>4.684408929338721</v>
      </c>
      <c r="AU7" s="380">
        <v>2</v>
      </c>
      <c r="AV7" s="386">
        <v>0.51683663499933974</v>
      </c>
      <c r="AZ7" s="380">
        <v>2</v>
      </c>
      <c r="BA7" s="386">
        <v>3.7655156376169376E-2</v>
      </c>
      <c r="BE7" s="380">
        <v>2</v>
      </c>
      <c r="BF7" s="388">
        <v>1987.5630125325117</v>
      </c>
    </row>
    <row r="8" spans="1:71" ht="15.75" customHeight="1" x14ac:dyDescent="0.25">
      <c r="C8" s="5" t="s">
        <v>239</v>
      </c>
      <c r="D8">
        <f>'Mass Transport'!E8</f>
        <v>800</v>
      </c>
      <c r="E8" t="s">
        <v>240</v>
      </c>
      <c r="V8" s="380">
        <v>4.4839189231088081</v>
      </c>
      <c r="W8" s="381">
        <v>2.6776611300395068</v>
      </c>
      <c r="AU8" s="380">
        <v>4.5000000000000009</v>
      </c>
      <c r="AV8" s="386">
        <v>0.24254400277669405</v>
      </c>
      <c r="AZ8" s="380">
        <v>4.5000000000000009</v>
      </c>
      <c r="BA8" s="386">
        <v>1.9610962483078625E-2</v>
      </c>
      <c r="BE8" s="380">
        <v>4.5000000000000009</v>
      </c>
      <c r="BF8" s="388">
        <v>1889.1933173346054</v>
      </c>
    </row>
    <row r="9" spans="1:71" ht="15.75" customHeight="1" x14ac:dyDescent="0.25">
      <c r="B9" s="84" t="s">
        <v>399</v>
      </c>
      <c r="V9" s="380">
        <v>4.986999795265449</v>
      </c>
      <c r="W9" s="381">
        <v>2.3038098983913646</v>
      </c>
      <c r="AU9" s="380">
        <v>5</v>
      </c>
      <c r="AV9" s="386">
        <v>0.22213592466037813</v>
      </c>
      <c r="AZ9" s="380">
        <v>5</v>
      </c>
      <c r="BA9" s="386">
        <v>1.8234582305399344E-2</v>
      </c>
      <c r="BE9" s="380">
        <v>5</v>
      </c>
      <c r="BF9" s="388">
        <v>1865.4835729627282</v>
      </c>
    </row>
    <row r="10" spans="1:71" ht="15.75" customHeight="1" x14ac:dyDescent="0.25">
      <c r="C10" s="5"/>
      <c r="V10" s="380">
        <v>9.5145079724086639</v>
      </c>
      <c r="W10" s="381">
        <v>1.7838626147745917</v>
      </c>
      <c r="AU10" s="380">
        <v>9.5</v>
      </c>
      <c r="AV10" s="386">
        <v>6.6568837153246962E-2</v>
      </c>
      <c r="AZ10" s="380">
        <v>9.5</v>
      </c>
      <c r="BA10" s="386">
        <v>7.7301504546601722E-3</v>
      </c>
      <c r="BE10" s="380">
        <v>9.5</v>
      </c>
      <c r="BF10" s="388">
        <v>1833.8834858326841</v>
      </c>
    </row>
    <row r="11" spans="1:71" ht="15.75" customHeight="1" x14ac:dyDescent="0.25">
      <c r="V11" s="382">
        <v>9.9988225566512838</v>
      </c>
      <c r="W11" s="383">
        <v>1.5875910446137222</v>
      </c>
      <c r="AU11" s="382">
        <v>10</v>
      </c>
      <c r="AV11" s="387">
        <v>2.7240401260571298E-2</v>
      </c>
      <c r="AZ11" s="382">
        <v>10</v>
      </c>
      <c r="BA11" s="387">
        <v>7.5000000000000015E-3</v>
      </c>
      <c r="BE11" s="382">
        <v>10</v>
      </c>
      <c r="BF11" s="389">
        <v>1820.7788800760932</v>
      </c>
    </row>
    <row r="12" spans="1:71" ht="15.75" customHeight="1" x14ac:dyDescent="0.25">
      <c r="V12" s="3"/>
      <c r="W12" s="4"/>
      <c r="AU12" s="4"/>
      <c r="AV12" s="3"/>
      <c r="AZ12" s="4"/>
      <c r="BA12" s="2"/>
      <c r="BE12" s="4"/>
      <c r="BF12" s="17"/>
    </row>
    <row r="13" spans="1:71" s="6" customFormat="1" ht="15.75" customHeight="1" x14ac:dyDescent="0.25">
      <c r="B13" s="9" t="s">
        <v>213</v>
      </c>
      <c r="G13" s="352"/>
      <c r="H13" s="353"/>
      <c r="I13" s="354" t="str">
        <f>Screening_Assessment!B14</f>
        <v>Antimony</v>
      </c>
      <c r="J13" s="353"/>
      <c r="K13" s="355"/>
      <c r="L13" s="352"/>
      <c r="M13" s="353"/>
      <c r="N13" s="354" t="str">
        <f>Screening_Assessment!B15</f>
        <v>Arsenic</v>
      </c>
      <c r="O13" s="353"/>
      <c r="P13" s="353"/>
      <c r="Q13" s="352"/>
      <c r="R13" s="353"/>
      <c r="S13" s="354" t="str">
        <f>Screening_Assessment!B19</f>
        <v>Cadmium</v>
      </c>
      <c r="T13" s="353"/>
      <c r="U13" s="355"/>
      <c r="V13" s="356"/>
      <c r="W13" s="357"/>
      <c r="X13" s="358" t="str">
        <f>Screening_Assessment!B22</f>
        <v>Chloride</v>
      </c>
      <c r="Y13" s="357"/>
      <c r="Z13" s="357"/>
      <c r="AA13" s="352"/>
      <c r="AB13" s="353"/>
      <c r="AC13" s="353" t="str">
        <f>Screening_Assessment!B23</f>
        <v>Chromium</v>
      </c>
      <c r="AD13" s="353"/>
      <c r="AE13" s="355"/>
      <c r="AF13" s="352"/>
      <c r="AG13" s="353"/>
      <c r="AH13" s="354" t="str">
        <f>Screening_Assessment!B25</f>
        <v>Copper</v>
      </c>
      <c r="AI13" s="353"/>
      <c r="AJ13" s="353"/>
      <c r="AK13" s="352"/>
      <c r="AL13" s="353"/>
      <c r="AM13" s="354" t="str">
        <f>Screening_Assessment!B26</f>
        <v>Fluoride</v>
      </c>
      <c r="AN13" s="353"/>
      <c r="AO13" s="353"/>
      <c r="AP13" s="352"/>
      <c r="AQ13" s="353"/>
      <c r="AR13" s="354" t="str">
        <f>Screening_Assessment!B28</f>
        <v>Lead</v>
      </c>
      <c r="AS13" s="353"/>
      <c r="AT13" s="353"/>
      <c r="AU13" s="356"/>
      <c r="AV13" s="357"/>
      <c r="AW13" s="358" t="str">
        <f>Screening_Assessment!B34</f>
        <v>Nitrate</v>
      </c>
      <c r="AX13" s="357"/>
      <c r="AY13" s="357"/>
      <c r="AZ13" s="356"/>
      <c r="BA13" s="357"/>
      <c r="BB13" s="358" t="str">
        <f>Screening_Assessment!B36</f>
        <v>Selenium</v>
      </c>
      <c r="BC13" s="357"/>
      <c r="BD13" s="357"/>
      <c r="BE13" s="356"/>
      <c r="BF13" s="357"/>
      <c r="BG13" s="358" t="str">
        <f>Screening_Assessment!B40</f>
        <v>Sulfate</v>
      </c>
      <c r="BH13" s="357"/>
      <c r="BI13" s="357"/>
      <c r="BJ13" s="352"/>
      <c r="BK13" s="353"/>
      <c r="BL13" s="354" t="str">
        <f>Screening_Assessment!B41</f>
        <v>Thallium</v>
      </c>
      <c r="BM13" s="353"/>
      <c r="BN13" s="355"/>
      <c r="BO13" s="352"/>
      <c r="BP13" s="353"/>
      <c r="BQ13" s="354" t="str">
        <f>Screening_Assessment!B46</f>
        <v>Zinc</v>
      </c>
      <c r="BR13" s="353"/>
      <c r="BS13" s="355"/>
    </row>
    <row r="14" spans="1:71" ht="15.75" customHeight="1" x14ac:dyDescent="0.25">
      <c r="G14" s="359"/>
      <c r="H14" s="360"/>
      <c r="I14" s="361" t="str">
        <f>Screening_Assessment!K14</f>
        <v>Solubility</v>
      </c>
      <c r="J14" s="360"/>
      <c r="K14" s="362"/>
      <c r="L14" s="359"/>
      <c r="M14" s="360"/>
      <c r="N14" s="361" t="str">
        <f>Screening_Assessment!K15</f>
        <v>Solubility</v>
      </c>
      <c r="O14" s="360"/>
      <c r="P14" s="360"/>
      <c r="Q14" s="359"/>
      <c r="R14" s="360"/>
      <c r="S14" s="361" t="str">
        <f>Screening_Assessment!K19</f>
        <v>Solubility</v>
      </c>
      <c r="T14" s="360"/>
      <c r="U14" s="362"/>
      <c r="V14" s="363"/>
      <c r="W14" s="364"/>
      <c r="X14" s="365" t="str">
        <f>Screening_Assessment!K22</f>
        <v>Available Content</v>
      </c>
      <c r="Y14" s="364"/>
      <c r="Z14" s="364"/>
      <c r="AA14" s="359"/>
      <c r="AB14" s="360"/>
      <c r="AC14" s="366" t="str">
        <f>Screening_Assessment!K23</f>
        <v>Solubility</v>
      </c>
      <c r="AD14" s="360"/>
      <c r="AE14" s="362"/>
      <c r="AF14" s="359"/>
      <c r="AG14" s="360"/>
      <c r="AH14" s="361" t="str">
        <f>Screening_Assessment!K25</f>
        <v>Solubility</v>
      </c>
      <c r="AI14" s="360"/>
      <c r="AJ14" s="360"/>
      <c r="AK14" s="359"/>
      <c r="AL14" s="360"/>
      <c r="AM14" s="361" t="str">
        <f>Screening_Assessment!K26</f>
        <v>Solubility</v>
      </c>
      <c r="AN14" s="360"/>
      <c r="AO14" s="360"/>
      <c r="AP14" s="359"/>
      <c r="AQ14" s="360"/>
      <c r="AR14" s="361" t="str">
        <f>Screening_Assessment!K28</f>
        <v>Solubility</v>
      </c>
      <c r="AS14" s="360"/>
      <c r="AT14" s="360"/>
      <c r="AU14" s="363"/>
      <c r="AV14" s="364"/>
      <c r="AW14" s="365" t="str">
        <f>Screening_Assessment!K34</f>
        <v>Available Content</v>
      </c>
      <c r="AX14" s="364"/>
      <c r="AY14" s="364"/>
      <c r="AZ14" s="363"/>
      <c r="BA14" s="364"/>
      <c r="BB14" s="365" t="str">
        <f>Screening_Assessment!K36</f>
        <v>Available Content</v>
      </c>
      <c r="BC14" s="364"/>
      <c r="BD14" s="364"/>
      <c r="BE14" s="363"/>
      <c r="BF14" s="364"/>
      <c r="BG14" s="365" t="str">
        <f>Screening_Assessment!K40</f>
        <v>Available Content</v>
      </c>
      <c r="BH14" s="364"/>
      <c r="BI14" s="364"/>
      <c r="BJ14" s="359"/>
      <c r="BK14" s="360"/>
      <c r="BL14" s="361" t="str">
        <f>Screening_Assessment!K41</f>
        <v>Solubility</v>
      </c>
      <c r="BM14" s="360"/>
      <c r="BN14" s="362"/>
      <c r="BO14" s="359"/>
      <c r="BP14" s="360"/>
      <c r="BQ14" s="361" t="str">
        <f>Screening_Assessment!K46</f>
        <v>Solubility</v>
      </c>
      <c r="BR14" s="360"/>
      <c r="BS14" s="362"/>
    </row>
    <row r="15" spans="1:71" s="22" customFormat="1" ht="15.75" customHeight="1" x14ac:dyDescent="0.25">
      <c r="F15" s="322" t="s">
        <v>5</v>
      </c>
      <c r="G15" s="367">
        <f>Screening_Assessment!C14</f>
        <v>6.0000000000000001E-3</v>
      </c>
      <c r="H15" s="368" t="s">
        <v>193</v>
      </c>
      <c r="I15" s="369"/>
      <c r="J15" s="369"/>
      <c r="K15" s="370"/>
      <c r="L15" s="367">
        <f>Screening_Assessment!C15</f>
        <v>0.01</v>
      </c>
      <c r="M15" s="368" t="s">
        <v>193</v>
      </c>
      <c r="N15" s="369"/>
      <c r="O15" s="369"/>
      <c r="P15" s="370"/>
      <c r="Q15" s="367">
        <f>Screening_Assessment!C19</f>
        <v>5.0000000000000001E-3</v>
      </c>
      <c r="R15" s="368" t="s">
        <v>193</v>
      </c>
      <c r="S15" s="369"/>
      <c r="T15" s="369"/>
      <c r="U15" s="370"/>
      <c r="V15" s="367">
        <f>Screening_Assessment!C22</f>
        <v>250</v>
      </c>
      <c r="W15" s="368" t="s">
        <v>193</v>
      </c>
      <c r="X15" s="369"/>
      <c r="Y15" s="369"/>
      <c r="Z15" s="370"/>
      <c r="AA15" s="367">
        <f>Screening_Assessment!C23</f>
        <v>0.1</v>
      </c>
      <c r="AB15" s="368" t="s">
        <v>193</v>
      </c>
      <c r="AC15" s="369"/>
      <c r="AD15" s="369"/>
      <c r="AE15" s="370"/>
      <c r="AF15" s="367">
        <f>Screening_Assessment!C25</f>
        <v>1.3</v>
      </c>
      <c r="AG15" s="368" t="s">
        <v>193</v>
      </c>
      <c r="AH15" s="369"/>
      <c r="AI15" s="369"/>
      <c r="AJ15" s="370"/>
      <c r="AK15" s="367">
        <f>Screening_Assessment!C26</f>
        <v>4</v>
      </c>
      <c r="AL15" s="368" t="s">
        <v>193</v>
      </c>
      <c r="AM15" s="369"/>
      <c r="AN15" s="369"/>
      <c r="AO15" s="370"/>
      <c r="AP15" s="367">
        <f>Screening_Assessment!C28</f>
        <v>1.4999999999999999E-2</v>
      </c>
      <c r="AQ15" s="368" t="s">
        <v>193</v>
      </c>
      <c r="AR15" s="369"/>
      <c r="AS15" s="369"/>
      <c r="AT15" s="370"/>
      <c r="AU15" s="367">
        <f>Screening_Assessment!C34</f>
        <v>44</v>
      </c>
      <c r="AV15" s="368" t="s">
        <v>193</v>
      </c>
      <c r="AW15" s="369"/>
      <c r="AX15" s="369"/>
      <c r="AY15" s="370"/>
      <c r="AZ15" s="367">
        <f>Screening_Assessment!C36</f>
        <v>0.05</v>
      </c>
      <c r="BA15" s="368" t="s">
        <v>193</v>
      </c>
      <c r="BB15" s="369"/>
      <c r="BC15" s="369"/>
      <c r="BD15" s="370"/>
      <c r="BE15" s="367">
        <f>Screening_Assessment!C40</f>
        <v>250</v>
      </c>
      <c r="BF15" s="368" t="s">
        <v>193</v>
      </c>
      <c r="BG15" s="369"/>
      <c r="BH15" s="369"/>
      <c r="BI15" s="370"/>
      <c r="BJ15" s="367">
        <f>Screening_Assessment!C41</f>
        <v>2E-3</v>
      </c>
      <c r="BK15" s="368" t="s">
        <v>193</v>
      </c>
      <c r="BL15" s="369"/>
      <c r="BM15" s="369"/>
      <c r="BN15" s="370"/>
      <c r="BO15" s="367">
        <f>Screening_Assessment!C46</f>
        <v>5</v>
      </c>
      <c r="BP15" s="368" t="s">
        <v>193</v>
      </c>
      <c r="BQ15" s="369"/>
      <c r="BR15" s="369"/>
      <c r="BS15" s="370"/>
    </row>
    <row r="16" spans="1:71" s="22" customFormat="1" ht="15.75" customHeight="1" x14ac:dyDescent="0.25">
      <c r="F16" s="322" t="s">
        <v>223</v>
      </c>
      <c r="G16" s="80">
        <v>9.0999999999999998E-2</v>
      </c>
      <c r="H16" s="31" t="s">
        <v>193</v>
      </c>
      <c r="I16" s="39"/>
      <c r="J16" s="39"/>
      <c r="K16" s="28"/>
      <c r="L16" s="27">
        <v>4.5999999999999999E-2</v>
      </c>
      <c r="M16" s="31" t="s">
        <v>193</v>
      </c>
      <c r="N16" s="39"/>
      <c r="O16" s="39"/>
      <c r="P16" s="28"/>
      <c r="Q16" s="27">
        <v>5.8</v>
      </c>
      <c r="R16" s="31" t="s">
        <v>193</v>
      </c>
      <c r="S16" s="39"/>
      <c r="T16" s="39"/>
      <c r="U16" s="28"/>
      <c r="V16" s="27">
        <v>13.8</v>
      </c>
      <c r="W16" s="31" t="s">
        <v>193</v>
      </c>
      <c r="X16" s="39"/>
      <c r="Y16" s="39"/>
      <c r="Z16" s="28"/>
      <c r="AA16" s="27">
        <v>2.5000000000000001E-4</v>
      </c>
      <c r="AB16" s="31" t="s">
        <v>193</v>
      </c>
      <c r="AC16" s="39"/>
      <c r="AD16" s="39"/>
      <c r="AE16" s="28"/>
      <c r="AF16" s="32">
        <v>1.42</v>
      </c>
      <c r="AG16" s="31" t="s">
        <v>193</v>
      </c>
      <c r="AH16" s="39"/>
      <c r="AI16" s="39"/>
      <c r="AJ16" s="28"/>
      <c r="AK16" s="32">
        <v>2.59</v>
      </c>
      <c r="AL16" s="31" t="s">
        <v>193</v>
      </c>
      <c r="AM16" s="39"/>
      <c r="AN16" s="39"/>
      <c r="AO16" s="28"/>
      <c r="AP16" s="32">
        <v>1.27</v>
      </c>
      <c r="AQ16" s="31" t="s">
        <v>193</v>
      </c>
      <c r="AR16" s="39"/>
      <c r="AS16" s="39"/>
      <c r="AT16" s="28"/>
      <c r="AU16" s="27">
        <v>3.75</v>
      </c>
      <c r="AV16" s="31" t="s">
        <v>193</v>
      </c>
      <c r="AW16" s="39"/>
      <c r="AX16" s="39"/>
      <c r="AY16" s="28"/>
      <c r="AZ16" s="27">
        <v>7.6999999999999999E-2</v>
      </c>
      <c r="BA16" s="31" t="s">
        <v>193</v>
      </c>
      <c r="BB16" s="39"/>
      <c r="BC16" s="39"/>
      <c r="BD16" s="28"/>
      <c r="BE16" s="33">
        <v>1904</v>
      </c>
      <c r="BF16" s="31" t="s">
        <v>193</v>
      </c>
      <c r="BG16" s="39"/>
      <c r="BH16" s="39"/>
      <c r="BI16" s="28"/>
      <c r="BJ16" s="27">
        <v>0.40600000000000003</v>
      </c>
      <c r="BK16" s="31" t="s">
        <v>193</v>
      </c>
      <c r="BL16" s="39"/>
      <c r="BM16" s="39"/>
      <c r="BN16" s="28"/>
      <c r="BO16" s="78">
        <v>29.3</v>
      </c>
      <c r="BP16" s="31" t="s">
        <v>193</v>
      </c>
      <c r="BQ16" s="39"/>
      <c r="BR16" s="39"/>
      <c r="BS16" s="28"/>
    </row>
    <row r="17" spans="2:71" s="22" customFormat="1" ht="15.75" customHeight="1" x14ac:dyDescent="0.25">
      <c r="F17" s="322" t="s">
        <v>224</v>
      </c>
      <c r="G17" s="68">
        <f>Screening_Assessment!G14</f>
        <v>12.9</v>
      </c>
      <c r="H17" s="31" t="s">
        <v>194</v>
      </c>
      <c r="I17" s="304" t="s">
        <v>226</v>
      </c>
      <c r="J17" s="51">
        <f>G17*$D$7/$D$8</f>
        <v>51277.5</v>
      </c>
      <c r="K17" s="351" t="s">
        <v>225</v>
      </c>
      <c r="L17" s="68">
        <f>Screening_Assessment!G15</f>
        <v>800</v>
      </c>
      <c r="M17" s="31" t="s">
        <v>194</v>
      </c>
      <c r="N17" s="304" t="s">
        <v>226</v>
      </c>
      <c r="O17" s="51">
        <f>L17*$D$7/$D$8</f>
        <v>3180000</v>
      </c>
      <c r="P17" s="351" t="s">
        <v>225</v>
      </c>
      <c r="Q17" s="68">
        <f>Screening_Assessment!G19</f>
        <v>501</v>
      </c>
      <c r="R17" s="31" t="s">
        <v>194</v>
      </c>
      <c r="S17" s="304" t="s">
        <v>226</v>
      </c>
      <c r="T17" s="51">
        <f>Q17*$D$7/$D$8</f>
        <v>1991475</v>
      </c>
      <c r="U17" s="351" t="s">
        <v>225</v>
      </c>
      <c r="V17" s="70">
        <f>Screening_Assessment!G22</f>
        <v>475</v>
      </c>
      <c r="W17" s="31" t="s">
        <v>194</v>
      </c>
      <c r="X17" s="304" t="s">
        <v>226</v>
      </c>
      <c r="Y17" s="51">
        <f>V17*$D$7/$D$8</f>
        <v>1888125</v>
      </c>
      <c r="Z17" s="351" t="s">
        <v>225</v>
      </c>
      <c r="AA17" s="393">
        <f>Screening_Assessment!G23</f>
        <v>21.9</v>
      </c>
      <c r="AB17" s="31" t="s">
        <v>194</v>
      </c>
      <c r="AC17" s="304" t="s">
        <v>226</v>
      </c>
      <c r="AD17" s="51">
        <f>AA17*$D$7/$D$8</f>
        <v>87052.5</v>
      </c>
      <c r="AE17" s="351" t="s">
        <v>225</v>
      </c>
      <c r="AF17" s="70">
        <f>Screening_Assessment!G25</f>
        <v>11214</v>
      </c>
      <c r="AG17" s="31" t="s">
        <v>194</v>
      </c>
      <c r="AH17" s="304" t="s">
        <v>226</v>
      </c>
      <c r="AI17" s="51">
        <f>AF17*$D$7/$D$8</f>
        <v>44575650</v>
      </c>
      <c r="AJ17" s="351" t="s">
        <v>225</v>
      </c>
      <c r="AK17" s="72">
        <f>Screening_Assessment!G26</f>
        <v>27.6</v>
      </c>
      <c r="AL17" s="31" t="s">
        <v>194</v>
      </c>
      <c r="AM17" s="304" t="s">
        <v>226</v>
      </c>
      <c r="AN17" s="51">
        <f>AK17*$D$7/$D$8</f>
        <v>109710</v>
      </c>
      <c r="AO17" s="351" t="s">
        <v>225</v>
      </c>
      <c r="AP17" s="68">
        <f>Screening_Assessment!G28</f>
        <v>126.1</v>
      </c>
      <c r="AQ17" s="31" t="s">
        <v>194</v>
      </c>
      <c r="AR17" s="304" t="s">
        <v>226</v>
      </c>
      <c r="AS17" s="51">
        <f>AP17*$D$7/$D$8</f>
        <v>501247.5</v>
      </c>
      <c r="AT17" s="351" t="s">
        <v>225</v>
      </c>
      <c r="AU17" s="72">
        <f>Screening_Assessment!G34</f>
        <v>27.1</v>
      </c>
      <c r="AV17" s="31" t="s">
        <v>194</v>
      </c>
      <c r="AW17" s="304" t="s">
        <v>226</v>
      </c>
      <c r="AX17" s="51">
        <f>AU17*$D$7/$D$8</f>
        <v>107722.5</v>
      </c>
      <c r="AY17" s="351" t="s">
        <v>225</v>
      </c>
      <c r="AZ17" s="68">
        <f>Screening_Assessment!G36</f>
        <v>4.93</v>
      </c>
      <c r="BA17" s="31" t="s">
        <v>194</v>
      </c>
      <c r="BB17" s="304" t="s">
        <v>226</v>
      </c>
      <c r="BC17" s="51">
        <f>AZ17*$D$7/$D$8</f>
        <v>19596.75</v>
      </c>
      <c r="BD17" s="351" t="s">
        <v>225</v>
      </c>
      <c r="BE17" s="70">
        <f>Screening_Assessment!G40</f>
        <v>44785</v>
      </c>
      <c r="BF17" s="31" t="s">
        <v>194</v>
      </c>
      <c r="BG17" s="304" t="s">
        <v>226</v>
      </c>
      <c r="BH17" s="51">
        <f>BE17*$D$7/$D$8</f>
        <v>178020375</v>
      </c>
      <c r="BI17" s="351" t="s">
        <v>225</v>
      </c>
      <c r="BJ17" s="68">
        <f>Screening_Assessment!G41</f>
        <v>16</v>
      </c>
      <c r="BK17" s="31" t="s">
        <v>194</v>
      </c>
      <c r="BL17" s="304" t="s">
        <v>226</v>
      </c>
      <c r="BM17" s="51">
        <f>BJ17*$D$7/$D$8</f>
        <v>63600</v>
      </c>
      <c r="BN17" s="351" t="s">
        <v>225</v>
      </c>
      <c r="BO17" s="33">
        <f>Screening_Assessment!G46</f>
        <v>1681</v>
      </c>
      <c r="BP17" s="31" t="s">
        <v>194</v>
      </c>
      <c r="BQ17" s="304" t="s">
        <v>226</v>
      </c>
      <c r="BR17" s="51">
        <f>BO17*$D$7/$D$8</f>
        <v>6681975</v>
      </c>
      <c r="BS17" s="351" t="s">
        <v>225</v>
      </c>
    </row>
    <row r="18" spans="2:71" s="22" customFormat="1" ht="15.75" customHeight="1" x14ac:dyDescent="0.25">
      <c r="F18" s="322" t="s">
        <v>242</v>
      </c>
      <c r="G18" s="68">
        <f>Screening_Assessment!D14</f>
        <v>458</v>
      </c>
      <c r="H18" s="31" t="s">
        <v>194</v>
      </c>
      <c r="I18" s="304" t="s">
        <v>226</v>
      </c>
      <c r="J18" s="51">
        <f>G18*$D$7/$D$8</f>
        <v>1820550</v>
      </c>
      <c r="K18" s="351" t="s">
        <v>225</v>
      </c>
      <c r="L18" s="68">
        <f>Screening_Assessment!D15</f>
        <v>355</v>
      </c>
      <c r="M18" s="31" t="s">
        <v>194</v>
      </c>
      <c r="N18" s="304" t="s">
        <v>226</v>
      </c>
      <c r="O18" s="51">
        <f>L18*$D$7/$D$8</f>
        <v>1411125</v>
      </c>
      <c r="P18" s="351" t="s">
        <v>225</v>
      </c>
      <c r="Q18" s="68">
        <f>Screening_Assessment!D19</f>
        <v>14000</v>
      </c>
      <c r="R18" s="31" t="s">
        <v>194</v>
      </c>
      <c r="S18" s="304" t="s">
        <v>226</v>
      </c>
      <c r="T18" s="51">
        <f>Q18*$D$7/$D$8</f>
        <v>55650000</v>
      </c>
      <c r="U18" s="351" t="s">
        <v>225</v>
      </c>
      <c r="V18" s="68" t="str">
        <f>Screening_Assessment!D22</f>
        <v>NA</v>
      </c>
      <c r="W18" s="31" t="s">
        <v>194</v>
      </c>
      <c r="X18" s="304" t="s">
        <v>226</v>
      </c>
      <c r="Y18" s="51" t="e">
        <f>V18*$D$7/$D$8</f>
        <v>#VALUE!</v>
      </c>
      <c r="Z18" s="351" t="s">
        <v>225</v>
      </c>
      <c r="AA18" s="68">
        <f>Screening_Assessment!D23</f>
        <v>1174</v>
      </c>
      <c r="AB18" s="31" t="s">
        <v>194</v>
      </c>
      <c r="AC18" s="304" t="s">
        <v>226</v>
      </c>
      <c r="AD18" s="51">
        <f>AA18*$D$7/$D$8</f>
        <v>4666650</v>
      </c>
      <c r="AE18" s="351" t="s">
        <v>225</v>
      </c>
      <c r="AF18" s="68">
        <f>Screening_Assessment!D25</f>
        <v>14666</v>
      </c>
      <c r="AG18" s="31" t="s">
        <v>194</v>
      </c>
      <c r="AH18" s="304" t="s">
        <v>226</v>
      </c>
      <c r="AI18" s="51">
        <f>AF18*$D$7/$D$8</f>
        <v>58297350</v>
      </c>
      <c r="AJ18" s="351" t="s">
        <v>225</v>
      </c>
      <c r="AK18" s="68" t="str">
        <f>Screening_Assessment!D26</f>
        <v>NA</v>
      </c>
      <c r="AL18" s="31" t="s">
        <v>194</v>
      </c>
      <c r="AM18" s="304" t="s">
        <v>226</v>
      </c>
      <c r="AN18" s="51" t="s">
        <v>44</v>
      </c>
      <c r="AO18" s="351" t="s">
        <v>225</v>
      </c>
      <c r="AP18" s="68">
        <f>Screening_Assessment!D28</f>
        <v>3371</v>
      </c>
      <c r="AQ18" s="31" t="s">
        <v>194</v>
      </c>
      <c r="AR18" s="304" t="s">
        <v>226</v>
      </c>
      <c r="AS18" s="51">
        <f>AP18*$D$7/$D$8</f>
        <v>13399725</v>
      </c>
      <c r="AT18" s="351" t="s">
        <v>225</v>
      </c>
      <c r="AU18" s="68" t="str">
        <f>Screening_Assessment!D34</f>
        <v>NA</v>
      </c>
      <c r="AV18" s="31" t="s">
        <v>194</v>
      </c>
      <c r="AW18" s="304" t="s">
        <v>226</v>
      </c>
      <c r="AX18" s="51" t="s">
        <v>44</v>
      </c>
      <c r="AY18" s="351" t="s">
        <v>225</v>
      </c>
      <c r="AZ18" s="68">
        <f>Screening_Assessment!D36</f>
        <v>31.7</v>
      </c>
      <c r="BA18" s="31" t="s">
        <v>194</v>
      </c>
      <c r="BB18" s="304" t="s">
        <v>226</v>
      </c>
      <c r="BC18" s="51">
        <f>AZ18*$D$7/$D$8</f>
        <v>126007.5</v>
      </c>
      <c r="BD18" s="351" t="s">
        <v>225</v>
      </c>
      <c r="BE18" s="68" t="str">
        <f>Screening_Assessment!D40</f>
        <v>NA</v>
      </c>
      <c r="BF18" s="31" t="s">
        <v>194</v>
      </c>
      <c r="BG18" s="304" t="s">
        <v>226</v>
      </c>
      <c r="BH18" s="51" t="s">
        <v>44</v>
      </c>
      <c r="BI18" s="351" t="s">
        <v>225</v>
      </c>
      <c r="BJ18" s="68">
        <f>Screening_Assessment!D41</f>
        <v>34.9</v>
      </c>
      <c r="BK18" s="31" t="s">
        <v>194</v>
      </c>
      <c r="BL18" s="304" t="s">
        <v>226</v>
      </c>
      <c r="BM18" s="51">
        <f>BJ18*$D$7/$D$8</f>
        <v>138727.5</v>
      </c>
      <c r="BN18" s="351" t="s">
        <v>225</v>
      </c>
      <c r="BO18" s="68">
        <f>Screening_Assessment!D46</f>
        <v>11595</v>
      </c>
      <c r="BP18" s="31" t="s">
        <v>194</v>
      </c>
      <c r="BQ18" s="304" t="s">
        <v>226</v>
      </c>
      <c r="BR18" s="51">
        <f>BO18*$D$7/$D$8</f>
        <v>46090125</v>
      </c>
      <c r="BS18" s="351" t="s">
        <v>225</v>
      </c>
    </row>
    <row r="19" spans="2:71" s="22" customFormat="1" ht="15.75" customHeight="1" x14ac:dyDescent="0.25">
      <c r="F19" s="322"/>
      <c r="G19" s="68"/>
      <c r="H19" s="31"/>
      <c r="I19" s="304"/>
      <c r="J19" s="51"/>
      <c r="K19" s="351"/>
      <c r="L19" s="68"/>
      <c r="M19" s="31"/>
      <c r="N19" s="71"/>
      <c r="O19" s="39"/>
      <c r="P19" s="28"/>
      <c r="Q19" s="68"/>
      <c r="R19" s="31"/>
      <c r="S19" s="71"/>
      <c r="T19" s="39"/>
      <c r="U19" s="28"/>
      <c r="V19" s="70"/>
      <c r="W19" s="31"/>
      <c r="X19" s="71"/>
      <c r="Y19" s="39"/>
      <c r="Z19" s="28"/>
      <c r="AA19" s="70"/>
      <c r="AB19" s="31"/>
      <c r="AC19" s="71"/>
      <c r="AD19" s="39"/>
      <c r="AE19" s="28"/>
      <c r="AF19" s="70"/>
      <c r="AG19" s="31"/>
      <c r="AH19" s="71"/>
      <c r="AI19" s="39"/>
      <c r="AJ19" s="28"/>
      <c r="AK19" s="72"/>
      <c r="AL19" s="31"/>
      <c r="AM19" s="71"/>
      <c r="AN19" s="39"/>
      <c r="AO19" s="28"/>
      <c r="AP19" s="68"/>
      <c r="AQ19" s="31"/>
      <c r="AR19" s="71"/>
      <c r="AS19" s="39"/>
      <c r="AT19" s="28"/>
      <c r="AU19" s="72"/>
      <c r="AV19" s="31"/>
      <c r="AW19" s="71"/>
      <c r="AX19" s="39"/>
      <c r="AY19" s="28"/>
      <c r="AZ19" s="68"/>
      <c r="BA19" s="31"/>
      <c r="BB19" s="71"/>
      <c r="BC19" s="39"/>
      <c r="BD19" s="28"/>
      <c r="BE19" s="70"/>
      <c r="BF19" s="31"/>
      <c r="BG19" s="71"/>
      <c r="BH19" s="39"/>
      <c r="BI19" s="28"/>
      <c r="BJ19" s="68"/>
      <c r="BK19" s="31"/>
      <c r="BL19" s="71"/>
      <c r="BM19" s="39"/>
      <c r="BN19" s="28"/>
      <c r="BO19" s="33"/>
      <c r="BP19" s="31"/>
      <c r="BQ19" s="71"/>
      <c r="BR19" s="39"/>
      <c r="BS19" s="28"/>
    </row>
    <row r="20" spans="2:71" s="22" customFormat="1" ht="15.75" customHeight="1" x14ac:dyDescent="0.25">
      <c r="F20" s="317" t="s">
        <v>227</v>
      </c>
      <c r="G20" s="325" t="s">
        <v>228</v>
      </c>
      <c r="H20" s="31"/>
      <c r="I20" s="71" t="s">
        <v>38</v>
      </c>
      <c r="J20" s="39"/>
      <c r="K20" s="28"/>
      <c r="L20" s="325" t="s">
        <v>228</v>
      </c>
      <c r="M20" s="31"/>
      <c r="N20" s="71" t="s">
        <v>38</v>
      </c>
      <c r="O20" s="39"/>
      <c r="P20" s="28"/>
      <c r="Q20" s="325" t="s">
        <v>228</v>
      </c>
      <c r="R20" s="31"/>
      <c r="S20" s="71" t="s">
        <v>38</v>
      </c>
      <c r="T20" s="39"/>
      <c r="U20" s="28"/>
      <c r="V20" s="325" t="s">
        <v>228</v>
      </c>
      <c r="W20" s="31"/>
      <c r="X20" s="71" t="s">
        <v>38</v>
      </c>
      <c r="Y20" s="39"/>
      <c r="Z20" s="28"/>
      <c r="AA20" s="325" t="s">
        <v>228</v>
      </c>
      <c r="AB20" s="31"/>
      <c r="AC20" s="71" t="s">
        <v>38</v>
      </c>
      <c r="AD20" s="39"/>
      <c r="AE20" s="28"/>
      <c r="AF20" s="325" t="s">
        <v>228</v>
      </c>
      <c r="AG20" s="31"/>
      <c r="AH20" s="71" t="s">
        <v>38</v>
      </c>
      <c r="AI20" s="39"/>
      <c r="AJ20" s="28"/>
      <c r="AK20" s="325" t="s">
        <v>228</v>
      </c>
      <c r="AL20" s="31"/>
      <c r="AM20" s="71" t="s">
        <v>38</v>
      </c>
      <c r="AN20" s="39"/>
      <c r="AO20" s="28"/>
      <c r="AP20" s="325" t="s">
        <v>228</v>
      </c>
      <c r="AQ20" s="31"/>
      <c r="AR20" s="71" t="s">
        <v>38</v>
      </c>
      <c r="AS20" s="39"/>
      <c r="AT20" s="28"/>
      <c r="AU20" s="325" t="s">
        <v>228</v>
      </c>
      <c r="AV20" s="31"/>
      <c r="AW20" s="71" t="s">
        <v>38</v>
      </c>
      <c r="AX20" s="39"/>
      <c r="AY20" s="28"/>
      <c r="AZ20" s="325" t="s">
        <v>228</v>
      </c>
      <c r="BA20" s="31"/>
      <c r="BB20" s="71" t="s">
        <v>38</v>
      </c>
      <c r="BC20" s="39"/>
      <c r="BD20" s="28"/>
      <c r="BE20" s="325" t="s">
        <v>228</v>
      </c>
      <c r="BF20" s="31"/>
      <c r="BG20" s="71" t="s">
        <v>38</v>
      </c>
      <c r="BH20" s="39"/>
      <c r="BI20" s="28"/>
      <c r="BJ20" s="325" t="s">
        <v>228</v>
      </c>
      <c r="BK20" s="31"/>
      <c r="BL20" s="71" t="s">
        <v>38</v>
      </c>
      <c r="BM20" s="39"/>
      <c r="BN20" s="28"/>
      <c r="BO20" s="325" t="s">
        <v>228</v>
      </c>
      <c r="BP20" s="31"/>
      <c r="BQ20" s="71" t="s">
        <v>38</v>
      </c>
      <c r="BR20" s="39"/>
      <c r="BS20" s="28"/>
    </row>
    <row r="21" spans="2:71" s="22" customFormat="1" ht="15.75" customHeight="1" x14ac:dyDescent="0.25">
      <c r="F21" s="322" t="s">
        <v>85</v>
      </c>
      <c r="G21" s="76">
        <f>G29</f>
        <v>9.0999999999999998E-2</v>
      </c>
      <c r="H21" s="31" t="s">
        <v>193</v>
      </c>
      <c r="I21" s="301">
        <f>G21/G$15</f>
        <v>15.166666666666666</v>
      </c>
      <c r="J21" s="39"/>
      <c r="K21" s="28"/>
      <c r="L21" s="76">
        <f>L29</f>
        <v>4.5999999999999999E-2</v>
      </c>
      <c r="M21" s="31" t="s">
        <v>193</v>
      </c>
      <c r="N21" s="300">
        <f>L21/L$15</f>
        <v>4.5999999999999996</v>
      </c>
      <c r="O21" s="39"/>
      <c r="P21" s="28"/>
      <c r="Q21" s="78">
        <f>Q29</f>
        <v>5.8</v>
      </c>
      <c r="R21" s="31" t="s">
        <v>193</v>
      </c>
      <c r="S21" s="301">
        <f>Q21/Q$15</f>
        <v>1160</v>
      </c>
      <c r="T21" s="39"/>
      <c r="U21" s="28"/>
      <c r="V21" s="33">
        <f>V29</f>
        <v>743.53385039766806</v>
      </c>
      <c r="W21" s="31" t="s">
        <v>193</v>
      </c>
      <c r="X21" s="300">
        <f>V21/V$15</f>
        <v>2.9741354015906722</v>
      </c>
      <c r="Y21" s="39"/>
      <c r="Z21" s="28"/>
      <c r="AA21" s="82">
        <f>AA29</f>
        <v>2.5000000000000001E-4</v>
      </c>
      <c r="AB21" s="31" t="s">
        <v>193</v>
      </c>
      <c r="AC21" s="302">
        <f>AA21/AA$15</f>
        <v>2.5000000000000001E-3</v>
      </c>
      <c r="AD21" s="39"/>
      <c r="AE21" s="28"/>
      <c r="AF21" s="78">
        <f>AF29</f>
        <v>1.42</v>
      </c>
      <c r="AG21" s="31" t="s">
        <v>193</v>
      </c>
      <c r="AH21" s="300">
        <f>AF21/AF$15</f>
        <v>1.0923076923076922</v>
      </c>
      <c r="AI21" s="39"/>
      <c r="AJ21" s="28"/>
      <c r="AK21" s="78">
        <f>AK29</f>
        <v>2.59</v>
      </c>
      <c r="AL21" s="31" t="s">
        <v>193</v>
      </c>
      <c r="AM21" s="300">
        <f>AK21/AK$15</f>
        <v>0.64749999999999996</v>
      </c>
      <c r="AN21" s="39"/>
      <c r="AO21" s="28"/>
      <c r="AP21" s="78">
        <f>AP29</f>
        <v>1.27</v>
      </c>
      <c r="AQ21" s="31" t="s">
        <v>193</v>
      </c>
      <c r="AR21" s="301">
        <f>AP21/AP$15</f>
        <v>84.666666666666671</v>
      </c>
      <c r="AS21" s="39"/>
      <c r="AT21" s="28"/>
      <c r="AU21" s="33">
        <f>AU29</f>
        <v>136.53961780758002</v>
      </c>
      <c r="AV21" s="31" t="s">
        <v>193</v>
      </c>
      <c r="AW21" s="300">
        <f>AU21/AU$15</f>
        <v>3.103173131990455</v>
      </c>
      <c r="AX21" s="39"/>
      <c r="AY21" s="28"/>
      <c r="AZ21" s="78">
        <f>AZ29</f>
        <v>1.8199917709704083</v>
      </c>
      <c r="BA21" s="31" t="s">
        <v>193</v>
      </c>
      <c r="BB21" s="301">
        <f>AZ21/AZ$15</f>
        <v>36.399835419408163</v>
      </c>
      <c r="BC21" s="39"/>
      <c r="BD21" s="28"/>
      <c r="BE21" s="76">
        <f>BE29</f>
        <v>12147.446357004566</v>
      </c>
      <c r="BF21" s="31" t="s">
        <v>193</v>
      </c>
      <c r="BG21" s="301">
        <f>BE21/BE$15</f>
        <v>48.589785428018267</v>
      </c>
      <c r="BH21" s="39"/>
      <c r="BI21" s="28"/>
      <c r="BJ21" s="32">
        <f>BJ29</f>
        <v>0.40600000000000003</v>
      </c>
      <c r="BK21" s="31" t="s">
        <v>193</v>
      </c>
      <c r="BL21" s="301">
        <f>BJ21/BJ$15</f>
        <v>203</v>
      </c>
      <c r="BM21" s="39"/>
      <c r="BN21" s="28"/>
      <c r="BO21" s="33">
        <f>BO29</f>
        <v>29.3</v>
      </c>
      <c r="BP21" s="31" t="s">
        <v>193</v>
      </c>
      <c r="BQ21" s="300">
        <f>BO21/BO$15</f>
        <v>5.86</v>
      </c>
      <c r="BR21" s="39"/>
      <c r="BS21" s="28"/>
    </row>
    <row r="22" spans="2:71" s="22" customFormat="1" ht="15.75" customHeight="1" x14ac:dyDescent="0.25">
      <c r="F22" s="322" t="s">
        <v>86</v>
      </c>
      <c r="G22" s="76">
        <f>AVERAGE(G29:G33)</f>
        <v>9.0999999999999998E-2</v>
      </c>
      <c r="H22" s="31" t="s">
        <v>193</v>
      </c>
      <c r="I22" s="301">
        <f>G22/G$15</f>
        <v>15.166666666666666</v>
      </c>
      <c r="J22" s="39"/>
      <c r="K22" s="28"/>
      <c r="L22" s="76">
        <f>AVERAGE(L29:L33)</f>
        <v>4.5999999999999999E-2</v>
      </c>
      <c r="M22" s="31" t="s">
        <v>193</v>
      </c>
      <c r="N22" s="300">
        <f>L22/L$15</f>
        <v>4.5999999999999996</v>
      </c>
      <c r="O22" s="39"/>
      <c r="P22" s="28"/>
      <c r="Q22" s="78">
        <f>AVERAGE(Q29:Q33)</f>
        <v>5.8</v>
      </c>
      <c r="R22" s="31" t="s">
        <v>193</v>
      </c>
      <c r="S22" s="301">
        <f>Q22/Q$15</f>
        <v>1160</v>
      </c>
      <c r="T22" s="39"/>
      <c r="U22" s="28"/>
      <c r="V22" s="33">
        <f>AVERAGE(V29:V33)</f>
        <v>319.59454496854346</v>
      </c>
      <c r="W22" s="31" t="s">
        <v>193</v>
      </c>
      <c r="X22" s="300">
        <f>V22/V$15</f>
        <v>1.2783781798741738</v>
      </c>
      <c r="Y22" s="39"/>
      <c r="Z22" s="28"/>
      <c r="AA22" s="82">
        <f>AVERAGE(AA29:AA33)</f>
        <v>2.5000000000000001E-4</v>
      </c>
      <c r="AB22" s="31" t="s">
        <v>193</v>
      </c>
      <c r="AC22" s="302">
        <f>AA22/AA$15</f>
        <v>2.5000000000000001E-3</v>
      </c>
      <c r="AD22" s="39"/>
      <c r="AE22" s="28"/>
      <c r="AF22" s="78">
        <f>AVERAGE(AF29:AF33)</f>
        <v>1.42</v>
      </c>
      <c r="AG22" s="31" t="s">
        <v>193</v>
      </c>
      <c r="AH22" s="300">
        <f>AF22/AF$15</f>
        <v>1.0923076923076922</v>
      </c>
      <c r="AI22" s="39"/>
      <c r="AJ22" s="28"/>
      <c r="AK22" s="78">
        <f>AVERAGE(AK29:AK33)</f>
        <v>2.59</v>
      </c>
      <c r="AL22" s="31" t="s">
        <v>193</v>
      </c>
      <c r="AM22" s="300">
        <f>AK22/AK$15</f>
        <v>0.64749999999999996</v>
      </c>
      <c r="AN22" s="39"/>
      <c r="AO22" s="28"/>
      <c r="AP22" s="78">
        <f>AVERAGE(AP29:AP33)</f>
        <v>1.27</v>
      </c>
      <c r="AQ22" s="31" t="s">
        <v>193</v>
      </c>
      <c r="AR22" s="301">
        <f>AP22/AP$15</f>
        <v>84.666666666666671</v>
      </c>
      <c r="AS22" s="39"/>
      <c r="AT22" s="28"/>
      <c r="AU22" s="33">
        <f>AVERAGE(AU29:AU33)</f>
        <v>55.480741950940093</v>
      </c>
      <c r="AV22" s="31" t="s">
        <v>193</v>
      </c>
      <c r="AW22" s="300">
        <f>AU22/AU$15</f>
        <v>1.2609259534304567</v>
      </c>
      <c r="AX22" s="39"/>
      <c r="AY22" s="28"/>
      <c r="AZ22" s="78">
        <f>AVERAGE(AZ29:AZ33)</f>
        <v>0.93879264431489262</v>
      </c>
      <c r="BA22" s="31" t="s">
        <v>193</v>
      </c>
      <c r="BB22" s="301">
        <f>AZ22/AZ$15</f>
        <v>18.775852886297852</v>
      </c>
      <c r="BC22" s="39"/>
      <c r="BD22" s="28"/>
      <c r="BE22" s="76">
        <f>AVERAGE(BE29:BE33)</f>
        <v>7241.0174401570157</v>
      </c>
      <c r="BF22" s="31" t="s">
        <v>193</v>
      </c>
      <c r="BG22" s="301">
        <f>BE22/BE$15</f>
        <v>28.964069760628064</v>
      </c>
      <c r="BH22" s="39"/>
      <c r="BI22" s="28"/>
      <c r="BJ22" s="32">
        <f>AVERAGE(BJ29:BJ33)</f>
        <v>0.40600000000000003</v>
      </c>
      <c r="BK22" s="31" t="s">
        <v>193</v>
      </c>
      <c r="BL22" s="301">
        <f>BJ22/BJ$15</f>
        <v>203</v>
      </c>
      <c r="BM22" s="39"/>
      <c r="BN22" s="28"/>
      <c r="BO22" s="33">
        <f>AVERAGE(BO29:BO33)</f>
        <v>29.3</v>
      </c>
      <c r="BP22" s="31" t="s">
        <v>193</v>
      </c>
      <c r="BQ22" s="300">
        <f>BO22/BO$15</f>
        <v>5.86</v>
      </c>
      <c r="BR22" s="39"/>
      <c r="BS22" s="28"/>
    </row>
    <row r="23" spans="2:71" s="22" customFormat="1" ht="15.75" customHeight="1" x14ac:dyDescent="0.25">
      <c r="F23" s="322" t="s">
        <v>87</v>
      </c>
      <c r="G23" s="76">
        <f>AVERAGE(G29:G58)</f>
        <v>9.1000000000000039E-2</v>
      </c>
      <c r="H23" s="31" t="s">
        <v>195</v>
      </c>
      <c r="I23" s="301">
        <f>G23/G$15</f>
        <v>15.166666666666673</v>
      </c>
      <c r="J23" s="39"/>
      <c r="K23" s="28"/>
      <c r="L23" s="76">
        <f>AVERAGE(L29:L58)</f>
        <v>4.600000000000002E-2</v>
      </c>
      <c r="M23" s="31" t="s">
        <v>195</v>
      </c>
      <c r="N23" s="300">
        <f>L23/L$15</f>
        <v>4.6000000000000023</v>
      </c>
      <c r="O23" s="39"/>
      <c r="P23" s="28"/>
      <c r="Q23" s="78">
        <f>AVERAGE(Q29:Q58)</f>
        <v>5.8000000000000007</v>
      </c>
      <c r="R23" s="31" t="s">
        <v>195</v>
      </c>
      <c r="S23" s="301">
        <f>Q23/Q$15</f>
        <v>1160.0000000000002</v>
      </c>
      <c r="T23" s="39"/>
      <c r="U23" s="28"/>
      <c r="V23" s="33">
        <f>AVERAGE(V29:V58)</f>
        <v>57.811265983768145</v>
      </c>
      <c r="W23" s="31" t="s">
        <v>195</v>
      </c>
      <c r="X23" s="300">
        <f>V23/V$15</f>
        <v>0.23124506393507258</v>
      </c>
      <c r="Y23" s="39"/>
      <c r="Z23" s="28"/>
      <c r="AA23" s="82">
        <f>AVERAGE(AA29:AA58)</f>
        <v>2.5000000000000017E-4</v>
      </c>
      <c r="AB23" s="31" t="s">
        <v>195</v>
      </c>
      <c r="AC23" s="302">
        <f>AA23/AA$15</f>
        <v>2.5000000000000014E-3</v>
      </c>
      <c r="AD23" s="39"/>
      <c r="AE23" s="28"/>
      <c r="AF23" s="78">
        <f>AVERAGE(AF29:AF58)</f>
        <v>1.420000000000001</v>
      </c>
      <c r="AG23" s="31" t="s">
        <v>195</v>
      </c>
      <c r="AH23" s="300">
        <f>AF23/AF$15</f>
        <v>1.0923076923076931</v>
      </c>
      <c r="AI23" s="39"/>
      <c r="AJ23" s="28"/>
      <c r="AK23" s="78">
        <f>AVERAGE(AK29:AK58)</f>
        <v>2.5900000000000021</v>
      </c>
      <c r="AL23" s="31" t="s">
        <v>195</v>
      </c>
      <c r="AM23" s="300">
        <f>AK23/AK$15</f>
        <v>0.64750000000000052</v>
      </c>
      <c r="AN23" s="39"/>
      <c r="AO23" s="28"/>
      <c r="AP23" s="78">
        <f>AVERAGE(AP29:AP58)</f>
        <v>1.2700000000000002</v>
      </c>
      <c r="AQ23" s="31" t="s">
        <v>195</v>
      </c>
      <c r="AR23" s="301">
        <f>AP23/AP$15</f>
        <v>84.666666666666686</v>
      </c>
      <c r="AS23" s="39"/>
      <c r="AT23" s="28"/>
      <c r="AU23" s="78">
        <f>AVERAGE(AU29:AU58)</f>
        <v>9.2888183008384644</v>
      </c>
      <c r="AV23" s="31" t="s">
        <v>195</v>
      </c>
      <c r="AW23" s="300">
        <f>AU23/AU$15</f>
        <v>0.21110950683723784</v>
      </c>
      <c r="AX23" s="39"/>
      <c r="AY23" s="28"/>
      <c r="AZ23" s="32">
        <f>AVERAGE(AZ29:AZ58)</f>
        <v>0.19090862225035513</v>
      </c>
      <c r="BA23" s="31" t="s">
        <v>195</v>
      </c>
      <c r="BB23" s="301">
        <f>AZ23/AZ$15</f>
        <v>3.8181724450071024</v>
      </c>
      <c r="BC23" s="39"/>
      <c r="BD23" s="28"/>
      <c r="BE23" s="76">
        <f>AVERAGE(BE29:BE58)</f>
        <v>2925.0328518213728</v>
      </c>
      <c r="BF23" s="31" t="s">
        <v>195</v>
      </c>
      <c r="BG23" s="301">
        <f>BE23/BE$15</f>
        <v>11.700131407285491</v>
      </c>
      <c r="BH23" s="39"/>
      <c r="BI23" s="28"/>
      <c r="BJ23" s="32">
        <f>AVERAGE(BJ29:BJ58)</f>
        <v>0.40600000000000008</v>
      </c>
      <c r="BK23" s="31" t="s">
        <v>195</v>
      </c>
      <c r="BL23" s="301">
        <f>BJ23/BJ$15</f>
        <v>203.00000000000003</v>
      </c>
      <c r="BM23" s="39"/>
      <c r="BN23" s="28"/>
      <c r="BO23" s="33">
        <f>AVERAGE(BO29:BO58)</f>
        <v>29.299999999999986</v>
      </c>
      <c r="BP23" s="31" t="s">
        <v>195</v>
      </c>
      <c r="BQ23" s="300">
        <f>BO23/BO$15</f>
        <v>5.8599999999999977</v>
      </c>
      <c r="BR23" s="39"/>
      <c r="BS23" s="28"/>
    </row>
    <row r="24" spans="2:71" s="22" customFormat="1" ht="15.75" customHeight="1" x14ac:dyDescent="0.25">
      <c r="F24" s="23"/>
      <c r="G24" s="27"/>
      <c r="H24" s="31"/>
      <c r="I24" s="39"/>
      <c r="J24" s="39"/>
      <c r="K24" s="28"/>
      <c r="L24" s="27"/>
      <c r="M24" s="31"/>
      <c r="N24" s="39"/>
      <c r="O24" s="39"/>
      <c r="P24" s="28"/>
      <c r="Q24" s="27"/>
      <c r="R24" s="31"/>
      <c r="S24" s="39"/>
      <c r="T24" s="39"/>
      <c r="U24" s="28"/>
      <c r="V24" s="32"/>
      <c r="W24" s="31"/>
      <c r="X24" s="39"/>
      <c r="Y24" s="39"/>
      <c r="Z24" s="28"/>
      <c r="AA24" s="27"/>
      <c r="AB24" s="39"/>
      <c r="AC24" s="39"/>
      <c r="AD24" s="39"/>
      <c r="AE24" s="28"/>
      <c r="AF24" s="27"/>
      <c r="AG24" s="31"/>
      <c r="AH24" s="39"/>
      <c r="AI24" s="39"/>
      <c r="AJ24" s="28"/>
      <c r="AK24" s="27"/>
      <c r="AL24" s="31"/>
      <c r="AM24" s="39"/>
      <c r="AN24" s="39"/>
      <c r="AO24" s="28"/>
      <c r="AP24" s="27"/>
      <c r="AQ24" s="31"/>
      <c r="AR24" s="39"/>
      <c r="AS24" s="39"/>
      <c r="AT24" s="28"/>
      <c r="AU24" s="27"/>
      <c r="AV24" s="31"/>
      <c r="AW24" s="39"/>
      <c r="AX24" s="39"/>
      <c r="AY24" s="28"/>
      <c r="AZ24" s="27"/>
      <c r="BA24" s="31"/>
      <c r="BB24" s="39"/>
      <c r="BC24" s="39"/>
      <c r="BD24" s="28"/>
      <c r="BE24" s="27"/>
      <c r="BF24" s="31"/>
      <c r="BG24" s="39"/>
      <c r="BH24" s="39"/>
      <c r="BI24" s="28"/>
      <c r="BJ24" s="27"/>
      <c r="BK24" s="31"/>
      <c r="BL24" s="39"/>
      <c r="BM24" s="39"/>
      <c r="BN24" s="28"/>
      <c r="BO24" s="27"/>
      <c r="BP24" s="31"/>
      <c r="BQ24" s="39"/>
      <c r="BR24" s="39"/>
      <c r="BS24" s="28"/>
    </row>
    <row r="25" spans="2:71" s="6" customFormat="1" ht="35.1" customHeight="1" x14ac:dyDescent="0.35">
      <c r="B25" s="315" t="s">
        <v>212</v>
      </c>
      <c r="C25" s="315" t="s">
        <v>231</v>
      </c>
      <c r="D25" s="315" t="s">
        <v>230</v>
      </c>
      <c r="E25" s="315" t="s">
        <v>214</v>
      </c>
      <c r="F25" s="318" t="s">
        <v>222</v>
      </c>
      <c r="G25" s="316" t="s">
        <v>229</v>
      </c>
      <c r="H25" s="315" t="s">
        <v>397</v>
      </c>
      <c r="I25" s="315" t="s">
        <v>36</v>
      </c>
      <c r="J25" s="319" t="s">
        <v>232</v>
      </c>
      <c r="K25" s="320" t="s">
        <v>233</v>
      </c>
      <c r="L25" s="316" t="s">
        <v>229</v>
      </c>
      <c r="M25" s="315" t="s">
        <v>397</v>
      </c>
      <c r="N25" s="315" t="s">
        <v>36</v>
      </c>
      <c r="O25" s="319" t="s">
        <v>232</v>
      </c>
      <c r="P25" s="320" t="s">
        <v>233</v>
      </c>
      <c r="Q25" s="316" t="s">
        <v>229</v>
      </c>
      <c r="R25" s="315" t="s">
        <v>397</v>
      </c>
      <c r="S25" s="315" t="s">
        <v>36</v>
      </c>
      <c r="T25" s="319" t="s">
        <v>232</v>
      </c>
      <c r="U25" s="320" t="s">
        <v>233</v>
      </c>
      <c r="V25" s="316" t="s">
        <v>229</v>
      </c>
      <c r="W25" s="315" t="s">
        <v>397</v>
      </c>
      <c r="X25" s="315" t="s">
        <v>36</v>
      </c>
      <c r="Y25" s="319" t="s">
        <v>232</v>
      </c>
      <c r="Z25" s="320" t="s">
        <v>233</v>
      </c>
      <c r="AA25" s="316" t="s">
        <v>229</v>
      </c>
      <c r="AB25" s="315" t="s">
        <v>397</v>
      </c>
      <c r="AC25" s="315" t="s">
        <v>36</v>
      </c>
      <c r="AD25" s="319" t="s">
        <v>232</v>
      </c>
      <c r="AE25" s="320" t="s">
        <v>233</v>
      </c>
      <c r="AF25" s="316" t="s">
        <v>229</v>
      </c>
      <c r="AG25" s="315" t="s">
        <v>397</v>
      </c>
      <c r="AH25" s="315" t="s">
        <v>36</v>
      </c>
      <c r="AI25" s="319" t="s">
        <v>232</v>
      </c>
      <c r="AJ25" s="320" t="s">
        <v>233</v>
      </c>
      <c r="AK25" s="316" t="s">
        <v>229</v>
      </c>
      <c r="AL25" s="315" t="s">
        <v>397</v>
      </c>
      <c r="AM25" s="315" t="s">
        <v>36</v>
      </c>
      <c r="AN25" s="319" t="s">
        <v>232</v>
      </c>
      <c r="AO25" s="320" t="s">
        <v>233</v>
      </c>
      <c r="AP25" s="316" t="s">
        <v>229</v>
      </c>
      <c r="AQ25" s="315" t="s">
        <v>397</v>
      </c>
      <c r="AR25" s="315" t="s">
        <v>36</v>
      </c>
      <c r="AS25" s="319" t="s">
        <v>232</v>
      </c>
      <c r="AT25" s="320" t="s">
        <v>233</v>
      </c>
      <c r="AU25" s="316" t="s">
        <v>229</v>
      </c>
      <c r="AV25" s="315" t="s">
        <v>397</v>
      </c>
      <c r="AW25" s="315" t="s">
        <v>36</v>
      </c>
      <c r="AX25" s="319" t="s">
        <v>232</v>
      </c>
      <c r="AY25" s="320" t="s">
        <v>233</v>
      </c>
      <c r="AZ25" s="316" t="s">
        <v>229</v>
      </c>
      <c r="BA25" s="315" t="s">
        <v>397</v>
      </c>
      <c r="BB25" s="315" t="s">
        <v>36</v>
      </c>
      <c r="BC25" s="319" t="s">
        <v>232</v>
      </c>
      <c r="BD25" s="320" t="s">
        <v>233</v>
      </c>
      <c r="BE25" s="316" t="s">
        <v>229</v>
      </c>
      <c r="BF25" s="315" t="s">
        <v>397</v>
      </c>
      <c r="BG25" s="315" t="s">
        <v>36</v>
      </c>
      <c r="BH25" s="319" t="s">
        <v>232</v>
      </c>
      <c r="BI25" s="320" t="s">
        <v>233</v>
      </c>
      <c r="BJ25" s="316" t="s">
        <v>229</v>
      </c>
      <c r="BK25" s="315" t="s">
        <v>397</v>
      </c>
      <c r="BL25" s="315" t="s">
        <v>36</v>
      </c>
      <c r="BM25" s="319" t="s">
        <v>232</v>
      </c>
      <c r="BN25" s="320" t="s">
        <v>233</v>
      </c>
      <c r="BO25" s="316" t="s">
        <v>229</v>
      </c>
      <c r="BP25" s="315" t="s">
        <v>397</v>
      </c>
      <c r="BQ25" s="315" t="s">
        <v>36</v>
      </c>
      <c r="BR25" s="319" t="s">
        <v>232</v>
      </c>
      <c r="BS25" s="320" t="s">
        <v>233</v>
      </c>
    </row>
    <row r="26" spans="2:71" s="310" customFormat="1" ht="15.75" customHeight="1" x14ac:dyDescent="0.25">
      <c r="B26" s="306"/>
      <c r="C26" s="306"/>
      <c r="D26" s="306" t="s">
        <v>208</v>
      </c>
      <c r="E26" s="306" t="s">
        <v>209</v>
      </c>
      <c r="F26" s="377" t="s">
        <v>210</v>
      </c>
      <c r="G26" s="305" t="s">
        <v>7</v>
      </c>
      <c r="H26" s="306" t="s">
        <v>8</v>
      </c>
      <c r="I26" s="306" t="s">
        <v>8</v>
      </c>
      <c r="J26" s="307" t="s">
        <v>211</v>
      </c>
      <c r="K26" s="308" t="s">
        <v>211</v>
      </c>
      <c r="L26" s="305" t="s">
        <v>7</v>
      </c>
      <c r="M26" s="306" t="s">
        <v>8</v>
      </c>
      <c r="N26" s="306" t="s">
        <v>8</v>
      </c>
      <c r="O26" s="307" t="s">
        <v>211</v>
      </c>
      <c r="P26" s="308" t="s">
        <v>211</v>
      </c>
      <c r="Q26" s="305" t="s">
        <v>7</v>
      </c>
      <c r="R26" s="306" t="s">
        <v>8</v>
      </c>
      <c r="S26" s="306" t="s">
        <v>8</v>
      </c>
      <c r="T26" s="307" t="s">
        <v>211</v>
      </c>
      <c r="U26" s="308" t="s">
        <v>211</v>
      </c>
      <c r="V26" s="305" t="s">
        <v>7</v>
      </c>
      <c r="W26" s="306" t="s">
        <v>8</v>
      </c>
      <c r="X26" s="306" t="s">
        <v>8</v>
      </c>
      <c r="Y26" s="307" t="s">
        <v>211</v>
      </c>
      <c r="Z26" s="308" t="s">
        <v>211</v>
      </c>
      <c r="AA26" s="305" t="s">
        <v>7</v>
      </c>
      <c r="AB26" s="306" t="s">
        <v>8</v>
      </c>
      <c r="AC26" s="306" t="s">
        <v>8</v>
      </c>
      <c r="AD26" s="307" t="s">
        <v>211</v>
      </c>
      <c r="AE26" s="308" t="s">
        <v>211</v>
      </c>
      <c r="AF26" s="305" t="s">
        <v>7</v>
      </c>
      <c r="AG26" s="306" t="s">
        <v>8</v>
      </c>
      <c r="AH26" s="306" t="s">
        <v>8</v>
      </c>
      <c r="AI26" s="307" t="s">
        <v>211</v>
      </c>
      <c r="AJ26" s="308" t="s">
        <v>211</v>
      </c>
      <c r="AK26" s="305" t="s">
        <v>7</v>
      </c>
      <c r="AL26" s="306" t="s">
        <v>8</v>
      </c>
      <c r="AM26" s="306" t="s">
        <v>8</v>
      </c>
      <c r="AN26" s="307" t="s">
        <v>211</v>
      </c>
      <c r="AO26" s="308" t="s">
        <v>211</v>
      </c>
      <c r="AP26" s="305" t="s">
        <v>7</v>
      </c>
      <c r="AQ26" s="306" t="s">
        <v>8</v>
      </c>
      <c r="AR26" s="306" t="s">
        <v>8</v>
      </c>
      <c r="AS26" s="307" t="s">
        <v>211</v>
      </c>
      <c r="AT26" s="308" t="s">
        <v>211</v>
      </c>
      <c r="AU26" s="305" t="s">
        <v>7</v>
      </c>
      <c r="AV26" s="306" t="s">
        <v>8</v>
      </c>
      <c r="AW26" s="306" t="s">
        <v>8</v>
      </c>
      <c r="AX26" s="307" t="s">
        <v>211</v>
      </c>
      <c r="AY26" s="308" t="s">
        <v>211</v>
      </c>
      <c r="AZ26" s="305" t="s">
        <v>7</v>
      </c>
      <c r="BA26" s="306" t="s">
        <v>8</v>
      </c>
      <c r="BB26" s="306" t="s">
        <v>8</v>
      </c>
      <c r="BC26" s="307" t="s">
        <v>211</v>
      </c>
      <c r="BD26" s="308" t="s">
        <v>211</v>
      </c>
      <c r="BE26" s="305" t="s">
        <v>7</v>
      </c>
      <c r="BF26" s="306" t="s">
        <v>8</v>
      </c>
      <c r="BG26" s="306" t="s">
        <v>8</v>
      </c>
      <c r="BH26" s="307" t="s">
        <v>211</v>
      </c>
      <c r="BI26" s="308" t="s">
        <v>211</v>
      </c>
      <c r="BJ26" s="305" t="s">
        <v>7</v>
      </c>
      <c r="BK26" s="306" t="s">
        <v>8</v>
      </c>
      <c r="BL26" s="306" t="s">
        <v>8</v>
      </c>
      <c r="BM26" s="307" t="s">
        <v>211</v>
      </c>
      <c r="BN26" s="308" t="s">
        <v>211</v>
      </c>
      <c r="BO26" s="305" t="s">
        <v>7</v>
      </c>
      <c r="BP26" s="306" t="s">
        <v>8</v>
      </c>
      <c r="BQ26" s="306" t="s">
        <v>8</v>
      </c>
      <c r="BR26" s="307" t="s">
        <v>211</v>
      </c>
      <c r="BS26" s="308" t="s">
        <v>211</v>
      </c>
    </row>
    <row r="27" spans="2:71" s="310" customFormat="1" ht="15.75" customHeight="1" thickBot="1" x14ac:dyDescent="0.3">
      <c r="B27" s="311" t="s">
        <v>160</v>
      </c>
      <c r="C27" s="311"/>
      <c r="D27" s="311"/>
      <c r="E27" s="311"/>
      <c r="F27" s="311"/>
      <c r="G27" s="312" t="s">
        <v>172</v>
      </c>
      <c r="H27" s="311" t="s">
        <v>235</v>
      </c>
      <c r="I27" s="311" t="s">
        <v>236</v>
      </c>
      <c r="J27" s="313"/>
      <c r="K27" s="314"/>
      <c r="L27" s="312" t="s">
        <v>172</v>
      </c>
      <c r="M27" s="311" t="s">
        <v>235</v>
      </c>
      <c r="N27" s="311" t="s">
        <v>236</v>
      </c>
      <c r="O27" s="313"/>
      <c r="P27" s="314"/>
      <c r="Q27" s="312" t="s">
        <v>172</v>
      </c>
      <c r="R27" s="311" t="s">
        <v>235</v>
      </c>
      <c r="S27" s="311" t="s">
        <v>236</v>
      </c>
      <c r="T27" s="313"/>
      <c r="U27" s="314"/>
      <c r="V27" s="312" t="s">
        <v>158</v>
      </c>
      <c r="W27" s="311" t="s">
        <v>235</v>
      </c>
      <c r="X27" s="311" t="s">
        <v>236</v>
      </c>
      <c r="Y27" s="313"/>
      <c r="Z27" s="314"/>
      <c r="AA27" s="312" t="s">
        <v>172</v>
      </c>
      <c r="AB27" s="311" t="s">
        <v>235</v>
      </c>
      <c r="AC27" s="311" t="s">
        <v>236</v>
      </c>
      <c r="AD27" s="313"/>
      <c r="AE27" s="314"/>
      <c r="AF27" s="312" t="s">
        <v>172</v>
      </c>
      <c r="AG27" s="311" t="s">
        <v>235</v>
      </c>
      <c r="AH27" s="311" t="s">
        <v>236</v>
      </c>
      <c r="AI27" s="313"/>
      <c r="AJ27" s="314"/>
      <c r="AK27" s="312" t="s">
        <v>172</v>
      </c>
      <c r="AL27" s="311" t="s">
        <v>235</v>
      </c>
      <c r="AM27" s="311" t="s">
        <v>236</v>
      </c>
      <c r="AN27" s="313"/>
      <c r="AO27" s="314"/>
      <c r="AP27" s="312" t="s">
        <v>172</v>
      </c>
      <c r="AQ27" s="311" t="s">
        <v>235</v>
      </c>
      <c r="AR27" s="311" t="s">
        <v>236</v>
      </c>
      <c r="AS27" s="313"/>
      <c r="AT27" s="314"/>
      <c r="AU27" s="312" t="s">
        <v>158</v>
      </c>
      <c r="AV27" s="311" t="s">
        <v>235</v>
      </c>
      <c r="AW27" s="311" t="s">
        <v>236</v>
      </c>
      <c r="AX27" s="313"/>
      <c r="AY27" s="314"/>
      <c r="AZ27" s="312" t="s">
        <v>158</v>
      </c>
      <c r="BA27" s="311" t="s">
        <v>235</v>
      </c>
      <c r="BB27" s="311" t="s">
        <v>236</v>
      </c>
      <c r="BC27" s="313"/>
      <c r="BD27" s="314"/>
      <c r="BE27" s="312" t="s">
        <v>158</v>
      </c>
      <c r="BF27" s="311" t="s">
        <v>235</v>
      </c>
      <c r="BG27" s="311" t="s">
        <v>236</v>
      </c>
      <c r="BH27" s="313"/>
      <c r="BI27" s="314"/>
      <c r="BJ27" s="312" t="s">
        <v>172</v>
      </c>
      <c r="BK27" s="311" t="s">
        <v>235</v>
      </c>
      <c r="BL27" s="311" t="s">
        <v>236</v>
      </c>
      <c r="BM27" s="313"/>
      <c r="BN27" s="314"/>
      <c r="BO27" s="312" t="s">
        <v>172</v>
      </c>
      <c r="BP27" s="311" t="s">
        <v>235</v>
      </c>
      <c r="BQ27" s="311" t="s">
        <v>236</v>
      </c>
      <c r="BR27" s="313"/>
      <c r="BS27" s="314"/>
    </row>
    <row r="28" spans="2:71" ht="15.75" customHeight="1" thickTop="1" x14ac:dyDescent="0.25">
      <c r="B28" s="1" t="s">
        <v>207</v>
      </c>
      <c r="C28" s="1" t="s">
        <v>46</v>
      </c>
      <c r="D28" s="1" t="s">
        <v>46</v>
      </c>
      <c r="E28" s="1" t="s">
        <v>46</v>
      </c>
      <c r="F28" s="1" t="s">
        <v>46</v>
      </c>
      <c r="G28" s="25" t="s">
        <v>46</v>
      </c>
      <c r="H28" s="26" t="s">
        <v>46</v>
      </c>
      <c r="I28" s="67" t="s">
        <v>46</v>
      </c>
      <c r="J28" s="67" t="s">
        <v>46</v>
      </c>
      <c r="K28" s="58">
        <v>0</v>
      </c>
      <c r="L28" s="25" t="s">
        <v>46</v>
      </c>
      <c r="M28" s="26" t="s">
        <v>46</v>
      </c>
      <c r="N28" s="26" t="s">
        <v>46</v>
      </c>
      <c r="O28" s="67" t="s">
        <v>46</v>
      </c>
      <c r="P28" s="58">
        <v>0</v>
      </c>
      <c r="Q28" s="25" t="s">
        <v>46</v>
      </c>
      <c r="R28" s="26" t="s">
        <v>46</v>
      </c>
      <c r="S28" s="26" t="s">
        <v>46</v>
      </c>
      <c r="T28" s="67" t="s">
        <v>46</v>
      </c>
      <c r="U28" s="58">
        <v>0</v>
      </c>
      <c r="V28" s="25" t="s">
        <v>46</v>
      </c>
      <c r="W28" s="26" t="s">
        <v>46</v>
      </c>
      <c r="X28" s="67" t="s">
        <v>46</v>
      </c>
      <c r="Y28" s="67" t="s">
        <v>46</v>
      </c>
      <c r="Z28" s="58">
        <v>0</v>
      </c>
      <c r="AA28" s="25" t="s">
        <v>46</v>
      </c>
      <c r="AB28" s="26" t="s">
        <v>46</v>
      </c>
      <c r="AC28" s="26" t="s">
        <v>46</v>
      </c>
      <c r="AD28" s="67" t="s">
        <v>46</v>
      </c>
      <c r="AE28" s="58">
        <v>0</v>
      </c>
      <c r="AF28" s="25" t="s">
        <v>46</v>
      </c>
      <c r="AG28" s="26" t="s">
        <v>46</v>
      </c>
      <c r="AH28" s="26" t="s">
        <v>46</v>
      </c>
      <c r="AI28" s="67" t="s">
        <v>46</v>
      </c>
      <c r="AJ28" s="58">
        <v>0</v>
      </c>
      <c r="AK28" s="73" t="s">
        <v>46</v>
      </c>
      <c r="AL28" s="67" t="s">
        <v>46</v>
      </c>
      <c r="AM28" s="67" t="s">
        <v>46</v>
      </c>
      <c r="AN28" s="67" t="s">
        <v>46</v>
      </c>
      <c r="AO28" s="58">
        <v>0</v>
      </c>
      <c r="AP28" s="25" t="s">
        <v>46</v>
      </c>
      <c r="AQ28" s="26" t="s">
        <v>46</v>
      </c>
      <c r="AR28" s="26" t="s">
        <v>46</v>
      </c>
      <c r="AS28" s="67" t="s">
        <v>46</v>
      </c>
      <c r="AT28" s="58">
        <v>0</v>
      </c>
      <c r="AU28" s="73" t="s">
        <v>46</v>
      </c>
      <c r="AV28" s="67" t="s">
        <v>46</v>
      </c>
      <c r="AW28" s="67" t="s">
        <v>46</v>
      </c>
      <c r="AX28" s="67" t="s">
        <v>46</v>
      </c>
      <c r="AY28" s="58">
        <v>0</v>
      </c>
      <c r="AZ28" s="25" t="s">
        <v>46</v>
      </c>
      <c r="BA28" s="26" t="s">
        <v>46</v>
      </c>
      <c r="BB28" s="26" t="s">
        <v>46</v>
      </c>
      <c r="BC28" s="67" t="s">
        <v>46</v>
      </c>
      <c r="BD28" s="58">
        <v>0</v>
      </c>
      <c r="BE28" s="25" t="s">
        <v>46</v>
      </c>
      <c r="BF28" s="26" t="s">
        <v>46</v>
      </c>
      <c r="BG28" s="26" t="s">
        <v>46</v>
      </c>
      <c r="BH28" s="67" t="s">
        <v>46</v>
      </c>
      <c r="BI28" s="58">
        <v>0</v>
      </c>
      <c r="BJ28" s="25" t="s">
        <v>46</v>
      </c>
      <c r="BK28" s="26" t="s">
        <v>46</v>
      </c>
      <c r="BL28" s="26" t="s">
        <v>46</v>
      </c>
      <c r="BM28" s="67" t="s">
        <v>46</v>
      </c>
      <c r="BN28" s="58">
        <v>0</v>
      </c>
      <c r="BO28" s="25" t="s">
        <v>46</v>
      </c>
      <c r="BP28" s="26" t="s">
        <v>46</v>
      </c>
      <c r="BQ28" s="66" t="s">
        <v>46</v>
      </c>
      <c r="BR28" s="67" t="s">
        <v>46</v>
      </c>
      <c r="BS28" s="58">
        <v>0</v>
      </c>
    </row>
    <row r="29" spans="2:71" ht="15.75" customHeight="1" x14ac:dyDescent="0.25">
      <c r="B29" s="1">
        <v>1</v>
      </c>
      <c r="C29" s="1">
        <f>Scenario_Info!N$10</f>
        <v>45</v>
      </c>
      <c r="D29" s="35">
        <f>Scenario_Info!N$14</f>
        <v>77.3</v>
      </c>
      <c r="E29" s="36">
        <f>Scenario_Info!N$18</f>
        <v>309200</v>
      </c>
      <c r="F29" s="38">
        <f>E29/$D$7</f>
        <v>9.7232704402515718E-2</v>
      </c>
      <c r="G29" s="11">
        <f t="shared" ref="G29:G58" si="0">G$16</f>
        <v>9.0999999999999998E-2</v>
      </c>
      <c r="H29" s="10">
        <f>G29*($F29-0)</f>
        <v>8.8481761006289298E-3</v>
      </c>
      <c r="I29" s="12">
        <f>G17-H29</f>
        <v>12.891151823899371</v>
      </c>
      <c r="J29" s="53">
        <f>H29*$D$7/$D$8</f>
        <v>35.171499999999995</v>
      </c>
      <c r="K29" s="69">
        <f>J29</f>
        <v>35.171499999999995</v>
      </c>
      <c r="L29" s="11">
        <f>L$16</f>
        <v>4.5999999999999999E-2</v>
      </c>
      <c r="M29" s="10">
        <f>L29*($F29-0)</f>
        <v>4.4727044025157231E-3</v>
      </c>
      <c r="N29" s="12">
        <f>L17-M29</f>
        <v>799.99552729559753</v>
      </c>
      <c r="O29" s="53">
        <f>M29*$D$7/$D$8</f>
        <v>17.779</v>
      </c>
      <c r="P29" s="69">
        <f>O29</f>
        <v>17.779</v>
      </c>
      <c r="Q29" s="15">
        <f>Q$16</f>
        <v>5.8</v>
      </c>
      <c r="R29" s="12">
        <f>Q29*($F29-0)</f>
        <v>0.56394968553459113</v>
      </c>
      <c r="S29" s="12">
        <f>Q17-R29</f>
        <v>500.43605031446543</v>
      </c>
      <c r="T29" s="54">
        <f>R29*$D$7/$D$8</f>
        <v>2241.6999999999998</v>
      </c>
      <c r="U29" s="65">
        <f>T29</f>
        <v>2241.6999999999998</v>
      </c>
      <c r="V29" s="15">
        <f>IF($F29&lt;=V$3, W$3, IF(AND($F29&lt;=V$4, $F29&gt;V$3), W$4, IF(AND($F29&lt;=V$5, $F29&gt;V$4), W$5, IF(AND($F29&lt;=V$6, $F29&gt;V$5), W$6, IF(AND($F29&lt;=V$7, $F29&gt;V$6), W$7, IF(AND($F29&lt;=V$8, $F29&gt;V$7), W$8, ""))))))</f>
        <v>743.53385039766806</v>
      </c>
      <c r="W29" s="12">
        <f>V29*($F29-0)</f>
        <v>72.295807088980808</v>
      </c>
      <c r="X29" s="12">
        <f>V17-W29</f>
        <v>402.70419291101916</v>
      </c>
      <c r="Y29" s="54">
        <f>W29*$D$7/$D$8</f>
        <v>287375.83317869873</v>
      </c>
      <c r="Z29" s="65">
        <f>Y29</f>
        <v>287375.83317869873</v>
      </c>
      <c r="AA29" s="81">
        <f>AA$16</f>
        <v>2.5000000000000001E-4</v>
      </c>
      <c r="AB29" s="12">
        <f>AA29*($F29-0)</f>
        <v>2.430817610062893E-5</v>
      </c>
      <c r="AC29" s="12">
        <f>AA17-AB29</f>
        <v>21.899975691823897</v>
      </c>
      <c r="AD29" s="373">
        <f>AB29*$D$7/$D$8</f>
        <v>9.6625000000000003E-2</v>
      </c>
      <c r="AE29" s="374">
        <f>AD29</f>
        <v>9.6625000000000003E-2</v>
      </c>
      <c r="AF29" s="15">
        <f>AF$16</f>
        <v>1.42</v>
      </c>
      <c r="AG29" s="12">
        <f>AF29*($F29-0)</f>
        <v>0.13807044025157231</v>
      </c>
      <c r="AH29" s="13">
        <f>AF17-AG29</f>
        <v>11213.861929559749</v>
      </c>
      <c r="AI29" s="54">
        <f>AG29*$D$7/$D$8</f>
        <v>548.82999999999993</v>
      </c>
      <c r="AJ29" s="65">
        <f>AI29</f>
        <v>548.82999999999993</v>
      </c>
      <c r="AK29" s="32">
        <f>AK$16</f>
        <v>2.59</v>
      </c>
      <c r="AL29" s="34">
        <f>AK29*($F29-0)</f>
        <v>0.25183270440251571</v>
      </c>
      <c r="AM29" s="34">
        <f>AK17-AL29</f>
        <v>27.348167295597484</v>
      </c>
      <c r="AN29" s="55">
        <f>AL29*$D$7/$D$8</f>
        <v>1001.035</v>
      </c>
      <c r="AO29" s="371">
        <f>AN29</f>
        <v>1001.035</v>
      </c>
      <c r="AP29" s="15">
        <f>AP$16</f>
        <v>1.27</v>
      </c>
      <c r="AQ29" s="12">
        <f>AP29*($F29-0)</f>
        <v>0.12348553459119496</v>
      </c>
      <c r="AR29" s="12">
        <f>AP17-AQ29</f>
        <v>125.9765144654088</v>
      </c>
      <c r="AS29" s="54">
        <f>AQ29*$D$7/$D$8</f>
        <v>490.85500000000002</v>
      </c>
      <c r="AT29" s="65">
        <f>AS29</f>
        <v>490.85500000000002</v>
      </c>
      <c r="AU29" s="15">
        <f>IF($F29&lt;=AU$3, AV$3, IF(AND($F29&lt;=AU$4, $F29&gt;AU$3), AV$4, IF(AND($F29&lt;=AU$5, $F29&gt;AU$4), AV$5, IF(AND($F29&lt;=AU$6, $F29&gt;AU$5), AV$6, IF(AND($F29&lt;=AU$7, $F29&gt;AU$6), AV$7, IF(AND($F29&lt;=AU$8, $F29&gt;AU$7), AV$8, ""))))))</f>
        <v>136.53961780758002</v>
      </c>
      <c r="AV29" s="34">
        <f>AU29*($F29-0)</f>
        <v>13.276116297516898</v>
      </c>
      <c r="AW29" s="34">
        <f>AU17-AV29</f>
        <v>13.823883702483103</v>
      </c>
      <c r="AX29" s="55">
        <f>AV29*$D$7/$D$8</f>
        <v>52772.562282629675</v>
      </c>
      <c r="AY29" s="371">
        <f>AX29</f>
        <v>52772.562282629675</v>
      </c>
      <c r="AZ29" s="15">
        <f>IF($F29&lt;=AZ$3, BA$3, IF(AND($F29&lt;=AZ$4, $F29&gt;AZ$3), BA$4, IF(AND($F29&lt;=AZ$5, $F29&gt;AZ$4), BA$5, IF(AND($F29&lt;=AZ$6, $F29&gt;AZ$5), BA$6, IF(AND($F29&lt;=AZ$7, $F29&gt;AZ$6), BA$7, IF(AND($F29&lt;=AZ$8, $F29&gt;AZ$7), BA$8, ""))))))</f>
        <v>1.8199917709704083</v>
      </c>
      <c r="BA29" s="10">
        <f>AZ29*($F29-0)</f>
        <v>0.17696272188177681</v>
      </c>
      <c r="BB29" s="12">
        <f>AZ17-BA29</f>
        <v>4.7530372781182226</v>
      </c>
      <c r="BC29" s="54">
        <f>BA29*$D$7/$D$8</f>
        <v>703.42681948006282</v>
      </c>
      <c r="BD29" s="65">
        <f>BC29</f>
        <v>703.42681948006282</v>
      </c>
      <c r="BE29" s="15">
        <f>IF($F29&lt;=BE$3, BF$3, IF(AND($F29&lt;=BE$4, $F29&gt;BE$3), BF$4, IF(AND($F29&lt;=BE$5, $F29&gt;BE$4), BF$5, IF(AND($F29&lt;=BE$6, $F29&gt;BE$5), BF$6, IF(AND($F29&lt;=BE$7, $F29&gt;BE$6), BF$7, IF(AND($F29&lt;=BE$8, $F29&gt;BE$7), BF$8, ""))))))</f>
        <v>12147.446357004566</v>
      </c>
      <c r="BF29" s="13">
        <f>BE29*($F29-0)</f>
        <v>1181.1290608760414</v>
      </c>
      <c r="BG29" s="13">
        <f>BE17-BF29</f>
        <v>43603.870939123961</v>
      </c>
      <c r="BH29" s="54">
        <f>BF29*$D$7/$D$8</f>
        <v>4694988.0169822648</v>
      </c>
      <c r="BI29" s="65">
        <f>BH29</f>
        <v>4694988.0169822648</v>
      </c>
      <c r="BJ29" s="15">
        <f>BJ$16</f>
        <v>0.40600000000000003</v>
      </c>
      <c r="BK29" s="12">
        <f>BJ29*($F29-0)</f>
        <v>3.9476477987421384E-2</v>
      </c>
      <c r="BL29" s="12">
        <f>BJ17-BK29</f>
        <v>15.960523522012579</v>
      </c>
      <c r="BM29" s="54">
        <f>BK29*$D$7/$D$8</f>
        <v>156.91899999999998</v>
      </c>
      <c r="BN29" s="65">
        <f>BM29</f>
        <v>156.91899999999998</v>
      </c>
      <c r="BO29" s="16">
        <f>BO$16</f>
        <v>29.3</v>
      </c>
      <c r="BP29" s="18">
        <f>BO29*($F29-0)</f>
        <v>2.8489182389937104</v>
      </c>
      <c r="BQ29" s="18">
        <f>BO17-BP29</f>
        <v>1678.1510817610063</v>
      </c>
      <c r="BR29" s="54">
        <f>BP29*$D$7/$D$8</f>
        <v>11324.45</v>
      </c>
      <c r="BS29" s="65">
        <f>BR29</f>
        <v>11324.45</v>
      </c>
    </row>
    <row r="30" spans="2:71" ht="15.75" customHeight="1" x14ac:dyDescent="0.25">
      <c r="B30" s="1">
        <v>2</v>
      </c>
      <c r="C30" s="1">
        <f>Scenario_Info!N$10</f>
        <v>45</v>
      </c>
      <c r="D30" s="35">
        <f>Scenario_Info!N$14</f>
        <v>77.3</v>
      </c>
      <c r="E30" s="36">
        <f>Scenario_Info!N$18</f>
        <v>309200</v>
      </c>
      <c r="F30" s="83">
        <f>F29+Percolation!E30/$D$7</f>
        <v>0.19446540880503144</v>
      </c>
      <c r="G30" s="11">
        <f t="shared" si="0"/>
        <v>9.0999999999999998E-2</v>
      </c>
      <c r="H30" s="10">
        <f>G30*($F30-$F29)</f>
        <v>8.8481761006289298E-3</v>
      </c>
      <c r="I30" s="12">
        <f>I29-H30</f>
        <v>12.882303647798741</v>
      </c>
      <c r="J30" s="53">
        <f t="shared" ref="J30:J58" si="1">H30*$D$7/$D$8</f>
        <v>35.171499999999995</v>
      </c>
      <c r="K30" s="69">
        <f>J30+K29</f>
        <v>70.342999999999989</v>
      </c>
      <c r="L30" s="11">
        <f t="shared" ref="L30:L58" si="2">L$16</f>
        <v>4.5999999999999999E-2</v>
      </c>
      <c r="M30" s="10">
        <f>L30*($F30-$F29)</f>
        <v>4.4727044025157231E-3</v>
      </c>
      <c r="N30" s="12">
        <f>N29-M30</f>
        <v>799.99105459119505</v>
      </c>
      <c r="O30" s="53">
        <f t="shared" ref="O30:O58" si="3">M30*$D$7/$D$8</f>
        <v>17.779</v>
      </c>
      <c r="P30" s="69">
        <f>O30+P29</f>
        <v>35.558</v>
      </c>
      <c r="Q30" s="15">
        <f t="shared" ref="Q30:Q58" si="4">Q$16</f>
        <v>5.8</v>
      </c>
      <c r="R30" s="12">
        <f>Q30*($F30-$F29)</f>
        <v>0.56394968553459113</v>
      </c>
      <c r="S30" s="12">
        <f>S29-R30</f>
        <v>499.87210062893087</v>
      </c>
      <c r="T30" s="54">
        <f t="shared" ref="T30:T58" si="5">R30*$D$7/$D$8</f>
        <v>2241.6999999999998</v>
      </c>
      <c r="U30" s="65">
        <f>T30+U29</f>
        <v>4483.3999999999996</v>
      </c>
      <c r="V30" s="15">
        <f t="shared" ref="V30:V58" si="6">IF($F30&lt;=V$3, W$3, IF(AND($F30&lt;=V$4, $F30&gt;V$3), W$4, IF(AND($F30&lt;=V$5, $F30&gt;V$4), W$5, IF(AND($F30&lt;=V$6, $F30&gt;V$5), W$6, IF(AND($F30&lt;=V$7, $F30&gt;V$6), W$7, IF(AND($F30&lt;=V$8, $F30&gt;V$7), W$8, ""))))))</f>
        <v>743.53385039766806</v>
      </c>
      <c r="W30" s="12">
        <f>V30*($F30-$F29)</f>
        <v>72.295807088980808</v>
      </c>
      <c r="X30" s="12">
        <f>X29-W30</f>
        <v>330.40838582203833</v>
      </c>
      <c r="Y30" s="54">
        <f t="shared" ref="Y30:Y58" si="7">W30*$D$7/$D$8</f>
        <v>287375.83317869873</v>
      </c>
      <c r="Z30" s="65">
        <f>Y30+Z29</f>
        <v>574751.66635739745</v>
      </c>
      <c r="AA30" s="81">
        <f t="shared" ref="AA30:AA58" si="8">AA$16</f>
        <v>2.5000000000000001E-4</v>
      </c>
      <c r="AB30" s="12">
        <f>AA30*($F30-$F29)</f>
        <v>2.430817610062893E-5</v>
      </c>
      <c r="AC30" s="12">
        <f>AC29-AB30</f>
        <v>21.899951383647796</v>
      </c>
      <c r="AD30" s="373">
        <f t="shared" ref="AD30:AD58" si="9">AB30*$D$7/$D$8</f>
        <v>9.6625000000000003E-2</v>
      </c>
      <c r="AE30" s="374">
        <f>AD30+AE29</f>
        <v>0.19325000000000001</v>
      </c>
      <c r="AF30" s="15">
        <f t="shared" ref="AF30:AF58" si="10">AF$16</f>
        <v>1.42</v>
      </c>
      <c r="AG30" s="12">
        <f>AF30*($F30-$F29)</f>
        <v>0.13807044025157231</v>
      </c>
      <c r="AH30" s="13">
        <f>AH29-AG30</f>
        <v>11213.723859119498</v>
      </c>
      <c r="AI30" s="54">
        <f t="shared" ref="AI30:AI58" si="11">AG30*$D$7/$D$8</f>
        <v>548.82999999999993</v>
      </c>
      <c r="AJ30" s="65">
        <f>AI30+AJ29</f>
        <v>1097.6599999999999</v>
      </c>
      <c r="AK30" s="32">
        <f t="shared" ref="AK30:AK58" si="12">AK$16</f>
        <v>2.59</v>
      </c>
      <c r="AL30" s="34">
        <f>AK30*($F30-$F29)</f>
        <v>0.25183270440251571</v>
      </c>
      <c r="AM30" s="34">
        <f>AM29-AL30</f>
        <v>27.096334591194967</v>
      </c>
      <c r="AN30" s="55">
        <f t="shared" ref="AN30:AN58" si="13">AL30*$D$7/$D$8</f>
        <v>1001.035</v>
      </c>
      <c r="AO30" s="371">
        <f>AN30+AO29</f>
        <v>2002.07</v>
      </c>
      <c r="AP30" s="15">
        <f t="shared" ref="AP30:AP58" si="14">AP$16</f>
        <v>1.27</v>
      </c>
      <c r="AQ30" s="12">
        <f>AP30*($F30-$F29)</f>
        <v>0.12348553459119496</v>
      </c>
      <c r="AR30" s="12">
        <f>AR29-AQ30</f>
        <v>125.8530289308176</v>
      </c>
      <c r="AS30" s="54">
        <f t="shared" ref="AS30:AS58" si="15">AQ30*$D$7/$D$8</f>
        <v>490.85500000000002</v>
      </c>
      <c r="AT30" s="65">
        <f>AS30+AT29</f>
        <v>981.71</v>
      </c>
      <c r="AU30" s="15">
        <f t="shared" ref="AU30:AU36" si="16">IF($F30&lt;=AU$3, AV$3, IF(AND($F30&lt;=AU$4, $F30&gt;AU$3), AV$4, IF(AND($F30&lt;=AU$5, $F30&gt;AU$4), AV$5, IF(AND($F30&lt;=AU$6, $F30&gt;AU$5), AV$6, IF(AND($F30&lt;=AU$7, $F30&gt;AU$6), AV$7, IF(AND($F30&lt;=AU$8, $F30&gt;AU$7), AV$8, ""))))))</f>
        <v>136.53961780758002</v>
      </c>
      <c r="AV30" s="34">
        <f>AU30*($F30-$F29)</f>
        <v>13.276116297516898</v>
      </c>
      <c r="AW30" s="34">
        <f>AW29-AV30</f>
        <v>0.54776740496620491</v>
      </c>
      <c r="AX30" s="55">
        <f t="shared" ref="AX30:AX58" si="17">AV30*$D$7/$D$8</f>
        <v>52772.562282629675</v>
      </c>
      <c r="AY30" s="371">
        <f>AX30+AY29</f>
        <v>105545.12456525935</v>
      </c>
      <c r="AZ30" s="15">
        <f t="shared" ref="AZ30:AZ58" si="18">IF($F30&lt;=AZ$3, BA$3, IF(AND($F30&lt;=AZ$4, $F30&gt;AZ$3), BA$4, IF(AND($F30&lt;=AZ$5, $F30&gt;AZ$4), BA$5, IF(AND($F30&lt;=AZ$6, $F30&gt;AZ$5), BA$6, IF(AND($F30&lt;=AZ$7, $F30&gt;AZ$6), BA$7, IF(AND($F30&lt;=AZ$8, $F30&gt;AZ$7), BA$8, ""))))))</f>
        <v>1.8199917709704083</v>
      </c>
      <c r="BA30" s="10">
        <f>AZ30*($F30-$F29)</f>
        <v>0.17696272188177681</v>
      </c>
      <c r="BB30" s="12">
        <f>BB29-BA30</f>
        <v>4.5760745562364455</v>
      </c>
      <c r="BC30" s="54">
        <f t="shared" ref="BC30:BC58" si="19">BA30*$D$7/$D$8</f>
        <v>703.42681948006282</v>
      </c>
      <c r="BD30" s="65">
        <f>BC30+BD29</f>
        <v>1406.8536389601256</v>
      </c>
      <c r="BE30" s="15">
        <f t="shared" ref="BE30:BE58" si="20">IF($F30&lt;=BE$3, BF$3, IF(AND($F30&lt;=BE$4, $F30&gt;BE$3), BF$4, IF(AND($F30&lt;=BE$5, $F30&gt;BE$4), BF$5, IF(AND($F30&lt;=BE$6, $F30&gt;BE$5), BF$6, IF(AND($F30&lt;=BE$7, $F30&gt;BE$6), BF$7, IF(AND($F30&lt;=BE$8, $F30&gt;BE$7), BF$8, ""))))))</f>
        <v>12147.446357004566</v>
      </c>
      <c r="BF30" s="13">
        <f>BE30*($F30-$F29)</f>
        <v>1181.1290608760414</v>
      </c>
      <c r="BG30" s="13">
        <f>BG29-BF30</f>
        <v>42422.741878247922</v>
      </c>
      <c r="BH30" s="54">
        <f t="shared" ref="BH30:BH58" si="21">BF30*$D$7/$D$8</f>
        <v>4694988.0169822648</v>
      </c>
      <c r="BI30" s="65">
        <f>BH30+BI29</f>
        <v>9389976.0339645296</v>
      </c>
      <c r="BJ30" s="15">
        <f t="shared" ref="BJ30:BJ58" si="22">BJ$16</f>
        <v>0.40600000000000003</v>
      </c>
      <c r="BK30" s="12">
        <f>BJ30*($F30-$F29)</f>
        <v>3.9476477987421384E-2</v>
      </c>
      <c r="BL30" s="12">
        <f>BL29-BK30</f>
        <v>15.921047044025158</v>
      </c>
      <c r="BM30" s="54">
        <f t="shared" ref="BM30:BM58" si="23">BK30*$D$7/$D$8</f>
        <v>156.91899999999998</v>
      </c>
      <c r="BN30" s="65">
        <f>BM30+BN29</f>
        <v>313.83799999999997</v>
      </c>
      <c r="BO30" s="16">
        <f t="shared" ref="BO30:BO58" si="24">BO$16</f>
        <v>29.3</v>
      </c>
      <c r="BP30" s="18">
        <f>BO30*($F30-$F29)</f>
        <v>2.8489182389937104</v>
      </c>
      <c r="BQ30" s="18">
        <f>BQ29-BP30</f>
        <v>1675.3021635220125</v>
      </c>
      <c r="BR30" s="54">
        <f t="shared" ref="BR30:BR58" si="25">BP30*$D$7/$D$8</f>
        <v>11324.45</v>
      </c>
      <c r="BS30" s="65">
        <f>BR30+BS29</f>
        <v>22648.9</v>
      </c>
    </row>
    <row r="31" spans="2:71" ht="15.75" customHeight="1" x14ac:dyDescent="0.25">
      <c r="B31" s="1">
        <v>3</v>
      </c>
      <c r="C31" s="1">
        <f>Scenario_Info!N$10</f>
        <v>45</v>
      </c>
      <c r="D31" s="35">
        <f>Scenario_Info!N$14</f>
        <v>77.3</v>
      </c>
      <c r="E31" s="36">
        <f>Scenario_Info!N$18</f>
        <v>309200</v>
      </c>
      <c r="F31" s="38">
        <f>F30+Percolation!E31/$D$7</f>
        <v>0.29169811320754713</v>
      </c>
      <c r="G31" s="11">
        <f t="shared" si="0"/>
        <v>9.0999999999999998E-2</v>
      </c>
      <c r="H31" s="10">
        <f t="shared" ref="H31:H58" si="26">G31*($F31-$F30)</f>
        <v>8.8481761006289281E-3</v>
      </c>
      <c r="I31" s="12">
        <f>I30-H31</f>
        <v>12.873455471698112</v>
      </c>
      <c r="J31" s="53">
        <f t="shared" si="1"/>
        <v>35.171499999999988</v>
      </c>
      <c r="K31" s="69">
        <f t="shared" ref="K31:K58" si="27">J31+K30</f>
        <v>105.51449999999997</v>
      </c>
      <c r="L31" s="11">
        <f t="shared" si="2"/>
        <v>4.5999999999999999E-2</v>
      </c>
      <c r="M31" s="10">
        <f t="shared" ref="M31:M58" si="28">L31*($F31-$F30)</f>
        <v>4.4727044025157214E-3</v>
      </c>
      <c r="N31" s="12">
        <f t="shared" ref="N31:N58" si="29">N30-M31</f>
        <v>799.98658188679258</v>
      </c>
      <c r="O31" s="53">
        <f t="shared" si="3"/>
        <v>17.778999999999993</v>
      </c>
      <c r="P31" s="69">
        <f t="shared" ref="P31:P58" si="30">O31+P30</f>
        <v>53.336999999999989</v>
      </c>
      <c r="Q31" s="15">
        <f t="shared" si="4"/>
        <v>5.8</v>
      </c>
      <c r="R31" s="12">
        <f t="shared" ref="R31:R58" si="31">Q31*($F31-$F30)</f>
        <v>0.56394968553459102</v>
      </c>
      <c r="S31" s="12">
        <f t="shared" ref="S31:S58" si="32">S30-R31</f>
        <v>499.3081509433963</v>
      </c>
      <c r="T31" s="54">
        <f t="shared" si="5"/>
        <v>2241.6999999999994</v>
      </c>
      <c r="U31" s="65">
        <f t="shared" ref="U31:U58" si="33">T31+U30</f>
        <v>6725.0999999999985</v>
      </c>
      <c r="V31" s="15">
        <f t="shared" si="6"/>
        <v>36.968341349127144</v>
      </c>
      <c r="W31" s="12">
        <f t="shared" ref="W31:W58" si="34">V31*($F31-$F30)</f>
        <v>3.5945318066509775</v>
      </c>
      <c r="X31" s="12">
        <f t="shared" ref="X31:X58" si="35">X30-W31</f>
        <v>326.81385401538734</v>
      </c>
      <c r="Y31" s="54">
        <f t="shared" si="7"/>
        <v>14288.263931437636</v>
      </c>
      <c r="Z31" s="65">
        <f t="shared" ref="Z31:Z58" si="36">Y31+Z30</f>
        <v>589039.93028883508</v>
      </c>
      <c r="AA31" s="81">
        <f t="shared" si="8"/>
        <v>2.5000000000000001E-4</v>
      </c>
      <c r="AB31" s="12">
        <f t="shared" ref="AB31:AB58" si="37">AA31*($F31-$F30)</f>
        <v>2.4308176100628923E-5</v>
      </c>
      <c r="AC31" s="12">
        <f t="shared" ref="AC31:AC58" si="38">AC30-AB31</f>
        <v>21.899927075471695</v>
      </c>
      <c r="AD31" s="373">
        <f t="shared" si="9"/>
        <v>9.6624999999999975E-2</v>
      </c>
      <c r="AE31" s="374">
        <f t="shared" ref="AE31:AE58" si="39">AD31+AE30</f>
        <v>0.28987499999999999</v>
      </c>
      <c r="AF31" s="15">
        <f t="shared" si="10"/>
        <v>1.42</v>
      </c>
      <c r="AG31" s="12">
        <f t="shared" ref="AG31:AG58" si="40">AF31*($F31-$F30)</f>
        <v>0.13807044025157228</v>
      </c>
      <c r="AH31" s="13">
        <f t="shared" ref="AH31:AH58" si="41">AH30-AG31</f>
        <v>11213.585788679247</v>
      </c>
      <c r="AI31" s="54">
        <f t="shared" si="11"/>
        <v>548.82999999999981</v>
      </c>
      <c r="AJ31" s="65">
        <f t="shared" ref="AJ31:AJ58" si="42">AI31+AJ30</f>
        <v>1646.4899999999998</v>
      </c>
      <c r="AK31" s="32">
        <f t="shared" si="12"/>
        <v>2.59</v>
      </c>
      <c r="AL31" s="34">
        <f t="shared" ref="AL31:AL58" si="43">AK31*($F31-$F30)</f>
        <v>0.25183270440251565</v>
      </c>
      <c r="AM31" s="34">
        <f t="shared" ref="AM31:AM58" si="44">AM30-AL31</f>
        <v>26.84450188679245</v>
      </c>
      <c r="AN31" s="55">
        <f t="shared" si="13"/>
        <v>1001.0349999999997</v>
      </c>
      <c r="AO31" s="371">
        <f t="shared" ref="AO31:AO58" si="45">AN31+AO30</f>
        <v>3003.1049999999996</v>
      </c>
      <c r="AP31" s="15">
        <f t="shared" si="14"/>
        <v>1.27</v>
      </c>
      <c r="AQ31" s="12">
        <f t="shared" ref="AQ31:AQ58" si="46">AP31*($F31-$F30)</f>
        <v>0.12348553459119493</v>
      </c>
      <c r="AR31" s="12">
        <f t="shared" ref="AR31:AR58" si="47">AR30-AQ31</f>
        <v>125.7295433962264</v>
      </c>
      <c r="AS31" s="54">
        <f t="shared" si="15"/>
        <v>490.85499999999985</v>
      </c>
      <c r="AT31" s="65">
        <f t="shared" ref="AT31:AT58" si="48">AS31+AT30</f>
        <v>1472.5649999999998</v>
      </c>
      <c r="AU31" s="15">
        <f t="shared" si="16"/>
        <v>1.4414913798468167</v>
      </c>
      <c r="AV31" s="34">
        <f t="shared" ref="AV31:AV58" si="49">AU31*($F31-$F30)</f>
        <v>0.14016010523542</v>
      </c>
      <c r="AW31" s="34">
        <f t="shared" ref="AW31:AW58" si="50">AW30-AV31</f>
        <v>0.40760729973078491</v>
      </c>
      <c r="AX31" s="55">
        <f t="shared" si="17"/>
        <v>557.13641831079451</v>
      </c>
      <c r="AY31" s="371">
        <f t="shared" ref="AY31:AY58" si="51">AX31+AY30</f>
        <v>106102.26098357014</v>
      </c>
      <c r="AZ31" s="15">
        <f t="shared" si="18"/>
        <v>0.35132655987788203</v>
      </c>
      <c r="BA31" s="10">
        <f t="shared" ref="BA31:BA58" si="52">AZ31*($F31-$F30)</f>
        <v>3.4160431545358833E-2</v>
      </c>
      <c r="BB31" s="12">
        <f t="shared" ref="BB31:BB58" si="53">BB30-BA31</f>
        <v>4.541914124691087</v>
      </c>
      <c r="BC31" s="54">
        <f t="shared" si="19"/>
        <v>135.78771539280137</v>
      </c>
      <c r="BD31" s="65">
        <f t="shared" ref="BD31:BD58" si="54">BC31+BD30</f>
        <v>1542.641354352927</v>
      </c>
      <c r="BE31" s="15">
        <f t="shared" si="20"/>
        <v>3970.0648289253159</v>
      </c>
      <c r="BF31" s="13">
        <f t="shared" ref="BF31:BF58" si="55">BE31*($F31-$F30)</f>
        <v>386.02013996971925</v>
      </c>
      <c r="BG31" s="13">
        <f t="shared" ref="BG31:BG58" si="56">BG30-BF31</f>
        <v>42036.721738278204</v>
      </c>
      <c r="BH31" s="54">
        <f t="shared" si="21"/>
        <v>1534430.0563796342</v>
      </c>
      <c r="BI31" s="65">
        <f t="shared" ref="BI31:BI58" si="57">BH31+BI30</f>
        <v>10924406.090344165</v>
      </c>
      <c r="BJ31" s="15">
        <f t="shared" si="22"/>
        <v>0.40600000000000003</v>
      </c>
      <c r="BK31" s="12">
        <f t="shared" ref="BK31:BK58" si="58">BJ31*($F31-$F30)</f>
        <v>3.947647798742137E-2</v>
      </c>
      <c r="BL31" s="12">
        <f t="shared" ref="BL31:BL58" si="59">BL30-BK31</f>
        <v>15.881570566037738</v>
      </c>
      <c r="BM31" s="54">
        <f t="shared" si="23"/>
        <v>156.91899999999995</v>
      </c>
      <c r="BN31" s="65">
        <f t="shared" ref="BN31:BN58" si="60">BM31+BN30</f>
        <v>470.75699999999995</v>
      </c>
      <c r="BO31" s="16">
        <f t="shared" si="24"/>
        <v>29.3</v>
      </c>
      <c r="BP31" s="18">
        <f t="shared" ref="BP31:BP58" si="61">BO31*($F31-$F30)</f>
        <v>2.84891823899371</v>
      </c>
      <c r="BQ31" s="18">
        <f t="shared" ref="BQ31:BQ58" si="62">BQ30-BP31</f>
        <v>1672.4532452830188</v>
      </c>
      <c r="BR31" s="54">
        <f t="shared" si="25"/>
        <v>11324.449999999997</v>
      </c>
      <c r="BS31" s="65">
        <f t="shared" ref="BS31:BS58" si="63">BR31+BS30</f>
        <v>33973.35</v>
      </c>
    </row>
    <row r="32" spans="2:71" ht="15.75" customHeight="1" x14ac:dyDescent="0.25">
      <c r="B32" s="1">
        <v>4</v>
      </c>
      <c r="C32" s="1">
        <f>Scenario_Info!N$10</f>
        <v>45</v>
      </c>
      <c r="D32" s="35">
        <f>Scenario_Info!N$14</f>
        <v>77.3</v>
      </c>
      <c r="E32" s="36">
        <f>Scenario_Info!N$18</f>
        <v>309200</v>
      </c>
      <c r="F32" s="38">
        <f>F31+Percolation!E32/$D$7</f>
        <v>0.38893081761006287</v>
      </c>
      <c r="G32" s="11">
        <f t="shared" si="0"/>
        <v>9.0999999999999998E-2</v>
      </c>
      <c r="H32" s="10">
        <f t="shared" si="26"/>
        <v>8.8481761006289333E-3</v>
      </c>
      <c r="I32" s="12">
        <f>I31-H32</f>
        <v>12.864607295597482</v>
      </c>
      <c r="J32" s="53">
        <f t="shared" si="1"/>
        <v>35.171500000000009</v>
      </c>
      <c r="K32" s="69">
        <f t="shared" si="27"/>
        <v>140.68599999999998</v>
      </c>
      <c r="L32" s="11">
        <f t="shared" si="2"/>
        <v>4.5999999999999999E-2</v>
      </c>
      <c r="M32" s="10">
        <f t="shared" si="28"/>
        <v>4.472704402515724E-3</v>
      </c>
      <c r="N32" s="12">
        <f t="shared" si="29"/>
        <v>799.9821091823901</v>
      </c>
      <c r="O32" s="53">
        <f t="shared" si="3"/>
        <v>17.779000000000003</v>
      </c>
      <c r="P32" s="69">
        <f t="shared" si="30"/>
        <v>71.115999999999985</v>
      </c>
      <c r="Q32" s="15">
        <f t="shared" si="4"/>
        <v>5.8</v>
      </c>
      <c r="R32" s="12">
        <f t="shared" si="31"/>
        <v>0.56394968553459135</v>
      </c>
      <c r="S32" s="12">
        <f t="shared" si="32"/>
        <v>498.74420125786173</v>
      </c>
      <c r="T32" s="54">
        <f t="shared" si="5"/>
        <v>2241.7000000000007</v>
      </c>
      <c r="U32" s="65">
        <f t="shared" si="33"/>
        <v>8966.7999999999993</v>
      </c>
      <c r="V32" s="15">
        <f t="shared" si="6"/>
        <v>36.968341349127144</v>
      </c>
      <c r="W32" s="12">
        <f t="shared" si="34"/>
        <v>3.5945318066509797</v>
      </c>
      <c r="X32" s="12">
        <f t="shared" si="35"/>
        <v>323.21932220873634</v>
      </c>
      <c r="Y32" s="54">
        <f t="shared" si="7"/>
        <v>14288.263931437645</v>
      </c>
      <c r="Z32" s="65">
        <f t="shared" si="36"/>
        <v>603328.19422027271</v>
      </c>
      <c r="AA32" s="81">
        <f t="shared" si="8"/>
        <v>2.5000000000000001E-4</v>
      </c>
      <c r="AB32" s="12">
        <f t="shared" si="37"/>
        <v>2.4308176100628937E-5</v>
      </c>
      <c r="AC32" s="12">
        <f t="shared" si="38"/>
        <v>21.899902767295593</v>
      </c>
      <c r="AD32" s="373">
        <f t="shared" si="9"/>
        <v>9.662500000000003E-2</v>
      </c>
      <c r="AE32" s="374">
        <f t="shared" si="39"/>
        <v>0.38650000000000001</v>
      </c>
      <c r="AF32" s="15">
        <f t="shared" si="10"/>
        <v>1.42</v>
      </c>
      <c r="AG32" s="12">
        <f t="shared" si="40"/>
        <v>0.13807044025157236</v>
      </c>
      <c r="AH32" s="13">
        <f t="shared" si="41"/>
        <v>11213.447718238996</v>
      </c>
      <c r="AI32" s="54">
        <f t="shared" si="11"/>
        <v>548.83000000000015</v>
      </c>
      <c r="AJ32" s="65">
        <f t="shared" si="42"/>
        <v>2195.3199999999997</v>
      </c>
      <c r="AK32" s="32">
        <f t="shared" si="12"/>
        <v>2.59</v>
      </c>
      <c r="AL32" s="34">
        <f t="shared" si="43"/>
        <v>0.25183270440251576</v>
      </c>
      <c r="AM32" s="34">
        <f t="shared" si="44"/>
        <v>26.592669182389933</v>
      </c>
      <c r="AN32" s="55">
        <f t="shared" si="13"/>
        <v>1001.0350000000002</v>
      </c>
      <c r="AO32" s="371">
        <f t="shared" si="45"/>
        <v>4004.14</v>
      </c>
      <c r="AP32" s="15">
        <f t="shared" si="14"/>
        <v>1.27</v>
      </c>
      <c r="AQ32" s="12">
        <f t="shared" si="46"/>
        <v>0.123485534591195</v>
      </c>
      <c r="AR32" s="12">
        <f t="shared" si="47"/>
        <v>125.60605786163521</v>
      </c>
      <c r="AS32" s="54">
        <f t="shared" si="15"/>
        <v>490.85500000000013</v>
      </c>
      <c r="AT32" s="65">
        <f t="shared" si="48"/>
        <v>1963.42</v>
      </c>
      <c r="AU32" s="15">
        <f t="shared" si="16"/>
        <v>1.4414913798468167</v>
      </c>
      <c r="AV32" s="34">
        <f t="shared" si="49"/>
        <v>0.14016010523542008</v>
      </c>
      <c r="AW32" s="34">
        <f t="shared" si="50"/>
        <v>0.2674471944953648</v>
      </c>
      <c r="AX32" s="55">
        <f t="shared" si="17"/>
        <v>557.13641831079485</v>
      </c>
      <c r="AY32" s="371">
        <f t="shared" si="51"/>
        <v>106659.39740188094</v>
      </c>
      <c r="AZ32" s="15">
        <f t="shared" si="18"/>
        <v>0.35132655987788203</v>
      </c>
      <c r="BA32" s="10">
        <f t="shared" si="52"/>
        <v>3.4160431545358853E-2</v>
      </c>
      <c r="BB32" s="12">
        <f t="shared" si="53"/>
        <v>4.5077536931457285</v>
      </c>
      <c r="BC32" s="54">
        <f t="shared" si="19"/>
        <v>135.78771539280143</v>
      </c>
      <c r="BD32" s="65">
        <f t="shared" si="54"/>
        <v>1678.4290697457284</v>
      </c>
      <c r="BE32" s="15">
        <f t="shared" si="20"/>
        <v>3970.0648289253159</v>
      </c>
      <c r="BF32" s="13">
        <f t="shared" si="55"/>
        <v>386.02013996971948</v>
      </c>
      <c r="BG32" s="13">
        <f t="shared" si="56"/>
        <v>41650.701598308486</v>
      </c>
      <c r="BH32" s="54">
        <f t="shared" si="21"/>
        <v>1534430.0563796351</v>
      </c>
      <c r="BI32" s="65">
        <f t="shared" si="57"/>
        <v>12458836.146723799</v>
      </c>
      <c r="BJ32" s="15">
        <f t="shared" si="22"/>
        <v>0.40600000000000003</v>
      </c>
      <c r="BK32" s="12">
        <f t="shared" si="58"/>
        <v>3.9476477987421398E-2</v>
      </c>
      <c r="BL32" s="12">
        <f t="shared" si="59"/>
        <v>15.842094088050317</v>
      </c>
      <c r="BM32" s="54">
        <f t="shared" si="23"/>
        <v>156.91900000000004</v>
      </c>
      <c r="BN32" s="65">
        <f t="shared" si="60"/>
        <v>627.67599999999993</v>
      </c>
      <c r="BO32" s="16">
        <f t="shared" si="24"/>
        <v>29.3</v>
      </c>
      <c r="BP32" s="18">
        <f t="shared" si="61"/>
        <v>2.8489182389937113</v>
      </c>
      <c r="BQ32" s="18">
        <f t="shared" si="62"/>
        <v>1669.604327044025</v>
      </c>
      <c r="BR32" s="54">
        <f t="shared" si="25"/>
        <v>11324.450000000003</v>
      </c>
      <c r="BS32" s="65">
        <f t="shared" si="63"/>
        <v>45297.8</v>
      </c>
    </row>
    <row r="33" spans="2:71" ht="15.75" customHeight="1" x14ac:dyDescent="0.25">
      <c r="B33" s="1">
        <v>5</v>
      </c>
      <c r="C33" s="1">
        <f>Scenario_Info!N$10</f>
        <v>45</v>
      </c>
      <c r="D33" s="35">
        <f>Scenario_Info!N$14</f>
        <v>77.3</v>
      </c>
      <c r="E33" s="36">
        <f>Scenario_Info!N$18</f>
        <v>309200</v>
      </c>
      <c r="F33" s="83">
        <f>F32+Percolation!E33/$D$7</f>
        <v>0.48616352201257862</v>
      </c>
      <c r="G33" s="11">
        <f t="shared" si="0"/>
        <v>9.0999999999999998E-2</v>
      </c>
      <c r="H33" s="10">
        <f t="shared" si="26"/>
        <v>8.8481761006289333E-3</v>
      </c>
      <c r="I33" s="12">
        <f>I32-H33</f>
        <v>12.855759119496852</v>
      </c>
      <c r="J33" s="53">
        <f t="shared" si="1"/>
        <v>35.171500000000009</v>
      </c>
      <c r="K33" s="69">
        <f t="shared" si="27"/>
        <v>175.85749999999999</v>
      </c>
      <c r="L33" s="11">
        <f t="shared" si="2"/>
        <v>4.5999999999999999E-2</v>
      </c>
      <c r="M33" s="10">
        <f t="shared" si="28"/>
        <v>4.472704402515724E-3</v>
      </c>
      <c r="N33" s="12">
        <f t="shared" si="29"/>
        <v>799.97763647798763</v>
      </c>
      <c r="O33" s="53">
        <f t="shared" si="3"/>
        <v>17.779000000000003</v>
      </c>
      <c r="P33" s="69">
        <f t="shared" si="30"/>
        <v>88.894999999999982</v>
      </c>
      <c r="Q33" s="15">
        <f t="shared" si="4"/>
        <v>5.8</v>
      </c>
      <c r="R33" s="12">
        <f t="shared" si="31"/>
        <v>0.56394968553459135</v>
      </c>
      <c r="S33" s="12">
        <f t="shared" si="32"/>
        <v>498.18025157232717</v>
      </c>
      <c r="T33" s="54">
        <f t="shared" si="5"/>
        <v>2241.7000000000007</v>
      </c>
      <c r="U33" s="65">
        <f t="shared" si="33"/>
        <v>11208.5</v>
      </c>
      <c r="V33" s="15">
        <f t="shared" si="6"/>
        <v>36.968341349127144</v>
      </c>
      <c r="W33" s="12">
        <f t="shared" si="34"/>
        <v>3.5945318066509797</v>
      </c>
      <c r="X33" s="12">
        <f t="shared" si="35"/>
        <v>319.62479040208535</v>
      </c>
      <c r="Y33" s="54">
        <f t="shared" si="7"/>
        <v>14288.263931437645</v>
      </c>
      <c r="Z33" s="65">
        <f t="shared" si="36"/>
        <v>617616.45815171034</v>
      </c>
      <c r="AA33" s="81">
        <f t="shared" si="8"/>
        <v>2.5000000000000001E-4</v>
      </c>
      <c r="AB33" s="12">
        <f t="shared" si="37"/>
        <v>2.4308176100628937E-5</v>
      </c>
      <c r="AC33" s="12">
        <f t="shared" si="38"/>
        <v>21.899878459119492</v>
      </c>
      <c r="AD33" s="373">
        <f t="shared" si="9"/>
        <v>9.662500000000003E-2</v>
      </c>
      <c r="AE33" s="374">
        <f t="shared" si="39"/>
        <v>0.48312500000000003</v>
      </c>
      <c r="AF33" s="15">
        <f t="shared" si="10"/>
        <v>1.42</v>
      </c>
      <c r="AG33" s="12">
        <f t="shared" si="40"/>
        <v>0.13807044025157236</v>
      </c>
      <c r="AH33" s="13">
        <f t="shared" si="41"/>
        <v>11213.309647798746</v>
      </c>
      <c r="AI33" s="54">
        <f t="shared" si="11"/>
        <v>548.83000000000015</v>
      </c>
      <c r="AJ33" s="65">
        <f t="shared" si="42"/>
        <v>2744.1499999999996</v>
      </c>
      <c r="AK33" s="32">
        <f t="shared" si="12"/>
        <v>2.59</v>
      </c>
      <c r="AL33" s="34">
        <f t="shared" si="43"/>
        <v>0.25183270440251576</v>
      </c>
      <c r="AM33" s="34">
        <f t="shared" si="44"/>
        <v>26.340836477987416</v>
      </c>
      <c r="AN33" s="55">
        <f t="shared" si="13"/>
        <v>1001.0350000000002</v>
      </c>
      <c r="AO33" s="371">
        <f t="shared" si="45"/>
        <v>5005.1750000000002</v>
      </c>
      <c r="AP33" s="15">
        <f t="shared" si="14"/>
        <v>1.27</v>
      </c>
      <c r="AQ33" s="12">
        <f t="shared" si="46"/>
        <v>0.123485534591195</v>
      </c>
      <c r="AR33" s="12">
        <f t="shared" si="47"/>
        <v>125.48257232704401</v>
      </c>
      <c r="AS33" s="54">
        <f t="shared" si="15"/>
        <v>490.85500000000013</v>
      </c>
      <c r="AT33" s="65">
        <f t="shared" si="48"/>
        <v>2454.2750000000001</v>
      </c>
      <c r="AU33" s="15">
        <f t="shared" si="16"/>
        <v>1.4414913798468167</v>
      </c>
      <c r="AV33" s="34">
        <f t="shared" si="49"/>
        <v>0.14016010523542008</v>
      </c>
      <c r="AW33" s="34">
        <f t="shared" si="50"/>
        <v>0.12728708925994472</v>
      </c>
      <c r="AX33" s="55">
        <f t="shared" si="17"/>
        <v>557.13641831079485</v>
      </c>
      <c r="AY33" s="371">
        <f t="shared" si="51"/>
        <v>107216.53382019173</v>
      </c>
      <c r="AZ33" s="15">
        <f t="shared" si="18"/>
        <v>0.35132655987788203</v>
      </c>
      <c r="BA33" s="10">
        <f t="shared" si="52"/>
        <v>3.4160431545358853E-2</v>
      </c>
      <c r="BB33" s="12">
        <f t="shared" si="53"/>
        <v>4.47359326160037</v>
      </c>
      <c r="BC33" s="54">
        <f t="shared" si="19"/>
        <v>135.78771539280143</v>
      </c>
      <c r="BD33" s="65">
        <f t="shared" si="54"/>
        <v>1814.2167851385298</v>
      </c>
      <c r="BE33" s="15">
        <f t="shared" si="20"/>
        <v>3970.0648289253159</v>
      </c>
      <c r="BF33" s="13">
        <f t="shared" si="55"/>
        <v>386.02013996971948</v>
      </c>
      <c r="BG33" s="13">
        <f t="shared" si="56"/>
        <v>41264.681458338768</v>
      </c>
      <c r="BH33" s="54">
        <f t="shared" si="21"/>
        <v>1534430.0563796351</v>
      </c>
      <c r="BI33" s="65">
        <f t="shared" si="57"/>
        <v>13993266.203103434</v>
      </c>
      <c r="BJ33" s="15">
        <f t="shared" si="22"/>
        <v>0.40600000000000003</v>
      </c>
      <c r="BK33" s="12">
        <f t="shared" si="58"/>
        <v>3.9476477987421398E-2</v>
      </c>
      <c r="BL33" s="12">
        <f t="shared" si="59"/>
        <v>15.802617610062896</v>
      </c>
      <c r="BM33" s="54">
        <f t="shared" si="23"/>
        <v>156.91900000000004</v>
      </c>
      <c r="BN33" s="65">
        <f t="shared" si="60"/>
        <v>784.59500000000003</v>
      </c>
      <c r="BO33" s="16">
        <f t="shared" si="24"/>
        <v>29.3</v>
      </c>
      <c r="BP33" s="18">
        <f t="shared" si="61"/>
        <v>2.8489182389937113</v>
      </c>
      <c r="BQ33" s="18">
        <f t="shared" si="62"/>
        <v>1666.7554088050313</v>
      </c>
      <c r="BR33" s="54">
        <f t="shared" si="25"/>
        <v>11324.450000000003</v>
      </c>
      <c r="BS33" s="65">
        <f t="shared" si="63"/>
        <v>56622.250000000007</v>
      </c>
    </row>
    <row r="34" spans="2:71" ht="15.75" customHeight="1" x14ac:dyDescent="0.25">
      <c r="B34" s="1">
        <v>6</v>
      </c>
      <c r="C34" s="1">
        <f>Scenario_Info!N$10</f>
        <v>45</v>
      </c>
      <c r="D34" s="35">
        <f>Scenario_Info!N$14</f>
        <v>77.3</v>
      </c>
      <c r="E34" s="36">
        <f>Scenario_Info!N$18</f>
        <v>309200</v>
      </c>
      <c r="F34" s="37">
        <f>F33+Percolation!E34/$D$7</f>
        <v>0.58339622641509437</v>
      </c>
      <c r="G34" s="11">
        <f t="shared" si="0"/>
        <v>9.0999999999999998E-2</v>
      </c>
      <c r="H34" s="10">
        <f t="shared" si="26"/>
        <v>8.8481761006289333E-3</v>
      </c>
      <c r="I34" s="12">
        <f>I33-H34</f>
        <v>12.846910943396223</v>
      </c>
      <c r="J34" s="53">
        <f t="shared" si="1"/>
        <v>35.171500000000009</v>
      </c>
      <c r="K34" s="69">
        <f t="shared" si="27"/>
        <v>211.029</v>
      </c>
      <c r="L34" s="11">
        <f t="shared" si="2"/>
        <v>4.5999999999999999E-2</v>
      </c>
      <c r="M34" s="10">
        <f t="shared" si="28"/>
        <v>4.472704402515724E-3</v>
      </c>
      <c r="N34" s="12">
        <f t="shared" si="29"/>
        <v>799.97316377358516</v>
      </c>
      <c r="O34" s="53">
        <f t="shared" si="3"/>
        <v>17.779000000000003</v>
      </c>
      <c r="P34" s="69">
        <f t="shared" si="30"/>
        <v>106.67399999999998</v>
      </c>
      <c r="Q34" s="15">
        <f t="shared" si="4"/>
        <v>5.8</v>
      </c>
      <c r="R34" s="12">
        <f t="shared" si="31"/>
        <v>0.56394968553459135</v>
      </c>
      <c r="S34" s="12">
        <f t="shared" si="32"/>
        <v>497.6163018867926</v>
      </c>
      <c r="T34" s="54">
        <f t="shared" si="5"/>
        <v>2241.7000000000007</v>
      </c>
      <c r="U34" s="65">
        <f t="shared" si="33"/>
        <v>13450.2</v>
      </c>
      <c r="V34" s="15">
        <f t="shared" si="6"/>
        <v>10.877768906861643</v>
      </c>
      <c r="W34" s="12">
        <f t="shared" si="34"/>
        <v>1.0576748886797549</v>
      </c>
      <c r="X34" s="12">
        <f t="shared" si="35"/>
        <v>318.56711551340561</v>
      </c>
      <c r="Y34" s="54">
        <f t="shared" si="7"/>
        <v>4204.257682502026</v>
      </c>
      <c r="Z34" s="65">
        <f t="shared" si="36"/>
        <v>621820.71583421237</v>
      </c>
      <c r="AA34" s="81">
        <f t="shared" si="8"/>
        <v>2.5000000000000001E-4</v>
      </c>
      <c r="AB34" s="12">
        <f t="shared" si="37"/>
        <v>2.4308176100628937E-5</v>
      </c>
      <c r="AC34" s="12">
        <f t="shared" si="38"/>
        <v>21.899854150943391</v>
      </c>
      <c r="AD34" s="373">
        <f t="shared" si="9"/>
        <v>9.662500000000003E-2</v>
      </c>
      <c r="AE34" s="374">
        <f t="shared" si="39"/>
        <v>0.5797500000000001</v>
      </c>
      <c r="AF34" s="15">
        <f t="shared" si="10"/>
        <v>1.42</v>
      </c>
      <c r="AG34" s="12">
        <f t="shared" si="40"/>
        <v>0.13807044025157236</v>
      </c>
      <c r="AH34" s="13">
        <f t="shared" si="41"/>
        <v>11213.171577358495</v>
      </c>
      <c r="AI34" s="54">
        <f t="shared" si="11"/>
        <v>548.83000000000015</v>
      </c>
      <c r="AJ34" s="65">
        <f t="shared" si="42"/>
        <v>3292.9799999999996</v>
      </c>
      <c r="AK34" s="32">
        <f t="shared" si="12"/>
        <v>2.59</v>
      </c>
      <c r="AL34" s="34">
        <f t="shared" si="43"/>
        <v>0.25183270440251576</v>
      </c>
      <c r="AM34" s="34">
        <f t="shared" si="44"/>
        <v>26.089003773584899</v>
      </c>
      <c r="AN34" s="55">
        <f t="shared" si="13"/>
        <v>1001.0350000000002</v>
      </c>
      <c r="AO34" s="371">
        <f t="shared" si="45"/>
        <v>6006.21</v>
      </c>
      <c r="AP34" s="15">
        <f t="shared" si="14"/>
        <v>1.27</v>
      </c>
      <c r="AQ34" s="12">
        <f t="shared" si="46"/>
        <v>0.123485534591195</v>
      </c>
      <c r="AR34" s="12">
        <f t="shared" si="47"/>
        <v>125.35908679245281</v>
      </c>
      <c r="AS34" s="54">
        <f t="shared" si="15"/>
        <v>490.85500000000013</v>
      </c>
      <c r="AT34" s="65">
        <f t="shared" si="48"/>
        <v>2945.13</v>
      </c>
      <c r="AU34" s="15">
        <f t="shared" si="16"/>
        <v>0.4169464234844949</v>
      </c>
      <c r="AV34" s="34">
        <f t="shared" si="49"/>
        <v>4.0540828346354044E-2</v>
      </c>
      <c r="AW34" s="34">
        <f t="shared" si="50"/>
        <v>8.6746260913590681E-2</v>
      </c>
      <c r="AX34" s="55">
        <f t="shared" si="17"/>
        <v>161.14979267675733</v>
      </c>
      <c r="AY34" s="371">
        <f t="shared" si="51"/>
        <v>107377.6836128685</v>
      </c>
      <c r="AZ34" s="15">
        <f t="shared" si="18"/>
        <v>7.7815796834091192E-2</v>
      </c>
      <c r="BA34" s="10">
        <f t="shared" si="52"/>
        <v>7.5662403714154098E-3</v>
      </c>
      <c r="BB34" s="12">
        <f t="shared" si="53"/>
        <v>4.4660270212289541</v>
      </c>
      <c r="BC34" s="54">
        <f t="shared" si="19"/>
        <v>30.075805476376253</v>
      </c>
      <c r="BD34" s="65">
        <f t="shared" si="54"/>
        <v>1844.292590614906</v>
      </c>
      <c r="BE34" s="15">
        <f t="shared" si="20"/>
        <v>2457.7990949398395</v>
      </c>
      <c r="BF34" s="13">
        <f t="shared" si="55"/>
        <v>238.97845287905614</v>
      </c>
      <c r="BG34" s="13">
        <f t="shared" si="56"/>
        <v>41025.703005459713</v>
      </c>
      <c r="BH34" s="54">
        <f t="shared" si="21"/>
        <v>949939.35019424814</v>
      </c>
      <c r="BI34" s="65">
        <f t="shared" si="57"/>
        <v>14943205.553297682</v>
      </c>
      <c r="BJ34" s="15">
        <f t="shared" si="22"/>
        <v>0.40600000000000003</v>
      </c>
      <c r="BK34" s="12">
        <f t="shared" si="58"/>
        <v>3.9476477987421398E-2</v>
      </c>
      <c r="BL34" s="12">
        <f t="shared" si="59"/>
        <v>15.763141132075475</v>
      </c>
      <c r="BM34" s="54">
        <f t="shared" si="23"/>
        <v>156.91900000000004</v>
      </c>
      <c r="BN34" s="65">
        <f t="shared" si="60"/>
        <v>941.51400000000012</v>
      </c>
      <c r="BO34" s="16">
        <f t="shared" si="24"/>
        <v>29.3</v>
      </c>
      <c r="BP34" s="18">
        <f t="shared" si="61"/>
        <v>2.8489182389937113</v>
      </c>
      <c r="BQ34" s="18">
        <f t="shared" si="62"/>
        <v>1663.9064905660375</v>
      </c>
      <c r="BR34" s="54">
        <f t="shared" si="25"/>
        <v>11324.450000000003</v>
      </c>
      <c r="BS34" s="65">
        <f t="shared" si="63"/>
        <v>67946.700000000012</v>
      </c>
    </row>
    <row r="35" spans="2:71" ht="15.75" customHeight="1" x14ac:dyDescent="0.25">
      <c r="B35" s="1">
        <v>7</v>
      </c>
      <c r="C35" s="1">
        <f>Scenario_Info!N$10</f>
        <v>45</v>
      </c>
      <c r="D35" s="35">
        <f>Scenario_Info!N$14</f>
        <v>77.3</v>
      </c>
      <c r="E35" s="36">
        <f>Scenario_Info!N$18</f>
        <v>309200</v>
      </c>
      <c r="F35" s="38">
        <f>F34+Percolation!E35/$D$7</f>
        <v>0.68062893081761011</v>
      </c>
      <c r="G35" s="11">
        <f t="shared" si="0"/>
        <v>9.0999999999999998E-2</v>
      </c>
      <c r="H35" s="10">
        <f t="shared" si="26"/>
        <v>8.8481761006289333E-3</v>
      </c>
      <c r="I35" s="12">
        <f t="shared" ref="I35:I40" si="64">I34-H35</f>
        <v>12.838062767295593</v>
      </c>
      <c r="J35" s="53">
        <f t="shared" si="1"/>
        <v>35.171500000000009</v>
      </c>
      <c r="K35" s="69">
        <f t="shared" si="27"/>
        <v>246.20050000000001</v>
      </c>
      <c r="L35" s="11">
        <f t="shared" si="2"/>
        <v>4.5999999999999999E-2</v>
      </c>
      <c r="M35" s="10">
        <f t="shared" si="28"/>
        <v>4.472704402515724E-3</v>
      </c>
      <c r="N35" s="12">
        <f t="shared" si="29"/>
        <v>799.96869106918268</v>
      </c>
      <c r="O35" s="53">
        <f t="shared" si="3"/>
        <v>17.779000000000003</v>
      </c>
      <c r="P35" s="69">
        <f t="shared" si="30"/>
        <v>124.45299999999997</v>
      </c>
      <c r="Q35" s="15">
        <f t="shared" si="4"/>
        <v>5.8</v>
      </c>
      <c r="R35" s="12">
        <f t="shared" si="31"/>
        <v>0.56394968553459135</v>
      </c>
      <c r="S35" s="12">
        <f t="shared" si="32"/>
        <v>497.05235220125803</v>
      </c>
      <c r="T35" s="54">
        <f t="shared" si="5"/>
        <v>2241.7000000000007</v>
      </c>
      <c r="U35" s="65">
        <f t="shared" si="33"/>
        <v>15691.900000000001</v>
      </c>
      <c r="V35" s="15">
        <f t="shared" si="6"/>
        <v>10.877768906861643</v>
      </c>
      <c r="W35" s="12">
        <f t="shared" si="34"/>
        <v>1.0576748886797549</v>
      </c>
      <c r="X35" s="12">
        <f t="shared" si="35"/>
        <v>317.50944062472587</v>
      </c>
      <c r="Y35" s="54">
        <f t="shared" si="7"/>
        <v>4204.257682502026</v>
      </c>
      <c r="Z35" s="65">
        <f t="shared" si="36"/>
        <v>626024.97351671441</v>
      </c>
      <c r="AA35" s="81">
        <f t="shared" si="8"/>
        <v>2.5000000000000001E-4</v>
      </c>
      <c r="AB35" s="12">
        <f t="shared" si="37"/>
        <v>2.4308176100628937E-5</v>
      </c>
      <c r="AC35" s="12">
        <f t="shared" si="38"/>
        <v>21.899829842767289</v>
      </c>
      <c r="AD35" s="373">
        <f t="shared" si="9"/>
        <v>9.662500000000003E-2</v>
      </c>
      <c r="AE35" s="374">
        <f t="shared" si="39"/>
        <v>0.67637500000000017</v>
      </c>
      <c r="AF35" s="15">
        <f t="shared" si="10"/>
        <v>1.42</v>
      </c>
      <c r="AG35" s="12">
        <f t="shared" si="40"/>
        <v>0.13807044025157236</v>
      </c>
      <c r="AH35" s="13">
        <f t="shared" si="41"/>
        <v>11213.033506918244</v>
      </c>
      <c r="AI35" s="54">
        <f t="shared" si="11"/>
        <v>548.83000000000015</v>
      </c>
      <c r="AJ35" s="65">
        <f t="shared" si="42"/>
        <v>3841.8099999999995</v>
      </c>
      <c r="AK35" s="32">
        <f t="shared" si="12"/>
        <v>2.59</v>
      </c>
      <c r="AL35" s="34">
        <f t="shared" si="43"/>
        <v>0.25183270440251576</v>
      </c>
      <c r="AM35" s="34">
        <f t="shared" si="44"/>
        <v>25.837171069182382</v>
      </c>
      <c r="AN35" s="55">
        <f t="shared" si="13"/>
        <v>1001.0350000000002</v>
      </c>
      <c r="AO35" s="371">
        <f t="shared" si="45"/>
        <v>7007.2449999999999</v>
      </c>
      <c r="AP35" s="15">
        <f t="shared" si="14"/>
        <v>1.27</v>
      </c>
      <c r="AQ35" s="12">
        <f t="shared" si="46"/>
        <v>0.123485534591195</v>
      </c>
      <c r="AR35" s="12">
        <f t="shared" si="47"/>
        <v>125.23560125786162</v>
      </c>
      <c r="AS35" s="54">
        <f t="shared" si="15"/>
        <v>490.85500000000013</v>
      </c>
      <c r="AT35" s="65">
        <f t="shared" si="48"/>
        <v>3435.9850000000001</v>
      </c>
      <c r="AU35" s="15">
        <f t="shared" si="16"/>
        <v>0.4169464234844949</v>
      </c>
      <c r="AV35" s="34">
        <f t="shared" si="49"/>
        <v>4.0540828346354044E-2</v>
      </c>
      <c r="AW35" s="34">
        <f t="shared" si="50"/>
        <v>4.6205432567236637E-2</v>
      </c>
      <c r="AX35" s="55">
        <f t="shared" si="17"/>
        <v>161.14979267675733</v>
      </c>
      <c r="AY35" s="371">
        <f t="shared" si="51"/>
        <v>107538.83340554526</v>
      </c>
      <c r="AZ35" s="15">
        <f t="shared" si="18"/>
        <v>7.7815796834091192E-2</v>
      </c>
      <c r="BA35" s="10">
        <f t="shared" si="52"/>
        <v>7.5662403714154098E-3</v>
      </c>
      <c r="BB35" s="12">
        <f t="shared" si="53"/>
        <v>4.4584607808575383</v>
      </c>
      <c r="BC35" s="54">
        <f t="shared" si="19"/>
        <v>30.075805476376253</v>
      </c>
      <c r="BD35" s="65">
        <f t="shared" si="54"/>
        <v>1874.3683960912822</v>
      </c>
      <c r="BE35" s="15">
        <f t="shared" si="20"/>
        <v>2457.7990949398395</v>
      </c>
      <c r="BF35" s="13">
        <f t="shared" si="55"/>
        <v>238.97845287905614</v>
      </c>
      <c r="BG35" s="13">
        <f t="shared" si="56"/>
        <v>40786.724552580657</v>
      </c>
      <c r="BH35" s="54">
        <f t="shared" si="21"/>
        <v>949939.35019424814</v>
      </c>
      <c r="BI35" s="65">
        <f t="shared" si="57"/>
        <v>15893144.903491929</v>
      </c>
      <c r="BJ35" s="15">
        <f t="shared" si="22"/>
        <v>0.40600000000000003</v>
      </c>
      <c r="BK35" s="12">
        <f t="shared" si="58"/>
        <v>3.9476477987421398E-2</v>
      </c>
      <c r="BL35" s="12">
        <f t="shared" si="59"/>
        <v>15.723664654088054</v>
      </c>
      <c r="BM35" s="54">
        <f t="shared" si="23"/>
        <v>156.91900000000004</v>
      </c>
      <c r="BN35" s="65">
        <f t="shared" si="60"/>
        <v>1098.4330000000002</v>
      </c>
      <c r="BO35" s="16">
        <f t="shared" si="24"/>
        <v>29.3</v>
      </c>
      <c r="BP35" s="18">
        <f t="shared" si="61"/>
        <v>2.8489182389937113</v>
      </c>
      <c r="BQ35" s="18">
        <f t="shared" si="62"/>
        <v>1661.0575723270438</v>
      </c>
      <c r="BR35" s="54">
        <f t="shared" si="25"/>
        <v>11324.450000000003</v>
      </c>
      <c r="BS35" s="65">
        <f t="shared" si="63"/>
        <v>79271.150000000009</v>
      </c>
    </row>
    <row r="36" spans="2:71" ht="15.75" customHeight="1" x14ac:dyDescent="0.25">
      <c r="B36" s="1">
        <v>8</v>
      </c>
      <c r="C36" s="1">
        <f>Scenario_Info!N$10</f>
        <v>45</v>
      </c>
      <c r="D36" s="35">
        <f>Scenario_Info!N$14</f>
        <v>77.3</v>
      </c>
      <c r="E36" s="36">
        <f>Scenario_Info!N$18</f>
        <v>309200</v>
      </c>
      <c r="F36" s="37">
        <f>F35+Percolation!E36/$D$7</f>
        <v>0.77786163522012586</v>
      </c>
      <c r="G36" s="11">
        <f t="shared" si="0"/>
        <v>9.0999999999999998E-2</v>
      </c>
      <c r="H36" s="10">
        <f t="shared" si="26"/>
        <v>8.8481761006289333E-3</v>
      </c>
      <c r="I36" s="12">
        <f t="shared" si="64"/>
        <v>12.829214591194964</v>
      </c>
      <c r="J36" s="53">
        <f t="shared" si="1"/>
        <v>35.171500000000009</v>
      </c>
      <c r="K36" s="69">
        <f t="shared" si="27"/>
        <v>281.37200000000001</v>
      </c>
      <c r="L36" s="11">
        <f t="shared" si="2"/>
        <v>4.5999999999999999E-2</v>
      </c>
      <c r="M36" s="10">
        <f t="shared" si="28"/>
        <v>4.472704402515724E-3</v>
      </c>
      <c r="N36" s="12">
        <f t="shared" si="29"/>
        <v>799.96421836478021</v>
      </c>
      <c r="O36" s="53">
        <f t="shared" si="3"/>
        <v>17.779000000000003</v>
      </c>
      <c r="P36" s="69">
        <f t="shared" si="30"/>
        <v>142.23199999999997</v>
      </c>
      <c r="Q36" s="15">
        <f t="shared" si="4"/>
        <v>5.8</v>
      </c>
      <c r="R36" s="12">
        <f t="shared" si="31"/>
        <v>0.56394968553459135</v>
      </c>
      <c r="S36" s="12">
        <f t="shared" si="32"/>
        <v>496.48840251572346</v>
      </c>
      <c r="T36" s="54">
        <f t="shared" si="5"/>
        <v>2241.7000000000007</v>
      </c>
      <c r="U36" s="65">
        <f t="shared" si="33"/>
        <v>17933.600000000002</v>
      </c>
      <c r="V36" s="15">
        <f t="shared" si="6"/>
        <v>10.877768906861643</v>
      </c>
      <c r="W36" s="12">
        <f t="shared" si="34"/>
        <v>1.0576748886797549</v>
      </c>
      <c r="X36" s="12">
        <f t="shared" si="35"/>
        <v>316.45176573604613</v>
      </c>
      <c r="Y36" s="54">
        <f t="shared" si="7"/>
        <v>4204.257682502026</v>
      </c>
      <c r="Z36" s="65">
        <f t="shared" si="36"/>
        <v>630229.23119921645</v>
      </c>
      <c r="AA36" s="81">
        <f t="shared" si="8"/>
        <v>2.5000000000000001E-4</v>
      </c>
      <c r="AB36" s="12">
        <f t="shared" si="37"/>
        <v>2.4308176100628937E-5</v>
      </c>
      <c r="AC36" s="12">
        <f t="shared" si="38"/>
        <v>21.899805534591188</v>
      </c>
      <c r="AD36" s="373">
        <f t="shared" si="9"/>
        <v>9.662500000000003E-2</v>
      </c>
      <c r="AE36" s="374">
        <f t="shared" si="39"/>
        <v>0.77300000000000024</v>
      </c>
      <c r="AF36" s="15">
        <f t="shared" si="10"/>
        <v>1.42</v>
      </c>
      <c r="AG36" s="12">
        <f t="shared" si="40"/>
        <v>0.13807044025157236</v>
      </c>
      <c r="AH36" s="13">
        <f t="shared" si="41"/>
        <v>11212.895436477993</v>
      </c>
      <c r="AI36" s="54">
        <f t="shared" si="11"/>
        <v>548.83000000000015</v>
      </c>
      <c r="AJ36" s="65">
        <f t="shared" si="42"/>
        <v>4390.6399999999994</v>
      </c>
      <c r="AK36" s="32">
        <f t="shared" si="12"/>
        <v>2.59</v>
      </c>
      <c r="AL36" s="34">
        <f t="shared" si="43"/>
        <v>0.25183270440251576</v>
      </c>
      <c r="AM36" s="34">
        <f t="shared" si="44"/>
        <v>25.585338364779865</v>
      </c>
      <c r="AN36" s="55">
        <f t="shared" si="13"/>
        <v>1001.0350000000002</v>
      </c>
      <c r="AO36" s="371">
        <f t="shared" si="45"/>
        <v>8008.28</v>
      </c>
      <c r="AP36" s="15">
        <f t="shared" si="14"/>
        <v>1.27</v>
      </c>
      <c r="AQ36" s="12">
        <f t="shared" si="46"/>
        <v>0.123485534591195</v>
      </c>
      <c r="AR36" s="12">
        <f t="shared" si="47"/>
        <v>125.11211572327042</v>
      </c>
      <c r="AS36" s="54">
        <f t="shared" si="15"/>
        <v>490.85500000000013</v>
      </c>
      <c r="AT36" s="65">
        <f t="shared" si="48"/>
        <v>3926.84</v>
      </c>
      <c r="AU36" s="15">
        <f t="shared" si="16"/>
        <v>0.4169464234844949</v>
      </c>
      <c r="AV36" s="34">
        <f t="shared" si="49"/>
        <v>4.0540828346354044E-2</v>
      </c>
      <c r="AW36" s="34">
        <f t="shared" si="50"/>
        <v>5.6646042208825936E-3</v>
      </c>
      <c r="AX36" s="55">
        <f t="shared" si="17"/>
        <v>161.14979267675733</v>
      </c>
      <c r="AY36" s="371">
        <f t="shared" si="51"/>
        <v>107699.98319822202</v>
      </c>
      <c r="AZ36" s="15">
        <f t="shared" si="18"/>
        <v>7.7815796834091192E-2</v>
      </c>
      <c r="BA36" s="10">
        <f t="shared" si="52"/>
        <v>7.5662403714154098E-3</v>
      </c>
      <c r="BB36" s="12">
        <f t="shared" si="53"/>
        <v>4.4508945404861224</v>
      </c>
      <c r="BC36" s="54">
        <f t="shared" si="19"/>
        <v>30.075805476376253</v>
      </c>
      <c r="BD36" s="65">
        <f t="shared" si="54"/>
        <v>1904.4442015676584</v>
      </c>
      <c r="BE36" s="15">
        <f t="shared" si="20"/>
        <v>2457.7990949398395</v>
      </c>
      <c r="BF36" s="13">
        <f t="shared" si="55"/>
        <v>238.97845287905614</v>
      </c>
      <c r="BG36" s="13">
        <f t="shared" si="56"/>
        <v>40547.746099701602</v>
      </c>
      <c r="BH36" s="54">
        <f t="shared" si="21"/>
        <v>949939.35019424814</v>
      </c>
      <c r="BI36" s="65">
        <f t="shared" si="57"/>
        <v>16843084.253686178</v>
      </c>
      <c r="BJ36" s="15">
        <f t="shared" si="22"/>
        <v>0.40600000000000003</v>
      </c>
      <c r="BK36" s="12">
        <f t="shared" si="58"/>
        <v>3.9476477987421398E-2</v>
      </c>
      <c r="BL36" s="12">
        <f t="shared" si="59"/>
        <v>15.684188176100633</v>
      </c>
      <c r="BM36" s="54">
        <f t="shared" si="23"/>
        <v>156.91900000000004</v>
      </c>
      <c r="BN36" s="65">
        <f t="shared" si="60"/>
        <v>1255.3520000000003</v>
      </c>
      <c r="BO36" s="16">
        <f t="shared" si="24"/>
        <v>29.3</v>
      </c>
      <c r="BP36" s="18">
        <f t="shared" si="61"/>
        <v>2.8489182389937113</v>
      </c>
      <c r="BQ36" s="18">
        <f t="shared" si="62"/>
        <v>1658.20865408805</v>
      </c>
      <c r="BR36" s="54">
        <f t="shared" si="25"/>
        <v>11324.450000000003</v>
      </c>
      <c r="BS36" s="65">
        <f t="shared" si="63"/>
        <v>90595.6</v>
      </c>
    </row>
    <row r="37" spans="2:71" ht="15.75" customHeight="1" x14ac:dyDescent="0.25">
      <c r="B37" s="1">
        <v>9</v>
      </c>
      <c r="C37" s="1">
        <f>Scenario_Info!N$10</f>
        <v>45</v>
      </c>
      <c r="D37" s="35">
        <f>Scenario_Info!N$14</f>
        <v>77.3</v>
      </c>
      <c r="E37" s="36">
        <f>Scenario_Info!N$18</f>
        <v>309200</v>
      </c>
      <c r="F37" s="37">
        <f>F36+Percolation!E37/$D$7</f>
        <v>0.8750943396226416</v>
      </c>
      <c r="G37" s="11">
        <f t="shared" si="0"/>
        <v>9.0999999999999998E-2</v>
      </c>
      <c r="H37" s="10">
        <f t="shared" si="26"/>
        <v>8.8481761006289333E-3</v>
      </c>
      <c r="I37" s="12">
        <f t="shared" si="64"/>
        <v>12.820366415094334</v>
      </c>
      <c r="J37" s="53">
        <f t="shared" si="1"/>
        <v>35.171500000000009</v>
      </c>
      <c r="K37" s="69">
        <f t="shared" si="27"/>
        <v>316.54349999999999</v>
      </c>
      <c r="L37" s="11">
        <f t="shared" si="2"/>
        <v>4.5999999999999999E-2</v>
      </c>
      <c r="M37" s="10">
        <f t="shared" si="28"/>
        <v>4.472704402515724E-3</v>
      </c>
      <c r="N37" s="12">
        <f t="shared" si="29"/>
        <v>799.95974566037773</v>
      </c>
      <c r="O37" s="53">
        <f t="shared" si="3"/>
        <v>17.779000000000003</v>
      </c>
      <c r="P37" s="69">
        <f t="shared" si="30"/>
        <v>160.01099999999997</v>
      </c>
      <c r="Q37" s="15">
        <f t="shared" si="4"/>
        <v>5.8</v>
      </c>
      <c r="R37" s="12">
        <f t="shared" si="31"/>
        <v>0.56394968553459135</v>
      </c>
      <c r="S37" s="12">
        <f t="shared" si="32"/>
        <v>495.9244528301889</v>
      </c>
      <c r="T37" s="54">
        <f t="shared" si="5"/>
        <v>2241.7000000000007</v>
      </c>
      <c r="U37" s="65">
        <f t="shared" si="33"/>
        <v>20175.300000000003</v>
      </c>
      <c r="V37" s="15">
        <f t="shared" si="6"/>
        <v>10.877768906861643</v>
      </c>
      <c r="W37" s="12">
        <f t="shared" si="34"/>
        <v>1.0576748886797549</v>
      </c>
      <c r="X37" s="12">
        <f t="shared" si="35"/>
        <v>315.39409084736639</v>
      </c>
      <c r="Y37" s="54">
        <f t="shared" si="7"/>
        <v>4204.257682502026</v>
      </c>
      <c r="Z37" s="65">
        <f t="shared" si="36"/>
        <v>634433.48888171848</v>
      </c>
      <c r="AA37" s="81">
        <f t="shared" si="8"/>
        <v>2.5000000000000001E-4</v>
      </c>
      <c r="AB37" s="12">
        <f t="shared" si="37"/>
        <v>2.4308176100628937E-5</v>
      </c>
      <c r="AC37" s="12">
        <f t="shared" si="38"/>
        <v>21.899781226415087</v>
      </c>
      <c r="AD37" s="373">
        <f t="shared" si="9"/>
        <v>9.662500000000003E-2</v>
      </c>
      <c r="AE37" s="374">
        <f t="shared" si="39"/>
        <v>0.86962500000000031</v>
      </c>
      <c r="AF37" s="15">
        <f t="shared" si="10"/>
        <v>1.42</v>
      </c>
      <c r="AG37" s="12">
        <f t="shared" si="40"/>
        <v>0.13807044025157236</v>
      </c>
      <c r="AH37" s="13">
        <f t="shared" si="41"/>
        <v>11212.757366037742</v>
      </c>
      <c r="AI37" s="54">
        <f t="shared" si="11"/>
        <v>548.83000000000015</v>
      </c>
      <c r="AJ37" s="65">
        <f t="shared" si="42"/>
        <v>4939.4699999999993</v>
      </c>
      <c r="AK37" s="32">
        <f t="shared" si="12"/>
        <v>2.59</v>
      </c>
      <c r="AL37" s="34">
        <f t="shared" si="43"/>
        <v>0.25183270440251576</v>
      </c>
      <c r="AM37" s="34">
        <f t="shared" si="44"/>
        <v>25.333505660377348</v>
      </c>
      <c r="AN37" s="55">
        <f t="shared" si="13"/>
        <v>1001.0350000000002</v>
      </c>
      <c r="AO37" s="371">
        <f t="shared" si="45"/>
        <v>9009.3150000000005</v>
      </c>
      <c r="AP37" s="15">
        <f t="shared" si="14"/>
        <v>1.27</v>
      </c>
      <c r="AQ37" s="12">
        <f t="shared" si="46"/>
        <v>0.123485534591195</v>
      </c>
      <c r="AR37" s="12">
        <f t="shared" si="47"/>
        <v>124.98863018867922</v>
      </c>
      <c r="AS37" s="54">
        <f t="shared" si="15"/>
        <v>490.85500000000013</v>
      </c>
      <c r="AT37" s="65">
        <f t="shared" si="48"/>
        <v>4417.6950000000006</v>
      </c>
      <c r="AU37" s="15">
        <v>0.01</v>
      </c>
      <c r="AV37" s="34">
        <f t="shared" si="49"/>
        <v>9.7232704402515748E-4</v>
      </c>
      <c r="AW37" s="34">
        <f t="shared" si="50"/>
        <v>4.6922771768574366E-3</v>
      </c>
      <c r="AX37" s="55">
        <f t="shared" si="17"/>
        <v>3.8650000000000011</v>
      </c>
      <c r="AY37" s="371">
        <f t="shared" si="51"/>
        <v>107703.84819822203</v>
      </c>
      <c r="AZ37" s="15">
        <f t="shared" si="18"/>
        <v>7.7815796834091192E-2</v>
      </c>
      <c r="BA37" s="10">
        <f t="shared" si="52"/>
        <v>7.5662403714154098E-3</v>
      </c>
      <c r="BB37" s="12">
        <f t="shared" si="53"/>
        <v>4.4433283001147066</v>
      </c>
      <c r="BC37" s="54">
        <f t="shared" si="19"/>
        <v>30.075805476376253</v>
      </c>
      <c r="BD37" s="65">
        <f t="shared" si="54"/>
        <v>1934.5200070440346</v>
      </c>
      <c r="BE37" s="15">
        <f t="shared" si="20"/>
        <v>2457.7990949398395</v>
      </c>
      <c r="BF37" s="13">
        <f t="shared" si="55"/>
        <v>238.97845287905614</v>
      </c>
      <c r="BG37" s="13">
        <f t="shared" si="56"/>
        <v>40308.767646822547</v>
      </c>
      <c r="BH37" s="54">
        <f t="shared" si="21"/>
        <v>949939.35019424814</v>
      </c>
      <c r="BI37" s="65">
        <f t="shared" si="57"/>
        <v>17793023.603880428</v>
      </c>
      <c r="BJ37" s="15">
        <f t="shared" si="22"/>
        <v>0.40600000000000003</v>
      </c>
      <c r="BK37" s="12">
        <f t="shared" si="58"/>
        <v>3.9476477987421398E-2</v>
      </c>
      <c r="BL37" s="12">
        <f t="shared" si="59"/>
        <v>15.644711698113213</v>
      </c>
      <c r="BM37" s="54">
        <f t="shared" si="23"/>
        <v>156.91900000000004</v>
      </c>
      <c r="BN37" s="65">
        <f t="shared" si="60"/>
        <v>1412.2710000000004</v>
      </c>
      <c r="BO37" s="16">
        <f t="shared" si="24"/>
        <v>29.3</v>
      </c>
      <c r="BP37" s="18">
        <f t="shared" si="61"/>
        <v>2.8489182389937113</v>
      </c>
      <c r="BQ37" s="18">
        <f t="shared" si="62"/>
        <v>1655.3597358490563</v>
      </c>
      <c r="BR37" s="54">
        <f t="shared" si="25"/>
        <v>11324.450000000003</v>
      </c>
      <c r="BS37" s="65">
        <f t="shared" si="63"/>
        <v>101920.05</v>
      </c>
    </row>
    <row r="38" spans="2:71" ht="15.75" customHeight="1" x14ac:dyDescent="0.25">
      <c r="B38" s="1">
        <v>10</v>
      </c>
      <c r="C38" s="1">
        <f>Scenario_Info!N$10</f>
        <v>45</v>
      </c>
      <c r="D38" s="35">
        <f>Scenario_Info!N$14</f>
        <v>77.3</v>
      </c>
      <c r="E38" s="36">
        <f>Scenario_Info!N$18</f>
        <v>309200</v>
      </c>
      <c r="F38" s="83">
        <f>F37+Percolation!E38/$D$7</f>
        <v>0.97232704402515735</v>
      </c>
      <c r="G38" s="11">
        <f t="shared" si="0"/>
        <v>9.0999999999999998E-2</v>
      </c>
      <c r="H38" s="10">
        <f t="shared" si="26"/>
        <v>8.8481761006289333E-3</v>
      </c>
      <c r="I38" s="12">
        <f t="shared" si="64"/>
        <v>12.811518238993704</v>
      </c>
      <c r="J38" s="53">
        <f t="shared" si="1"/>
        <v>35.171500000000009</v>
      </c>
      <c r="K38" s="69">
        <f t="shared" si="27"/>
        <v>351.71500000000003</v>
      </c>
      <c r="L38" s="11">
        <f t="shared" si="2"/>
        <v>4.5999999999999999E-2</v>
      </c>
      <c r="M38" s="10">
        <f t="shared" si="28"/>
        <v>4.472704402515724E-3</v>
      </c>
      <c r="N38" s="12">
        <f t="shared" si="29"/>
        <v>799.95527295597526</v>
      </c>
      <c r="O38" s="53">
        <f t="shared" si="3"/>
        <v>17.779000000000003</v>
      </c>
      <c r="P38" s="69">
        <f t="shared" si="30"/>
        <v>177.78999999999996</v>
      </c>
      <c r="Q38" s="15">
        <f t="shared" si="4"/>
        <v>5.8</v>
      </c>
      <c r="R38" s="12">
        <f t="shared" si="31"/>
        <v>0.56394968553459135</v>
      </c>
      <c r="S38" s="12">
        <f t="shared" si="32"/>
        <v>495.36050314465433</v>
      </c>
      <c r="T38" s="54">
        <f t="shared" si="5"/>
        <v>2241.7000000000007</v>
      </c>
      <c r="U38" s="65">
        <f t="shared" si="33"/>
        <v>22417.000000000004</v>
      </c>
      <c r="V38" s="15">
        <f t="shared" si="6"/>
        <v>10.877768906861643</v>
      </c>
      <c r="W38" s="12">
        <f t="shared" si="34"/>
        <v>1.0576748886797549</v>
      </c>
      <c r="X38" s="12">
        <f t="shared" si="35"/>
        <v>314.33641595868664</v>
      </c>
      <c r="Y38" s="54">
        <f t="shared" si="7"/>
        <v>4204.257682502026</v>
      </c>
      <c r="Z38" s="65">
        <f t="shared" si="36"/>
        <v>638637.74656422052</v>
      </c>
      <c r="AA38" s="81">
        <f t="shared" si="8"/>
        <v>2.5000000000000001E-4</v>
      </c>
      <c r="AB38" s="12">
        <f t="shared" si="37"/>
        <v>2.4308176100628937E-5</v>
      </c>
      <c r="AC38" s="12">
        <f t="shared" si="38"/>
        <v>21.899756918238985</v>
      </c>
      <c r="AD38" s="373">
        <f t="shared" si="9"/>
        <v>9.662500000000003E-2</v>
      </c>
      <c r="AE38" s="374">
        <f t="shared" si="39"/>
        <v>0.96625000000000039</v>
      </c>
      <c r="AF38" s="15">
        <f t="shared" si="10"/>
        <v>1.42</v>
      </c>
      <c r="AG38" s="12">
        <f t="shared" si="40"/>
        <v>0.13807044025157236</v>
      </c>
      <c r="AH38" s="13">
        <f t="shared" si="41"/>
        <v>11212.619295597491</v>
      </c>
      <c r="AI38" s="54">
        <f t="shared" si="11"/>
        <v>548.83000000000015</v>
      </c>
      <c r="AJ38" s="65">
        <f t="shared" si="42"/>
        <v>5488.2999999999993</v>
      </c>
      <c r="AK38" s="32">
        <f t="shared" si="12"/>
        <v>2.59</v>
      </c>
      <c r="AL38" s="34">
        <f t="shared" si="43"/>
        <v>0.25183270440251576</v>
      </c>
      <c r="AM38" s="34">
        <f t="shared" si="44"/>
        <v>25.081672955974831</v>
      </c>
      <c r="AN38" s="55">
        <f t="shared" si="13"/>
        <v>1001.0350000000002</v>
      </c>
      <c r="AO38" s="371">
        <f t="shared" si="45"/>
        <v>10010.35</v>
      </c>
      <c r="AP38" s="15">
        <f t="shared" si="14"/>
        <v>1.27</v>
      </c>
      <c r="AQ38" s="12">
        <f t="shared" si="46"/>
        <v>0.123485534591195</v>
      </c>
      <c r="AR38" s="12">
        <f t="shared" si="47"/>
        <v>124.86514465408803</v>
      </c>
      <c r="AS38" s="54">
        <f t="shared" si="15"/>
        <v>490.85500000000013</v>
      </c>
      <c r="AT38" s="65">
        <f t="shared" si="48"/>
        <v>4908.5500000000011</v>
      </c>
      <c r="AU38" s="15">
        <v>0</v>
      </c>
      <c r="AV38" s="34">
        <f t="shared" si="49"/>
        <v>0</v>
      </c>
      <c r="AW38" s="34">
        <f t="shared" si="50"/>
        <v>4.6922771768574366E-3</v>
      </c>
      <c r="AX38" s="55">
        <f t="shared" si="17"/>
        <v>0</v>
      </c>
      <c r="AY38" s="371">
        <f t="shared" si="51"/>
        <v>107703.84819822203</v>
      </c>
      <c r="AZ38" s="15">
        <f t="shared" si="18"/>
        <v>7.7815796834091192E-2</v>
      </c>
      <c r="BA38" s="10">
        <f t="shared" si="52"/>
        <v>7.5662403714154098E-3</v>
      </c>
      <c r="BB38" s="12">
        <f t="shared" si="53"/>
        <v>4.4357620597432907</v>
      </c>
      <c r="BC38" s="54">
        <f t="shared" si="19"/>
        <v>30.075805476376253</v>
      </c>
      <c r="BD38" s="65">
        <f t="shared" si="54"/>
        <v>1964.5958125204108</v>
      </c>
      <c r="BE38" s="15">
        <f t="shared" si="20"/>
        <v>2457.7990949398395</v>
      </c>
      <c r="BF38" s="13">
        <f t="shared" si="55"/>
        <v>238.97845287905614</v>
      </c>
      <c r="BG38" s="13">
        <f t="shared" si="56"/>
        <v>40069.789193943492</v>
      </c>
      <c r="BH38" s="54">
        <f t="shared" si="21"/>
        <v>949939.35019424814</v>
      </c>
      <c r="BI38" s="65">
        <f t="shared" si="57"/>
        <v>18742962.954074677</v>
      </c>
      <c r="BJ38" s="15">
        <f t="shared" si="22"/>
        <v>0.40600000000000003</v>
      </c>
      <c r="BK38" s="12">
        <f t="shared" si="58"/>
        <v>3.9476477987421398E-2</v>
      </c>
      <c r="BL38" s="12">
        <f t="shared" si="59"/>
        <v>15.605235220125792</v>
      </c>
      <c r="BM38" s="54">
        <f t="shared" si="23"/>
        <v>156.91900000000004</v>
      </c>
      <c r="BN38" s="65">
        <f t="shared" si="60"/>
        <v>1569.1900000000005</v>
      </c>
      <c r="BO38" s="16">
        <f t="shared" si="24"/>
        <v>29.3</v>
      </c>
      <c r="BP38" s="18">
        <f t="shared" si="61"/>
        <v>2.8489182389937113</v>
      </c>
      <c r="BQ38" s="18">
        <f t="shared" si="62"/>
        <v>1652.5108176100625</v>
      </c>
      <c r="BR38" s="54">
        <f t="shared" si="25"/>
        <v>11324.450000000003</v>
      </c>
      <c r="BS38" s="65">
        <f t="shared" si="63"/>
        <v>113244.5</v>
      </c>
    </row>
    <row r="39" spans="2:71" ht="15.75" customHeight="1" x14ac:dyDescent="0.25">
      <c r="B39" s="1">
        <v>11</v>
      </c>
      <c r="C39" s="1">
        <f>Scenario_Info!N$10</f>
        <v>45</v>
      </c>
      <c r="D39" s="35">
        <f>Scenario_Info!N$14</f>
        <v>77.3</v>
      </c>
      <c r="E39" s="36">
        <f>Scenario_Info!N$18</f>
        <v>309200</v>
      </c>
      <c r="F39" s="38">
        <f>F38+Percolation!E39/$D$7</f>
        <v>1.0695597484276731</v>
      </c>
      <c r="G39" s="11">
        <f t="shared" si="0"/>
        <v>9.0999999999999998E-2</v>
      </c>
      <c r="H39" s="10">
        <f t="shared" si="26"/>
        <v>8.8481761006289333E-3</v>
      </c>
      <c r="I39" s="12">
        <f t="shared" si="64"/>
        <v>12.802670062893075</v>
      </c>
      <c r="J39" s="53">
        <f t="shared" si="1"/>
        <v>35.171500000000009</v>
      </c>
      <c r="K39" s="69">
        <f t="shared" si="27"/>
        <v>386.88650000000007</v>
      </c>
      <c r="L39" s="11">
        <f t="shared" si="2"/>
        <v>4.5999999999999999E-2</v>
      </c>
      <c r="M39" s="10">
        <f t="shared" si="28"/>
        <v>4.472704402515724E-3</v>
      </c>
      <c r="N39" s="12">
        <f t="shared" si="29"/>
        <v>799.95080025157279</v>
      </c>
      <c r="O39" s="53">
        <f t="shared" si="3"/>
        <v>17.779000000000003</v>
      </c>
      <c r="P39" s="69">
        <f t="shared" si="30"/>
        <v>195.56899999999996</v>
      </c>
      <c r="Q39" s="15">
        <f t="shared" si="4"/>
        <v>5.8</v>
      </c>
      <c r="R39" s="12">
        <f t="shared" si="31"/>
        <v>0.56394968553459135</v>
      </c>
      <c r="S39" s="12">
        <f t="shared" si="32"/>
        <v>494.79655345911976</v>
      </c>
      <c r="T39" s="54">
        <f t="shared" si="5"/>
        <v>2241.7000000000007</v>
      </c>
      <c r="U39" s="65">
        <f t="shared" si="33"/>
        <v>24658.700000000004</v>
      </c>
      <c r="V39" s="15">
        <f t="shared" si="6"/>
        <v>6.3555508377860006</v>
      </c>
      <c r="W39" s="12">
        <f t="shared" si="34"/>
        <v>0.61796739592560745</v>
      </c>
      <c r="X39" s="12">
        <f t="shared" si="35"/>
        <v>313.71844856276101</v>
      </c>
      <c r="Y39" s="54">
        <f t="shared" si="7"/>
        <v>2456.4203988042896</v>
      </c>
      <c r="Z39" s="65">
        <f t="shared" si="36"/>
        <v>641094.16696302476</v>
      </c>
      <c r="AA39" s="81">
        <f t="shared" si="8"/>
        <v>2.5000000000000001E-4</v>
      </c>
      <c r="AB39" s="12">
        <f t="shared" si="37"/>
        <v>2.4308176100628937E-5</v>
      </c>
      <c r="AC39" s="12">
        <f t="shared" si="38"/>
        <v>21.899732610062884</v>
      </c>
      <c r="AD39" s="373">
        <f t="shared" si="9"/>
        <v>9.662500000000003E-2</v>
      </c>
      <c r="AE39" s="374">
        <f t="shared" si="39"/>
        <v>1.0628750000000005</v>
      </c>
      <c r="AF39" s="15">
        <f t="shared" si="10"/>
        <v>1.42</v>
      </c>
      <c r="AG39" s="12">
        <f t="shared" si="40"/>
        <v>0.13807044025157236</v>
      </c>
      <c r="AH39" s="13">
        <f t="shared" si="41"/>
        <v>11212.48122515724</v>
      </c>
      <c r="AI39" s="54">
        <f t="shared" si="11"/>
        <v>548.83000000000015</v>
      </c>
      <c r="AJ39" s="65">
        <f t="shared" si="42"/>
        <v>6037.1299999999992</v>
      </c>
      <c r="AK39" s="32">
        <f t="shared" si="12"/>
        <v>2.59</v>
      </c>
      <c r="AL39" s="34">
        <f t="shared" si="43"/>
        <v>0.25183270440251576</v>
      </c>
      <c r="AM39" s="34">
        <f t="shared" si="44"/>
        <v>24.829840251572314</v>
      </c>
      <c r="AN39" s="55">
        <f t="shared" si="13"/>
        <v>1001.0350000000002</v>
      </c>
      <c r="AO39" s="371">
        <f t="shared" si="45"/>
        <v>11011.385</v>
      </c>
      <c r="AP39" s="15">
        <f t="shared" si="14"/>
        <v>1.27</v>
      </c>
      <c r="AQ39" s="12">
        <f t="shared" si="46"/>
        <v>0.123485534591195</v>
      </c>
      <c r="AR39" s="12">
        <f t="shared" si="47"/>
        <v>124.74165911949683</v>
      </c>
      <c r="AS39" s="54">
        <f t="shared" si="15"/>
        <v>490.85500000000013</v>
      </c>
      <c r="AT39" s="65">
        <f t="shared" si="48"/>
        <v>5399.4050000000016</v>
      </c>
      <c r="AU39" s="15">
        <v>0</v>
      </c>
      <c r="AV39" s="34">
        <f t="shared" si="49"/>
        <v>0</v>
      </c>
      <c r="AW39" s="34">
        <f t="shared" si="50"/>
        <v>4.6922771768574366E-3</v>
      </c>
      <c r="AX39" s="55">
        <f t="shared" si="17"/>
        <v>0</v>
      </c>
      <c r="AY39" s="371">
        <f t="shared" si="51"/>
        <v>107703.84819822203</v>
      </c>
      <c r="AZ39" s="15">
        <f t="shared" si="18"/>
        <v>5.1966211010820294E-2</v>
      </c>
      <c r="BA39" s="10">
        <f t="shared" si="52"/>
        <v>5.052815234133849E-3</v>
      </c>
      <c r="BB39" s="12">
        <f t="shared" si="53"/>
        <v>4.4307092445091572</v>
      </c>
      <c r="BC39" s="54">
        <f t="shared" si="19"/>
        <v>20.084940555682049</v>
      </c>
      <c r="BD39" s="65">
        <f t="shared" si="54"/>
        <v>1984.680753076093</v>
      </c>
      <c r="BE39" s="15">
        <f t="shared" si="20"/>
        <v>2085.4309286296598</v>
      </c>
      <c r="BF39" s="13">
        <f t="shared" si="55"/>
        <v>202.77208903531161</v>
      </c>
      <c r="BG39" s="13">
        <f t="shared" si="56"/>
        <v>39867.017104908184</v>
      </c>
      <c r="BH39" s="54">
        <f t="shared" si="21"/>
        <v>806019.05391536374</v>
      </c>
      <c r="BI39" s="65">
        <f t="shared" si="57"/>
        <v>19548982.00799004</v>
      </c>
      <c r="BJ39" s="15">
        <f t="shared" si="22"/>
        <v>0.40600000000000003</v>
      </c>
      <c r="BK39" s="12">
        <f t="shared" si="58"/>
        <v>3.9476477987421398E-2</v>
      </c>
      <c r="BL39" s="12">
        <f t="shared" si="59"/>
        <v>15.565758742138371</v>
      </c>
      <c r="BM39" s="54">
        <f t="shared" si="23"/>
        <v>156.91900000000004</v>
      </c>
      <c r="BN39" s="65">
        <f t="shared" si="60"/>
        <v>1726.1090000000006</v>
      </c>
      <c r="BO39" s="16">
        <f t="shared" si="24"/>
        <v>29.3</v>
      </c>
      <c r="BP39" s="18">
        <f t="shared" si="61"/>
        <v>2.8489182389937113</v>
      </c>
      <c r="BQ39" s="18">
        <f t="shared" si="62"/>
        <v>1649.6618993710688</v>
      </c>
      <c r="BR39" s="54">
        <f t="shared" si="25"/>
        <v>11324.450000000003</v>
      </c>
      <c r="BS39" s="65">
        <f t="shared" si="63"/>
        <v>124568.95</v>
      </c>
    </row>
    <row r="40" spans="2:71" ht="15.75" customHeight="1" x14ac:dyDescent="0.25">
      <c r="B40" s="1">
        <v>12</v>
      </c>
      <c r="C40" s="1">
        <f>Scenario_Info!N$10</f>
        <v>45</v>
      </c>
      <c r="D40" s="35">
        <f>Scenario_Info!N$14</f>
        <v>77.3</v>
      </c>
      <c r="E40" s="36">
        <f>Scenario_Info!N$18</f>
        <v>309200</v>
      </c>
      <c r="F40" s="37">
        <f>F39+Percolation!E40/$D$7</f>
        <v>1.1667924528301887</v>
      </c>
      <c r="G40" s="11">
        <f t="shared" si="0"/>
        <v>9.0999999999999998E-2</v>
      </c>
      <c r="H40" s="10">
        <f t="shared" si="26"/>
        <v>8.8481761006289229E-3</v>
      </c>
      <c r="I40" s="12">
        <f t="shared" si="64"/>
        <v>12.793821886792445</v>
      </c>
      <c r="J40" s="53">
        <f t="shared" si="1"/>
        <v>35.171499999999966</v>
      </c>
      <c r="K40" s="69">
        <f t="shared" si="27"/>
        <v>422.05800000000005</v>
      </c>
      <c r="L40" s="11">
        <f t="shared" si="2"/>
        <v>4.5999999999999999E-2</v>
      </c>
      <c r="M40" s="10">
        <f t="shared" si="28"/>
        <v>4.4727044025157188E-3</v>
      </c>
      <c r="N40" s="12">
        <f t="shared" si="29"/>
        <v>799.94632754717031</v>
      </c>
      <c r="O40" s="53">
        <f t="shared" si="3"/>
        <v>17.778999999999982</v>
      </c>
      <c r="P40" s="69">
        <f t="shared" si="30"/>
        <v>213.34799999999996</v>
      </c>
      <c r="Q40" s="15">
        <f t="shared" si="4"/>
        <v>5.8</v>
      </c>
      <c r="R40" s="12">
        <f t="shared" si="31"/>
        <v>0.56394968553459068</v>
      </c>
      <c r="S40" s="12">
        <f t="shared" si="32"/>
        <v>494.2326037735852</v>
      </c>
      <c r="T40" s="54">
        <f t="shared" si="5"/>
        <v>2241.699999999998</v>
      </c>
      <c r="U40" s="65">
        <f t="shared" si="33"/>
        <v>26900.400000000001</v>
      </c>
      <c r="V40" s="15">
        <f t="shared" si="6"/>
        <v>6.3555508377860006</v>
      </c>
      <c r="W40" s="12">
        <f t="shared" si="34"/>
        <v>0.61796739592560679</v>
      </c>
      <c r="X40" s="12">
        <f t="shared" si="35"/>
        <v>313.10048116683538</v>
      </c>
      <c r="Y40" s="54">
        <f t="shared" si="7"/>
        <v>2456.4203988042868</v>
      </c>
      <c r="Z40" s="65">
        <f t="shared" si="36"/>
        <v>643550.58736182901</v>
      </c>
      <c r="AA40" s="81">
        <f t="shared" si="8"/>
        <v>2.5000000000000001E-4</v>
      </c>
      <c r="AB40" s="12">
        <f t="shared" si="37"/>
        <v>2.430817610062891E-5</v>
      </c>
      <c r="AC40" s="12">
        <f t="shared" si="38"/>
        <v>21.899708301886783</v>
      </c>
      <c r="AD40" s="373">
        <f t="shared" si="9"/>
        <v>9.6624999999999919E-2</v>
      </c>
      <c r="AE40" s="374">
        <f t="shared" si="39"/>
        <v>1.1595000000000004</v>
      </c>
      <c r="AF40" s="15">
        <f t="shared" si="10"/>
        <v>1.42</v>
      </c>
      <c r="AG40" s="12">
        <f t="shared" si="40"/>
        <v>0.1380704402515722</v>
      </c>
      <c r="AH40" s="13">
        <f t="shared" si="41"/>
        <v>11212.343154716989</v>
      </c>
      <c r="AI40" s="54">
        <f t="shared" si="11"/>
        <v>548.82999999999947</v>
      </c>
      <c r="AJ40" s="65">
        <f t="shared" si="42"/>
        <v>6585.9599999999991</v>
      </c>
      <c r="AK40" s="32">
        <f t="shared" si="12"/>
        <v>2.59</v>
      </c>
      <c r="AL40" s="34">
        <f t="shared" si="43"/>
        <v>0.25183270440251548</v>
      </c>
      <c r="AM40" s="34">
        <f t="shared" si="44"/>
        <v>24.578007547169797</v>
      </c>
      <c r="AN40" s="55">
        <f t="shared" si="13"/>
        <v>1001.0349999999989</v>
      </c>
      <c r="AO40" s="371">
        <f t="shared" si="45"/>
        <v>12012.419999999998</v>
      </c>
      <c r="AP40" s="15">
        <f t="shared" si="14"/>
        <v>1.27</v>
      </c>
      <c r="AQ40" s="12">
        <f t="shared" si="46"/>
        <v>0.12348553459119486</v>
      </c>
      <c r="AR40" s="12">
        <f t="shared" si="47"/>
        <v>124.61817358490563</v>
      </c>
      <c r="AS40" s="54">
        <f t="shared" si="15"/>
        <v>490.85499999999956</v>
      </c>
      <c r="AT40" s="65">
        <f t="shared" si="48"/>
        <v>5890.2600000000011</v>
      </c>
      <c r="AU40" s="15">
        <v>0</v>
      </c>
      <c r="AV40" s="34">
        <f t="shared" si="49"/>
        <v>0</v>
      </c>
      <c r="AW40" s="34">
        <f t="shared" si="50"/>
        <v>4.6922771768574366E-3</v>
      </c>
      <c r="AX40" s="55">
        <f t="shared" si="17"/>
        <v>0</v>
      </c>
      <c r="AY40" s="371">
        <f t="shared" si="51"/>
        <v>107703.84819822203</v>
      </c>
      <c r="AZ40" s="15">
        <f t="shared" si="18"/>
        <v>5.1966211010820294E-2</v>
      </c>
      <c r="BA40" s="10">
        <f t="shared" si="52"/>
        <v>5.052815234133843E-3</v>
      </c>
      <c r="BB40" s="12">
        <f t="shared" si="53"/>
        <v>4.4256564292750236</v>
      </c>
      <c r="BC40" s="54">
        <f t="shared" si="19"/>
        <v>20.084940555682024</v>
      </c>
      <c r="BD40" s="65">
        <f t="shared" si="54"/>
        <v>2004.7656936317751</v>
      </c>
      <c r="BE40" s="15">
        <f t="shared" si="20"/>
        <v>2085.4309286296598</v>
      </c>
      <c r="BF40" s="13">
        <f t="shared" si="55"/>
        <v>202.77208903531138</v>
      </c>
      <c r="BG40" s="13">
        <f t="shared" si="56"/>
        <v>39664.245015872875</v>
      </c>
      <c r="BH40" s="54">
        <f t="shared" si="21"/>
        <v>806019.05391536281</v>
      </c>
      <c r="BI40" s="65">
        <f t="shared" si="57"/>
        <v>20355001.061905403</v>
      </c>
      <c r="BJ40" s="15">
        <f t="shared" si="22"/>
        <v>0.40600000000000003</v>
      </c>
      <c r="BK40" s="12">
        <f t="shared" si="58"/>
        <v>3.9476477987421349E-2</v>
      </c>
      <c r="BL40" s="12">
        <f t="shared" si="59"/>
        <v>15.52628226415095</v>
      </c>
      <c r="BM40" s="54">
        <f t="shared" si="23"/>
        <v>156.91899999999987</v>
      </c>
      <c r="BN40" s="65">
        <f t="shared" si="60"/>
        <v>1883.0280000000005</v>
      </c>
      <c r="BO40" s="16">
        <f t="shared" si="24"/>
        <v>29.3</v>
      </c>
      <c r="BP40" s="18">
        <f t="shared" si="61"/>
        <v>2.8489182389937082</v>
      </c>
      <c r="BQ40" s="18">
        <f t="shared" si="62"/>
        <v>1646.812981132075</v>
      </c>
      <c r="BR40" s="54">
        <f t="shared" si="25"/>
        <v>11324.44999999999</v>
      </c>
      <c r="BS40" s="65">
        <f t="shared" si="63"/>
        <v>135893.4</v>
      </c>
    </row>
    <row r="41" spans="2:71" ht="15.75" customHeight="1" x14ac:dyDescent="0.25">
      <c r="B41" s="1">
        <v>13</v>
      </c>
      <c r="C41" s="1">
        <f>Scenario_Info!N$10</f>
        <v>45</v>
      </c>
      <c r="D41" s="35">
        <f>Scenario_Info!N$14</f>
        <v>77.3</v>
      </c>
      <c r="E41" s="36">
        <f>Scenario_Info!N$18</f>
        <v>309200</v>
      </c>
      <c r="F41" s="37">
        <f>F40+Percolation!E41/$D$7</f>
        <v>1.2640251572327044</v>
      </c>
      <c r="G41" s="11">
        <f t="shared" si="0"/>
        <v>9.0999999999999998E-2</v>
      </c>
      <c r="H41" s="10">
        <f t="shared" si="26"/>
        <v>8.8481761006289229E-3</v>
      </c>
      <c r="I41" s="12">
        <f t="shared" ref="I41:I58" si="65">I40-H41</f>
        <v>12.784973710691816</v>
      </c>
      <c r="J41" s="53">
        <f t="shared" si="1"/>
        <v>35.171499999999966</v>
      </c>
      <c r="K41" s="69">
        <f t="shared" si="27"/>
        <v>457.22950000000003</v>
      </c>
      <c r="L41" s="11">
        <f t="shared" si="2"/>
        <v>4.5999999999999999E-2</v>
      </c>
      <c r="M41" s="10">
        <f t="shared" si="28"/>
        <v>4.4727044025157188E-3</v>
      </c>
      <c r="N41" s="12">
        <f t="shared" si="29"/>
        <v>799.94185484276784</v>
      </c>
      <c r="O41" s="53">
        <f t="shared" si="3"/>
        <v>17.778999999999982</v>
      </c>
      <c r="P41" s="69">
        <f t="shared" si="30"/>
        <v>231.12699999999995</v>
      </c>
      <c r="Q41" s="15">
        <f t="shared" si="4"/>
        <v>5.8</v>
      </c>
      <c r="R41" s="12">
        <f t="shared" si="31"/>
        <v>0.56394968553459068</v>
      </c>
      <c r="S41" s="12">
        <f t="shared" si="32"/>
        <v>493.66865408805063</v>
      </c>
      <c r="T41" s="54">
        <f t="shared" si="5"/>
        <v>2241.699999999998</v>
      </c>
      <c r="U41" s="65">
        <f t="shared" si="33"/>
        <v>29142.1</v>
      </c>
      <c r="V41" s="15">
        <f t="shared" si="6"/>
        <v>6.3555508377860006</v>
      </c>
      <c r="W41" s="12">
        <f t="shared" si="34"/>
        <v>0.61796739592560679</v>
      </c>
      <c r="X41" s="12">
        <f t="shared" si="35"/>
        <v>312.48251377090975</v>
      </c>
      <c r="Y41" s="54">
        <f t="shared" si="7"/>
        <v>2456.4203988042868</v>
      </c>
      <c r="Z41" s="65">
        <f t="shared" si="36"/>
        <v>646007.00776063325</v>
      </c>
      <c r="AA41" s="81">
        <f t="shared" si="8"/>
        <v>2.5000000000000001E-4</v>
      </c>
      <c r="AB41" s="12">
        <f t="shared" si="37"/>
        <v>2.430817610062891E-5</v>
      </c>
      <c r="AC41" s="12">
        <f t="shared" si="38"/>
        <v>21.899683993710681</v>
      </c>
      <c r="AD41" s="373">
        <f t="shared" si="9"/>
        <v>9.6624999999999919E-2</v>
      </c>
      <c r="AE41" s="374">
        <f t="shared" si="39"/>
        <v>1.2561250000000004</v>
      </c>
      <c r="AF41" s="15">
        <f t="shared" si="10"/>
        <v>1.42</v>
      </c>
      <c r="AG41" s="12">
        <f t="shared" si="40"/>
        <v>0.1380704402515722</v>
      </c>
      <c r="AH41" s="13">
        <f t="shared" si="41"/>
        <v>11212.205084276738</v>
      </c>
      <c r="AI41" s="54">
        <f t="shared" si="11"/>
        <v>548.82999999999947</v>
      </c>
      <c r="AJ41" s="65">
        <f t="shared" si="42"/>
        <v>7134.7899999999991</v>
      </c>
      <c r="AK41" s="32">
        <f t="shared" si="12"/>
        <v>2.59</v>
      </c>
      <c r="AL41" s="34">
        <f t="shared" si="43"/>
        <v>0.25183270440251548</v>
      </c>
      <c r="AM41" s="34">
        <f t="shared" si="44"/>
        <v>24.32617484276728</v>
      </c>
      <c r="AN41" s="55">
        <f t="shared" si="13"/>
        <v>1001.0349999999989</v>
      </c>
      <c r="AO41" s="371">
        <f t="shared" si="45"/>
        <v>13013.454999999998</v>
      </c>
      <c r="AP41" s="15">
        <f t="shared" si="14"/>
        <v>1.27</v>
      </c>
      <c r="AQ41" s="12">
        <f t="shared" si="46"/>
        <v>0.12348553459119486</v>
      </c>
      <c r="AR41" s="12">
        <f t="shared" si="47"/>
        <v>124.49468805031444</v>
      </c>
      <c r="AS41" s="54">
        <f t="shared" si="15"/>
        <v>490.85499999999956</v>
      </c>
      <c r="AT41" s="65">
        <f t="shared" si="48"/>
        <v>6381.1150000000007</v>
      </c>
      <c r="AU41" s="15">
        <v>0</v>
      </c>
      <c r="AV41" s="34">
        <f t="shared" si="49"/>
        <v>0</v>
      </c>
      <c r="AW41" s="34">
        <f t="shared" si="50"/>
        <v>4.6922771768574366E-3</v>
      </c>
      <c r="AX41" s="55">
        <f t="shared" si="17"/>
        <v>0</v>
      </c>
      <c r="AY41" s="371">
        <f t="shared" si="51"/>
        <v>107703.84819822203</v>
      </c>
      <c r="AZ41" s="15">
        <f t="shared" si="18"/>
        <v>5.1966211010820294E-2</v>
      </c>
      <c r="BA41" s="10">
        <f t="shared" si="52"/>
        <v>5.052815234133843E-3</v>
      </c>
      <c r="BB41" s="12">
        <f t="shared" si="53"/>
        <v>4.42060361404089</v>
      </c>
      <c r="BC41" s="54">
        <f t="shared" si="19"/>
        <v>20.084940555682024</v>
      </c>
      <c r="BD41" s="65">
        <f t="shared" si="54"/>
        <v>2024.8506341874572</v>
      </c>
      <c r="BE41" s="15">
        <f t="shared" si="20"/>
        <v>2085.4309286296598</v>
      </c>
      <c r="BF41" s="13">
        <f t="shared" si="55"/>
        <v>202.77208903531138</v>
      </c>
      <c r="BG41" s="13">
        <f t="shared" si="56"/>
        <v>39461.472926837567</v>
      </c>
      <c r="BH41" s="54">
        <f t="shared" si="21"/>
        <v>806019.05391536281</v>
      </c>
      <c r="BI41" s="65">
        <f t="shared" si="57"/>
        <v>21161020.115820765</v>
      </c>
      <c r="BJ41" s="15">
        <f t="shared" si="22"/>
        <v>0.40600000000000003</v>
      </c>
      <c r="BK41" s="12">
        <f t="shared" si="58"/>
        <v>3.9476477987421349E-2</v>
      </c>
      <c r="BL41" s="12">
        <f t="shared" si="59"/>
        <v>15.486805786163529</v>
      </c>
      <c r="BM41" s="54">
        <f t="shared" si="23"/>
        <v>156.91899999999987</v>
      </c>
      <c r="BN41" s="65">
        <f t="shared" si="60"/>
        <v>2039.9470000000003</v>
      </c>
      <c r="BO41" s="16">
        <f t="shared" si="24"/>
        <v>29.3</v>
      </c>
      <c r="BP41" s="18">
        <f t="shared" si="61"/>
        <v>2.8489182389937082</v>
      </c>
      <c r="BQ41" s="18">
        <f t="shared" si="62"/>
        <v>1643.9640628930813</v>
      </c>
      <c r="BR41" s="54">
        <f t="shared" si="25"/>
        <v>11324.44999999999</v>
      </c>
      <c r="BS41" s="65">
        <f t="shared" si="63"/>
        <v>147217.84999999998</v>
      </c>
    </row>
    <row r="42" spans="2:71" ht="15.75" customHeight="1" x14ac:dyDescent="0.25">
      <c r="B42" s="1">
        <v>14</v>
      </c>
      <c r="C42" s="1">
        <f>Scenario_Info!N$10</f>
        <v>45</v>
      </c>
      <c r="D42" s="35">
        <f>Scenario_Info!N$14</f>
        <v>77.3</v>
      </c>
      <c r="E42" s="36">
        <f>Scenario_Info!N$18</f>
        <v>309200</v>
      </c>
      <c r="F42" s="38">
        <f>F41+Percolation!E42/$D$7</f>
        <v>1.36125786163522</v>
      </c>
      <c r="G42" s="11">
        <f t="shared" si="0"/>
        <v>9.0999999999999998E-2</v>
      </c>
      <c r="H42" s="10">
        <f t="shared" si="26"/>
        <v>8.8481761006289229E-3</v>
      </c>
      <c r="I42" s="12">
        <f t="shared" si="65"/>
        <v>12.776125534591186</v>
      </c>
      <c r="J42" s="53">
        <f t="shared" si="1"/>
        <v>35.171499999999966</v>
      </c>
      <c r="K42" s="69">
        <f t="shared" si="27"/>
        <v>492.40100000000001</v>
      </c>
      <c r="L42" s="11">
        <f t="shared" si="2"/>
        <v>4.5999999999999999E-2</v>
      </c>
      <c r="M42" s="10">
        <f t="shared" si="28"/>
        <v>4.4727044025157188E-3</v>
      </c>
      <c r="N42" s="12">
        <f t="shared" si="29"/>
        <v>799.93738213836536</v>
      </c>
      <c r="O42" s="53">
        <f t="shared" si="3"/>
        <v>17.778999999999982</v>
      </c>
      <c r="P42" s="69">
        <f t="shared" si="30"/>
        <v>248.90599999999995</v>
      </c>
      <c r="Q42" s="15">
        <f t="shared" si="4"/>
        <v>5.8</v>
      </c>
      <c r="R42" s="12">
        <f t="shared" si="31"/>
        <v>0.56394968553459068</v>
      </c>
      <c r="S42" s="12">
        <f t="shared" si="32"/>
        <v>493.10470440251606</v>
      </c>
      <c r="T42" s="54">
        <f t="shared" si="5"/>
        <v>2241.699999999998</v>
      </c>
      <c r="U42" s="65">
        <f t="shared" si="33"/>
        <v>31383.799999999996</v>
      </c>
      <c r="V42" s="15">
        <f t="shared" si="6"/>
        <v>6.3555508377860006</v>
      </c>
      <c r="W42" s="12">
        <f t="shared" si="34"/>
        <v>0.61796739592560679</v>
      </c>
      <c r="X42" s="12">
        <f t="shared" si="35"/>
        <v>311.86454637498412</v>
      </c>
      <c r="Y42" s="54">
        <f t="shared" si="7"/>
        <v>2456.4203988042868</v>
      </c>
      <c r="Z42" s="65">
        <f t="shared" si="36"/>
        <v>648463.42815943749</v>
      </c>
      <c r="AA42" s="81">
        <f t="shared" si="8"/>
        <v>2.5000000000000001E-4</v>
      </c>
      <c r="AB42" s="12">
        <f t="shared" si="37"/>
        <v>2.430817610062891E-5</v>
      </c>
      <c r="AC42" s="12">
        <f t="shared" si="38"/>
        <v>21.89965968553458</v>
      </c>
      <c r="AD42" s="373">
        <f t="shared" si="9"/>
        <v>9.6624999999999919E-2</v>
      </c>
      <c r="AE42" s="374">
        <f t="shared" si="39"/>
        <v>1.3527500000000003</v>
      </c>
      <c r="AF42" s="15">
        <f t="shared" si="10"/>
        <v>1.42</v>
      </c>
      <c r="AG42" s="12">
        <f t="shared" si="40"/>
        <v>0.1380704402515722</v>
      </c>
      <c r="AH42" s="13">
        <f t="shared" si="41"/>
        <v>11212.067013836488</v>
      </c>
      <c r="AI42" s="54">
        <f t="shared" si="11"/>
        <v>548.82999999999947</v>
      </c>
      <c r="AJ42" s="65">
        <f t="shared" si="42"/>
        <v>7683.619999999999</v>
      </c>
      <c r="AK42" s="32">
        <f t="shared" si="12"/>
        <v>2.59</v>
      </c>
      <c r="AL42" s="34">
        <f t="shared" si="43"/>
        <v>0.25183270440251548</v>
      </c>
      <c r="AM42" s="34">
        <f t="shared" si="44"/>
        <v>24.074342138364763</v>
      </c>
      <c r="AN42" s="55">
        <f t="shared" si="13"/>
        <v>1001.0349999999989</v>
      </c>
      <c r="AO42" s="371">
        <f t="shared" si="45"/>
        <v>14014.489999999998</v>
      </c>
      <c r="AP42" s="15">
        <f t="shared" si="14"/>
        <v>1.27</v>
      </c>
      <c r="AQ42" s="12">
        <f t="shared" si="46"/>
        <v>0.12348553459119486</v>
      </c>
      <c r="AR42" s="12">
        <f t="shared" si="47"/>
        <v>124.37120251572324</v>
      </c>
      <c r="AS42" s="54">
        <f t="shared" si="15"/>
        <v>490.85499999999956</v>
      </c>
      <c r="AT42" s="65">
        <f t="shared" si="48"/>
        <v>6871.97</v>
      </c>
      <c r="AU42" s="15">
        <v>0</v>
      </c>
      <c r="AV42" s="34">
        <f t="shared" si="49"/>
        <v>0</v>
      </c>
      <c r="AW42" s="34">
        <f t="shared" si="50"/>
        <v>4.6922771768574366E-3</v>
      </c>
      <c r="AX42" s="55">
        <f t="shared" si="17"/>
        <v>0</v>
      </c>
      <c r="AY42" s="371">
        <f t="shared" si="51"/>
        <v>107703.84819822203</v>
      </c>
      <c r="AZ42" s="15">
        <f t="shared" si="18"/>
        <v>5.1966211010820294E-2</v>
      </c>
      <c r="BA42" s="10">
        <f t="shared" si="52"/>
        <v>5.052815234133843E-3</v>
      </c>
      <c r="BB42" s="12">
        <f t="shared" si="53"/>
        <v>4.4155507988067564</v>
      </c>
      <c r="BC42" s="54">
        <f t="shared" si="19"/>
        <v>20.084940555682024</v>
      </c>
      <c r="BD42" s="65">
        <f t="shared" si="54"/>
        <v>2044.9355747431393</v>
      </c>
      <c r="BE42" s="15">
        <f t="shared" si="20"/>
        <v>2085.4309286296598</v>
      </c>
      <c r="BF42" s="13">
        <f t="shared" si="55"/>
        <v>202.77208903531138</v>
      </c>
      <c r="BG42" s="13">
        <f t="shared" si="56"/>
        <v>39258.700837802258</v>
      </c>
      <c r="BH42" s="54">
        <f t="shared" si="21"/>
        <v>806019.05391536281</v>
      </c>
      <c r="BI42" s="65">
        <f t="shared" si="57"/>
        <v>21967039.169736128</v>
      </c>
      <c r="BJ42" s="15">
        <f t="shared" si="22"/>
        <v>0.40600000000000003</v>
      </c>
      <c r="BK42" s="12">
        <f t="shared" si="58"/>
        <v>3.9476477987421349E-2</v>
      </c>
      <c r="BL42" s="12">
        <f t="shared" si="59"/>
        <v>15.447329308176108</v>
      </c>
      <c r="BM42" s="54">
        <f t="shared" si="23"/>
        <v>156.91899999999987</v>
      </c>
      <c r="BN42" s="65">
        <f t="shared" si="60"/>
        <v>2196.866</v>
      </c>
      <c r="BO42" s="16">
        <f t="shared" si="24"/>
        <v>29.3</v>
      </c>
      <c r="BP42" s="18">
        <f t="shared" si="61"/>
        <v>2.8489182389937082</v>
      </c>
      <c r="BQ42" s="18">
        <f t="shared" si="62"/>
        <v>1641.1151446540875</v>
      </c>
      <c r="BR42" s="54">
        <f t="shared" si="25"/>
        <v>11324.44999999999</v>
      </c>
      <c r="BS42" s="65">
        <f t="shared" si="63"/>
        <v>158542.29999999996</v>
      </c>
    </row>
    <row r="43" spans="2:71" ht="15.75" customHeight="1" x14ac:dyDescent="0.25">
      <c r="B43" s="1">
        <v>15</v>
      </c>
      <c r="C43" s="1">
        <f>Scenario_Info!N$10</f>
        <v>45</v>
      </c>
      <c r="D43" s="35">
        <f>Scenario_Info!N$14</f>
        <v>77.3</v>
      </c>
      <c r="E43" s="36">
        <f>Scenario_Info!N$18</f>
        <v>309200</v>
      </c>
      <c r="F43" s="83">
        <f>F42+Percolation!E43/$D$7</f>
        <v>1.4584905660377356</v>
      </c>
      <c r="G43" s="11">
        <f t="shared" si="0"/>
        <v>9.0999999999999998E-2</v>
      </c>
      <c r="H43" s="10">
        <f t="shared" si="26"/>
        <v>8.8481761006289229E-3</v>
      </c>
      <c r="I43" s="12">
        <f t="shared" si="65"/>
        <v>12.767277358490556</v>
      </c>
      <c r="J43" s="53">
        <f t="shared" si="1"/>
        <v>35.171499999999966</v>
      </c>
      <c r="K43" s="69">
        <f t="shared" si="27"/>
        <v>527.57249999999999</v>
      </c>
      <c r="L43" s="11">
        <f t="shared" si="2"/>
        <v>4.5999999999999999E-2</v>
      </c>
      <c r="M43" s="10">
        <f t="shared" si="28"/>
        <v>4.4727044025157188E-3</v>
      </c>
      <c r="N43" s="12">
        <f t="shared" si="29"/>
        <v>799.93290943396289</v>
      </c>
      <c r="O43" s="53">
        <f t="shared" si="3"/>
        <v>17.778999999999982</v>
      </c>
      <c r="P43" s="69">
        <f t="shared" si="30"/>
        <v>266.68499999999995</v>
      </c>
      <c r="Q43" s="15">
        <f t="shared" si="4"/>
        <v>5.8</v>
      </c>
      <c r="R43" s="12">
        <f t="shared" si="31"/>
        <v>0.56394968553459068</v>
      </c>
      <c r="S43" s="12">
        <f t="shared" si="32"/>
        <v>492.5407547169815</v>
      </c>
      <c r="T43" s="54">
        <f t="shared" si="5"/>
        <v>2241.699999999998</v>
      </c>
      <c r="U43" s="65">
        <f t="shared" si="33"/>
        <v>33625.499999999993</v>
      </c>
      <c r="V43" s="15">
        <f t="shared" si="6"/>
        <v>6.3555508377860006</v>
      </c>
      <c r="W43" s="12">
        <f t="shared" si="34"/>
        <v>0.61796739592560679</v>
      </c>
      <c r="X43" s="12">
        <f t="shared" si="35"/>
        <v>311.24657897905848</v>
      </c>
      <c r="Y43" s="54">
        <f t="shared" si="7"/>
        <v>2456.4203988042868</v>
      </c>
      <c r="Z43" s="65">
        <f t="shared" si="36"/>
        <v>650919.84855824173</v>
      </c>
      <c r="AA43" s="81">
        <f t="shared" si="8"/>
        <v>2.5000000000000001E-4</v>
      </c>
      <c r="AB43" s="12">
        <f t="shared" si="37"/>
        <v>2.430817610062891E-5</v>
      </c>
      <c r="AC43" s="12">
        <f t="shared" si="38"/>
        <v>21.899635377358479</v>
      </c>
      <c r="AD43" s="373">
        <f t="shared" si="9"/>
        <v>9.6624999999999919E-2</v>
      </c>
      <c r="AE43" s="374">
        <f t="shared" si="39"/>
        <v>1.4493750000000003</v>
      </c>
      <c r="AF43" s="15">
        <f t="shared" si="10"/>
        <v>1.42</v>
      </c>
      <c r="AG43" s="12">
        <f t="shared" si="40"/>
        <v>0.1380704402515722</v>
      </c>
      <c r="AH43" s="13">
        <f t="shared" si="41"/>
        <v>11211.928943396237</v>
      </c>
      <c r="AI43" s="54">
        <f t="shared" si="11"/>
        <v>548.82999999999947</v>
      </c>
      <c r="AJ43" s="65">
        <f t="shared" si="42"/>
        <v>8232.4499999999989</v>
      </c>
      <c r="AK43" s="32">
        <f t="shared" si="12"/>
        <v>2.59</v>
      </c>
      <c r="AL43" s="34">
        <f t="shared" si="43"/>
        <v>0.25183270440251548</v>
      </c>
      <c r="AM43" s="34">
        <f t="shared" si="44"/>
        <v>23.822509433962246</v>
      </c>
      <c r="AN43" s="55">
        <f t="shared" si="13"/>
        <v>1001.0349999999989</v>
      </c>
      <c r="AO43" s="371">
        <f t="shared" si="45"/>
        <v>15015.524999999998</v>
      </c>
      <c r="AP43" s="15">
        <f t="shared" si="14"/>
        <v>1.27</v>
      </c>
      <c r="AQ43" s="12">
        <f t="shared" si="46"/>
        <v>0.12348553459119486</v>
      </c>
      <c r="AR43" s="12">
        <f t="shared" si="47"/>
        <v>124.24771698113204</v>
      </c>
      <c r="AS43" s="54">
        <f t="shared" si="15"/>
        <v>490.85499999999956</v>
      </c>
      <c r="AT43" s="65">
        <f t="shared" si="48"/>
        <v>7362.8249999999998</v>
      </c>
      <c r="AU43" s="15">
        <v>0</v>
      </c>
      <c r="AV43" s="34">
        <f t="shared" si="49"/>
        <v>0</v>
      </c>
      <c r="AW43" s="34">
        <f t="shared" si="50"/>
        <v>4.6922771768574366E-3</v>
      </c>
      <c r="AX43" s="55">
        <f t="shared" si="17"/>
        <v>0</v>
      </c>
      <c r="AY43" s="371">
        <f t="shared" si="51"/>
        <v>107703.84819822203</v>
      </c>
      <c r="AZ43" s="15">
        <f t="shared" si="18"/>
        <v>5.1966211010820294E-2</v>
      </c>
      <c r="BA43" s="10">
        <f t="shared" si="52"/>
        <v>5.052815234133843E-3</v>
      </c>
      <c r="BB43" s="12">
        <f t="shared" si="53"/>
        <v>4.4104979835726228</v>
      </c>
      <c r="BC43" s="54">
        <f t="shared" si="19"/>
        <v>20.084940555682024</v>
      </c>
      <c r="BD43" s="65">
        <f t="shared" si="54"/>
        <v>2065.0205152988215</v>
      </c>
      <c r="BE43" s="15">
        <f t="shared" si="20"/>
        <v>2085.4309286296598</v>
      </c>
      <c r="BF43" s="13">
        <f t="shared" si="55"/>
        <v>202.77208903531138</v>
      </c>
      <c r="BG43" s="13">
        <f t="shared" si="56"/>
        <v>39055.92874876695</v>
      </c>
      <c r="BH43" s="54">
        <f t="shared" si="21"/>
        <v>806019.05391536281</v>
      </c>
      <c r="BI43" s="65">
        <f t="shared" si="57"/>
        <v>22773058.223651491</v>
      </c>
      <c r="BJ43" s="15">
        <f t="shared" si="22"/>
        <v>0.40600000000000003</v>
      </c>
      <c r="BK43" s="12">
        <f t="shared" si="58"/>
        <v>3.9476477987421349E-2</v>
      </c>
      <c r="BL43" s="12">
        <f t="shared" si="59"/>
        <v>15.407852830188688</v>
      </c>
      <c r="BM43" s="54">
        <f t="shared" si="23"/>
        <v>156.91899999999987</v>
      </c>
      <c r="BN43" s="65">
        <f t="shared" si="60"/>
        <v>2353.7849999999999</v>
      </c>
      <c r="BO43" s="16">
        <f t="shared" si="24"/>
        <v>29.3</v>
      </c>
      <c r="BP43" s="18">
        <f t="shared" si="61"/>
        <v>2.8489182389937082</v>
      </c>
      <c r="BQ43" s="18">
        <f t="shared" si="62"/>
        <v>1638.2662264150938</v>
      </c>
      <c r="BR43" s="54">
        <f t="shared" si="25"/>
        <v>11324.44999999999</v>
      </c>
      <c r="BS43" s="65">
        <f t="shared" si="63"/>
        <v>169866.74999999994</v>
      </c>
    </row>
    <row r="44" spans="2:71" ht="15.75" customHeight="1" x14ac:dyDescent="0.25">
      <c r="B44" s="1">
        <v>16</v>
      </c>
      <c r="C44" s="1">
        <f>Scenario_Info!N$10</f>
        <v>45</v>
      </c>
      <c r="D44" s="35">
        <f>Scenario_Info!N$14</f>
        <v>77.3</v>
      </c>
      <c r="E44" s="36">
        <f>Scenario_Info!N$18</f>
        <v>309200</v>
      </c>
      <c r="F44" s="37">
        <f>F43+Percolation!E44/$D$7</f>
        <v>1.5557232704402513</v>
      </c>
      <c r="G44" s="11">
        <f t="shared" si="0"/>
        <v>9.0999999999999998E-2</v>
      </c>
      <c r="H44" s="10">
        <f t="shared" si="26"/>
        <v>8.8481761006289229E-3</v>
      </c>
      <c r="I44" s="12">
        <f t="shared" si="65"/>
        <v>12.758429182389927</v>
      </c>
      <c r="J44" s="53">
        <f t="shared" si="1"/>
        <v>35.171499999999966</v>
      </c>
      <c r="K44" s="69">
        <f t="shared" si="27"/>
        <v>562.74399999999991</v>
      </c>
      <c r="L44" s="11">
        <f t="shared" si="2"/>
        <v>4.5999999999999999E-2</v>
      </c>
      <c r="M44" s="10">
        <f t="shared" si="28"/>
        <v>4.4727044025157188E-3</v>
      </c>
      <c r="N44" s="12">
        <f t="shared" si="29"/>
        <v>799.92843672956042</v>
      </c>
      <c r="O44" s="53">
        <f t="shared" si="3"/>
        <v>17.778999999999982</v>
      </c>
      <c r="P44" s="69">
        <f t="shared" si="30"/>
        <v>284.46399999999994</v>
      </c>
      <c r="Q44" s="15">
        <f t="shared" si="4"/>
        <v>5.8</v>
      </c>
      <c r="R44" s="12">
        <f t="shared" si="31"/>
        <v>0.56394968553459068</v>
      </c>
      <c r="S44" s="12">
        <f t="shared" si="32"/>
        <v>491.97680503144693</v>
      </c>
      <c r="T44" s="54">
        <f t="shared" si="5"/>
        <v>2241.699999999998</v>
      </c>
      <c r="U44" s="65">
        <f t="shared" si="33"/>
        <v>35867.19999999999</v>
      </c>
      <c r="V44" s="15">
        <f t="shared" si="6"/>
        <v>4.684408929338721</v>
      </c>
      <c r="W44" s="12">
        <f t="shared" si="34"/>
        <v>0.45547774872689661</v>
      </c>
      <c r="X44" s="12">
        <f t="shared" si="35"/>
        <v>310.79110123033161</v>
      </c>
      <c r="Y44" s="54">
        <f t="shared" si="7"/>
        <v>1810.5240511894142</v>
      </c>
      <c r="Z44" s="65">
        <f t="shared" si="36"/>
        <v>652730.37260943116</v>
      </c>
      <c r="AA44" s="81">
        <f t="shared" si="8"/>
        <v>2.5000000000000001E-4</v>
      </c>
      <c r="AB44" s="12">
        <f t="shared" si="37"/>
        <v>2.430817610062891E-5</v>
      </c>
      <c r="AC44" s="12">
        <f t="shared" si="38"/>
        <v>21.899611069182377</v>
      </c>
      <c r="AD44" s="373">
        <f t="shared" si="9"/>
        <v>9.6624999999999919E-2</v>
      </c>
      <c r="AE44" s="374">
        <f t="shared" si="39"/>
        <v>1.5460000000000003</v>
      </c>
      <c r="AF44" s="15">
        <f t="shared" si="10"/>
        <v>1.42</v>
      </c>
      <c r="AG44" s="12">
        <f t="shared" si="40"/>
        <v>0.1380704402515722</v>
      </c>
      <c r="AH44" s="13">
        <f t="shared" si="41"/>
        <v>11211.790872955986</v>
      </c>
      <c r="AI44" s="54">
        <f t="shared" si="11"/>
        <v>548.82999999999947</v>
      </c>
      <c r="AJ44" s="65">
        <f t="shared" si="42"/>
        <v>8781.2799999999988</v>
      </c>
      <c r="AK44" s="32">
        <f t="shared" si="12"/>
        <v>2.59</v>
      </c>
      <c r="AL44" s="34">
        <f t="shared" si="43"/>
        <v>0.25183270440251548</v>
      </c>
      <c r="AM44" s="34">
        <f t="shared" si="44"/>
        <v>23.570676729559729</v>
      </c>
      <c r="AN44" s="55">
        <f t="shared" si="13"/>
        <v>1001.0349999999989</v>
      </c>
      <c r="AO44" s="371">
        <f t="shared" si="45"/>
        <v>16016.559999999998</v>
      </c>
      <c r="AP44" s="15">
        <f t="shared" si="14"/>
        <v>1.27</v>
      </c>
      <c r="AQ44" s="12">
        <f t="shared" si="46"/>
        <v>0.12348553459119486</v>
      </c>
      <c r="AR44" s="12">
        <f t="shared" si="47"/>
        <v>124.12423144654085</v>
      </c>
      <c r="AS44" s="54">
        <f t="shared" si="15"/>
        <v>490.85499999999956</v>
      </c>
      <c r="AT44" s="65">
        <f t="shared" si="48"/>
        <v>7853.6799999999994</v>
      </c>
      <c r="AU44" s="15">
        <v>0</v>
      </c>
      <c r="AV44" s="34">
        <f t="shared" si="49"/>
        <v>0</v>
      </c>
      <c r="AW44" s="34">
        <f t="shared" si="50"/>
        <v>4.6922771768574366E-3</v>
      </c>
      <c r="AX44" s="55">
        <f t="shared" si="17"/>
        <v>0</v>
      </c>
      <c r="AY44" s="371">
        <f t="shared" si="51"/>
        <v>107703.84819822203</v>
      </c>
      <c r="AZ44" s="15">
        <f t="shared" si="18"/>
        <v>3.7655156376169376E-2</v>
      </c>
      <c r="BA44" s="10">
        <f t="shared" si="52"/>
        <v>3.6613126891545788E-3</v>
      </c>
      <c r="BB44" s="12">
        <f t="shared" si="53"/>
        <v>4.4068366708834681</v>
      </c>
      <c r="BC44" s="54">
        <f t="shared" si="19"/>
        <v>14.55371793938945</v>
      </c>
      <c r="BD44" s="65">
        <f t="shared" si="54"/>
        <v>2079.574233238211</v>
      </c>
      <c r="BE44" s="15">
        <f t="shared" si="20"/>
        <v>1987.5630125325117</v>
      </c>
      <c r="BF44" s="13">
        <f t="shared" si="55"/>
        <v>193.25612687894719</v>
      </c>
      <c r="BG44" s="13">
        <f t="shared" si="56"/>
        <v>38862.672621887999</v>
      </c>
      <c r="BH44" s="54">
        <f t="shared" si="21"/>
        <v>768193.10434381501</v>
      </c>
      <c r="BI44" s="65">
        <f t="shared" si="57"/>
        <v>23541251.327995308</v>
      </c>
      <c r="BJ44" s="15">
        <f t="shared" si="22"/>
        <v>0.40600000000000003</v>
      </c>
      <c r="BK44" s="12">
        <f t="shared" si="58"/>
        <v>3.9476477987421349E-2</v>
      </c>
      <c r="BL44" s="12">
        <f t="shared" si="59"/>
        <v>15.368376352201267</v>
      </c>
      <c r="BM44" s="54">
        <f t="shared" si="23"/>
        <v>156.91899999999987</v>
      </c>
      <c r="BN44" s="65">
        <f t="shared" si="60"/>
        <v>2510.7039999999997</v>
      </c>
      <c r="BO44" s="16">
        <f t="shared" si="24"/>
        <v>29.3</v>
      </c>
      <c r="BP44" s="18">
        <f t="shared" si="61"/>
        <v>2.8489182389937082</v>
      </c>
      <c r="BQ44" s="18">
        <f t="shared" si="62"/>
        <v>1635.4173081761001</v>
      </c>
      <c r="BR44" s="54">
        <f t="shared" si="25"/>
        <v>11324.44999999999</v>
      </c>
      <c r="BS44" s="65">
        <f t="shared" si="63"/>
        <v>181191.19999999992</v>
      </c>
    </row>
    <row r="45" spans="2:71" ht="15.75" customHeight="1" x14ac:dyDescent="0.25">
      <c r="B45" s="1">
        <v>17</v>
      </c>
      <c r="C45" s="1">
        <f>Scenario_Info!N$10</f>
        <v>45</v>
      </c>
      <c r="D45" s="35">
        <f>Scenario_Info!N$14</f>
        <v>77.3</v>
      </c>
      <c r="E45" s="36">
        <f>Scenario_Info!N$18</f>
        <v>309200</v>
      </c>
      <c r="F45" s="37">
        <f>F44+Percolation!E45/$D$7</f>
        <v>1.6529559748427669</v>
      </c>
      <c r="G45" s="11">
        <f t="shared" si="0"/>
        <v>9.0999999999999998E-2</v>
      </c>
      <c r="H45" s="10">
        <f t="shared" si="26"/>
        <v>8.8481761006289229E-3</v>
      </c>
      <c r="I45" s="12">
        <f t="shared" si="65"/>
        <v>12.749581006289297</v>
      </c>
      <c r="J45" s="53">
        <f t="shared" si="1"/>
        <v>35.171499999999966</v>
      </c>
      <c r="K45" s="69">
        <f t="shared" si="27"/>
        <v>597.91549999999984</v>
      </c>
      <c r="L45" s="11">
        <f t="shared" si="2"/>
        <v>4.5999999999999999E-2</v>
      </c>
      <c r="M45" s="10">
        <f t="shared" si="28"/>
        <v>4.4727044025157188E-3</v>
      </c>
      <c r="N45" s="12">
        <f t="shared" si="29"/>
        <v>799.92396402515794</v>
      </c>
      <c r="O45" s="53">
        <f t="shared" si="3"/>
        <v>17.778999999999982</v>
      </c>
      <c r="P45" s="69">
        <f t="shared" si="30"/>
        <v>302.24299999999994</v>
      </c>
      <c r="Q45" s="15">
        <f t="shared" si="4"/>
        <v>5.8</v>
      </c>
      <c r="R45" s="12">
        <f t="shared" si="31"/>
        <v>0.56394968553459068</v>
      </c>
      <c r="S45" s="12">
        <f t="shared" si="32"/>
        <v>491.41285534591236</v>
      </c>
      <c r="T45" s="54">
        <f t="shared" si="5"/>
        <v>2241.699999999998</v>
      </c>
      <c r="U45" s="65">
        <f t="shared" si="33"/>
        <v>38108.899999999987</v>
      </c>
      <c r="V45" s="15">
        <f t="shared" si="6"/>
        <v>4.684408929338721</v>
      </c>
      <c r="W45" s="12">
        <f t="shared" si="34"/>
        <v>0.45547774872689661</v>
      </c>
      <c r="X45" s="12">
        <f t="shared" si="35"/>
        <v>310.33562348160473</v>
      </c>
      <c r="Y45" s="54">
        <f t="shared" si="7"/>
        <v>1810.5240511894142</v>
      </c>
      <c r="Z45" s="65">
        <f t="shared" si="36"/>
        <v>654540.89666062058</v>
      </c>
      <c r="AA45" s="81">
        <f t="shared" si="8"/>
        <v>2.5000000000000001E-4</v>
      </c>
      <c r="AB45" s="12">
        <f t="shared" si="37"/>
        <v>2.430817610062891E-5</v>
      </c>
      <c r="AC45" s="12">
        <f t="shared" si="38"/>
        <v>21.899586761006276</v>
      </c>
      <c r="AD45" s="373">
        <f t="shared" si="9"/>
        <v>9.6624999999999919E-2</v>
      </c>
      <c r="AE45" s="374">
        <f t="shared" si="39"/>
        <v>1.6426250000000002</v>
      </c>
      <c r="AF45" s="15">
        <f t="shared" si="10"/>
        <v>1.42</v>
      </c>
      <c r="AG45" s="12">
        <f t="shared" si="40"/>
        <v>0.1380704402515722</v>
      </c>
      <c r="AH45" s="13">
        <f t="shared" si="41"/>
        <v>11211.652802515735</v>
      </c>
      <c r="AI45" s="54">
        <f t="shared" si="11"/>
        <v>548.82999999999947</v>
      </c>
      <c r="AJ45" s="65">
        <f t="shared" si="42"/>
        <v>9330.1099999999988</v>
      </c>
      <c r="AK45" s="32">
        <f t="shared" si="12"/>
        <v>2.59</v>
      </c>
      <c r="AL45" s="34">
        <f t="shared" si="43"/>
        <v>0.25183270440251548</v>
      </c>
      <c r="AM45" s="34">
        <f t="shared" si="44"/>
        <v>23.318844025157212</v>
      </c>
      <c r="AN45" s="55">
        <f t="shared" si="13"/>
        <v>1001.0349999999989</v>
      </c>
      <c r="AO45" s="371">
        <f t="shared" si="45"/>
        <v>17017.594999999998</v>
      </c>
      <c r="AP45" s="15">
        <f t="shared" si="14"/>
        <v>1.27</v>
      </c>
      <c r="AQ45" s="12">
        <f t="shared" si="46"/>
        <v>0.12348553459119486</v>
      </c>
      <c r="AR45" s="12">
        <f t="shared" si="47"/>
        <v>124.00074591194965</v>
      </c>
      <c r="AS45" s="54">
        <f t="shared" si="15"/>
        <v>490.85499999999956</v>
      </c>
      <c r="AT45" s="65">
        <f t="shared" si="48"/>
        <v>8344.5349999999999</v>
      </c>
      <c r="AU45" s="15">
        <v>0</v>
      </c>
      <c r="AV45" s="34">
        <f t="shared" si="49"/>
        <v>0</v>
      </c>
      <c r="AW45" s="34">
        <f t="shared" si="50"/>
        <v>4.6922771768574366E-3</v>
      </c>
      <c r="AX45" s="55">
        <f t="shared" si="17"/>
        <v>0</v>
      </c>
      <c r="AY45" s="371">
        <f t="shared" si="51"/>
        <v>107703.84819822203</v>
      </c>
      <c r="AZ45" s="15">
        <f t="shared" si="18"/>
        <v>3.7655156376169376E-2</v>
      </c>
      <c r="BA45" s="10">
        <f t="shared" si="52"/>
        <v>3.6613126891545788E-3</v>
      </c>
      <c r="BB45" s="12">
        <f t="shared" si="53"/>
        <v>4.4031753581943134</v>
      </c>
      <c r="BC45" s="54">
        <f t="shared" si="19"/>
        <v>14.55371793938945</v>
      </c>
      <c r="BD45" s="65">
        <f t="shared" si="54"/>
        <v>2094.1279511776006</v>
      </c>
      <c r="BE45" s="15">
        <f t="shared" si="20"/>
        <v>1987.5630125325117</v>
      </c>
      <c r="BF45" s="13">
        <f t="shared" si="55"/>
        <v>193.25612687894719</v>
      </c>
      <c r="BG45" s="13">
        <f t="shared" si="56"/>
        <v>38669.416495009049</v>
      </c>
      <c r="BH45" s="54">
        <f t="shared" si="21"/>
        <v>768193.10434381501</v>
      </c>
      <c r="BI45" s="65">
        <f t="shared" si="57"/>
        <v>24309444.432339124</v>
      </c>
      <c r="BJ45" s="15">
        <f t="shared" si="22"/>
        <v>0.40600000000000003</v>
      </c>
      <c r="BK45" s="12">
        <f t="shared" si="58"/>
        <v>3.9476477987421349E-2</v>
      </c>
      <c r="BL45" s="12">
        <f t="shared" si="59"/>
        <v>15.328899874213846</v>
      </c>
      <c r="BM45" s="54">
        <f t="shared" si="23"/>
        <v>156.91899999999987</v>
      </c>
      <c r="BN45" s="65">
        <f t="shared" si="60"/>
        <v>2667.6229999999996</v>
      </c>
      <c r="BO45" s="16">
        <f t="shared" si="24"/>
        <v>29.3</v>
      </c>
      <c r="BP45" s="18">
        <f t="shared" si="61"/>
        <v>2.8489182389937082</v>
      </c>
      <c r="BQ45" s="18">
        <f t="shared" si="62"/>
        <v>1632.5683899371063</v>
      </c>
      <c r="BR45" s="54">
        <f t="shared" si="25"/>
        <v>11324.44999999999</v>
      </c>
      <c r="BS45" s="65">
        <f t="shared" si="63"/>
        <v>192515.64999999991</v>
      </c>
    </row>
    <row r="46" spans="2:71" ht="15.75" customHeight="1" x14ac:dyDescent="0.25">
      <c r="B46" s="1">
        <v>18</v>
      </c>
      <c r="C46" s="1">
        <f>Scenario_Info!N$10</f>
        <v>45</v>
      </c>
      <c r="D46" s="35">
        <f>Scenario_Info!N$14</f>
        <v>77.3</v>
      </c>
      <c r="E46" s="36">
        <f>Scenario_Info!N$18</f>
        <v>309200</v>
      </c>
      <c r="F46" s="38">
        <f>F45+Percolation!E46/$D$7</f>
        <v>1.7501886792452825</v>
      </c>
      <c r="G46" s="11">
        <f t="shared" si="0"/>
        <v>9.0999999999999998E-2</v>
      </c>
      <c r="H46" s="10">
        <f t="shared" si="26"/>
        <v>8.8481761006289229E-3</v>
      </c>
      <c r="I46" s="12">
        <f t="shared" si="65"/>
        <v>12.740732830188668</v>
      </c>
      <c r="J46" s="53">
        <f t="shared" si="1"/>
        <v>35.171499999999966</v>
      </c>
      <c r="K46" s="69">
        <f t="shared" si="27"/>
        <v>633.08699999999976</v>
      </c>
      <c r="L46" s="11">
        <f t="shared" si="2"/>
        <v>4.5999999999999999E-2</v>
      </c>
      <c r="M46" s="10">
        <f t="shared" si="28"/>
        <v>4.4727044025157188E-3</v>
      </c>
      <c r="N46" s="12">
        <f t="shared" si="29"/>
        <v>799.91949132075547</v>
      </c>
      <c r="O46" s="53">
        <f t="shared" si="3"/>
        <v>17.778999999999982</v>
      </c>
      <c r="P46" s="69">
        <f t="shared" si="30"/>
        <v>320.02199999999993</v>
      </c>
      <c r="Q46" s="15">
        <f t="shared" si="4"/>
        <v>5.8</v>
      </c>
      <c r="R46" s="12">
        <f t="shared" si="31"/>
        <v>0.56394968553459068</v>
      </c>
      <c r="S46" s="12">
        <f t="shared" si="32"/>
        <v>490.8489056603778</v>
      </c>
      <c r="T46" s="54">
        <f t="shared" si="5"/>
        <v>2241.699999999998</v>
      </c>
      <c r="U46" s="65">
        <f t="shared" si="33"/>
        <v>40350.599999999984</v>
      </c>
      <c r="V46" s="15">
        <f t="shared" si="6"/>
        <v>4.684408929338721</v>
      </c>
      <c r="W46" s="12">
        <f t="shared" si="34"/>
        <v>0.45547774872689661</v>
      </c>
      <c r="X46" s="12">
        <f t="shared" si="35"/>
        <v>309.88014573287785</v>
      </c>
      <c r="Y46" s="54">
        <f t="shared" si="7"/>
        <v>1810.5240511894142</v>
      </c>
      <c r="Z46" s="65">
        <f t="shared" si="36"/>
        <v>656351.42071181</v>
      </c>
      <c r="AA46" s="81">
        <f t="shared" si="8"/>
        <v>2.5000000000000001E-4</v>
      </c>
      <c r="AB46" s="12">
        <f t="shared" si="37"/>
        <v>2.430817610062891E-5</v>
      </c>
      <c r="AC46" s="12">
        <f t="shared" si="38"/>
        <v>21.899562452830175</v>
      </c>
      <c r="AD46" s="373">
        <f t="shared" si="9"/>
        <v>9.6624999999999919E-2</v>
      </c>
      <c r="AE46" s="374">
        <f t="shared" si="39"/>
        <v>1.7392500000000002</v>
      </c>
      <c r="AF46" s="15">
        <f t="shared" si="10"/>
        <v>1.42</v>
      </c>
      <c r="AG46" s="12">
        <f t="shared" si="40"/>
        <v>0.1380704402515722</v>
      </c>
      <c r="AH46" s="13">
        <f t="shared" si="41"/>
        <v>11211.514732075484</v>
      </c>
      <c r="AI46" s="54">
        <f t="shared" si="11"/>
        <v>548.82999999999947</v>
      </c>
      <c r="AJ46" s="65">
        <f t="shared" si="42"/>
        <v>9878.9399999999987</v>
      </c>
      <c r="AK46" s="32">
        <f t="shared" si="12"/>
        <v>2.59</v>
      </c>
      <c r="AL46" s="34">
        <f t="shared" si="43"/>
        <v>0.25183270440251548</v>
      </c>
      <c r="AM46" s="34">
        <f t="shared" si="44"/>
        <v>23.067011320754695</v>
      </c>
      <c r="AN46" s="55">
        <f t="shared" si="13"/>
        <v>1001.0349999999989</v>
      </c>
      <c r="AO46" s="371">
        <f t="shared" si="45"/>
        <v>18018.629999999997</v>
      </c>
      <c r="AP46" s="15">
        <f t="shared" si="14"/>
        <v>1.27</v>
      </c>
      <c r="AQ46" s="12">
        <f t="shared" si="46"/>
        <v>0.12348553459119486</v>
      </c>
      <c r="AR46" s="12">
        <f t="shared" si="47"/>
        <v>123.87726037735845</v>
      </c>
      <c r="AS46" s="54">
        <f t="shared" si="15"/>
        <v>490.85499999999956</v>
      </c>
      <c r="AT46" s="65">
        <f t="shared" si="48"/>
        <v>8835.39</v>
      </c>
      <c r="AU46" s="15">
        <v>0</v>
      </c>
      <c r="AV46" s="34">
        <f t="shared" si="49"/>
        <v>0</v>
      </c>
      <c r="AW46" s="34">
        <f t="shared" si="50"/>
        <v>4.6922771768574366E-3</v>
      </c>
      <c r="AX46" s="55">
        <f t="shared" si="17"/>
        <v>0</v>
      </c>
      <c r="AY46" s="371">
        <f t="shared" si="51"/>
        <v>107703.84819822203</v>
      </c>
      <c r="AZ46" s="15">
        <f t="shared" si="18"/>
        <v>3.7655156376169376E-2</v>
      </c>
      <c r="BA46" s="10">
        <f t="shared" si="52"/>
        <v>3.6613126891545788E-3</v>
      </c>
      <c r="BB46" s="12">
        <f t="shared" si="53"/>
        <v>4.3995140455051587</v>
      </c>
      <c r="BC46" s="54">
        <f t="shared" si="19"/>
        <v>14.55371793938945</v>
      </c>
      <c r="BD46" s="65">
        <f t="shared" si="54"/>
        <v>2108.6816691169902</v>
      </c>
      <c r="BE46" s="15">
        <f t="shared" si="20"/>
        <v>1987.5630125325117</v>
      </c>
      <c r="BF46" s="13">
        <f t="shared" si="55"/>
        <v>193.25612687894719</v>
      </c>
      <c r="BG46" s="13">
        <f t="shared" si="56"/>
        <v>38476.160368130099</v>
      </c>
      <c r="BH46" s="54">
        <f t="shared" si="21"/>
        <v>768193.10434381501</v>
      </c>
      <c r="BI46" s="65">
        <f t="shared" si="57"/>
        <v>25077637.536682941</v>
      </c>
      <c r="BJ46" s="15">
        <f t="shared" si="22"/>
        <v>0.40600000000000003</v>
      </c>
      <c r="BK46" s="12">
        <f t="shared" si="58"/>
        <v>3.9476477987421349E-2</v>
      </c>
      <c r="BL46" s="12">
        <f t="shared" si="59"/>
        <v>15.289423396226425</v>
      </c>
      <c r="BM46" s="54">
        <f t="shared" si="23"/>
        <v>156.91899999999987</v>
      </c>
      <c r="BN46" s="65">
        <f t="shared" si="60"/>
        <v>2824.5419999999995</v>
      </c>
      <c r="BO46" s="16">
        <f t="shared" si="24"/>
        <v>29.3</v>
      </c>
      <c r="BP46" s="18">
        <f t="shared" si="61"/>
        <v>2.8489182389937082</v>
      </c>
      <c r="BQ46" s="18">
        <f t="shared" si="62"/>
        <v>1629.7194716981126</v>
      </c>
      <c r="BR46" s="54">
        <f t="shared" si="25"/>
        <v>11324.44999999999</v>
      </c>
      <c r="BS46" s="65">
        <f t="shared" si="63"/>
        <v>203840.09999999989</v>
      </c>
    </row>
    <row r="47" spans="2:71" ht="15.75" customHeight="1" x14ac:dyDescent="0.25">
      <c r="B47" s="1">
        <v>19</v>
      </c>
      <c r="C47" s="1">
        <f>Scenario_Info!N$10</f>
        <v>45</v>
      </c>
      <c r="D47" s="35">
        <f>Scenario_Info!N$14</f>
        <v>77.3</v>
      </c>
      <c r="E47" s="36">
        <f>Scenario_Info!N$18</f>
        <v>309200</v>
      </c>
      <c r="F47" s="37">
        <f>F46+Percolation!E47/$D$7</f>
        <v>1.8474213836477982</v>
      </c>
      <c r="G47" s="11">
        <f t="shared" si="0"/>
        <v>9.0999999999999998E-2</v>
      </c>
      <c r="H47" s="10">
        <f t="shared" si="26"/>
        <v>8.8481761006289229E-3</v>
      </c>
      <c r="I47" s="12">
        <f t="shared" si="65"/>
        <v>12.731884654088038</v>
      </c>
      <c r="J47" s="53">
        <f t="shared" si="1"/>
        <v>35.171499999999966</v>
      </c>
      <c r="K47" s="69">
        <f t="shared" si="27"/>
        <v>668.25849999999969</v>
      </c>
      <c r="L47" s="11">
        <f t="shared" si="2"/>
        <v>4.5999999999999999E-2</v>
      </c>
      <c r="M47" s="10">
        <f t="shared" si="28"/>
        <v>4.4727044025157188E-3</v>
      </c>
      <c r="N47" s="12">
        <f t="shared" si="29"/>
        <v>799.915018616353</v>
      </c>
      <c r="O47" s="53">
        <f t="shared" si="3"/>
        <v>17.778999999999982</v>
      </c>
      <c r="P47" s="69">
        <f t="shared" si="30"/>
        <v>337.80099999999993</v>
      </c>
      <c r="Q47" s="15">
        <f t="shared" si="4"/>
        <v>5.8</v>
      </c>
      <c r="R47" s="12">
        <f t="shared" si="31"/>
        <v>0.56394968553459068</v>
      </c>
      <c r="S47" s="12">
        <f t="shared" si="32"/>
        <v>490.28495597484323</v>
      </c>
      <c r="T47" s="54">
        <f t="shared" si="5"/>
        <v>2241.699999999998</v>
      </c>
      <c r="U47" s="65">
        <f t="shared" si="33"/>
        <v>42592.299999999981</v>
      </c>
      <c r="V47" s="15">
        <f t="shared" si="6"/>
        <v>4.684408929338721</v>
      </c>
      <c r="W47" s="12">
        <f t="shared" si="34"/>
        <v>0.45547774872689661</v>
      </c>
      <c r="X47" s="12">
        <f t="shared" si="35"/>
        <v>309.42466798415097</v>
      </c>
      <c r="Y47" s="54">
        <f t="shared" si="7"/>
        <v>1810.5240511894142</v>
      </c>
      <c r="Z47" s="65">
        <f t="shared" si="36"/>
        <v>658161.94476299942</v>
      </c>
      <c r="AA47" s="81">
        <f t="shared" si="8"/>
        <v>2.5000000000000001E-4</v>
      </c>
      <c r="AB47" s="12">
        <f t="shared" si="37"/>
        <v>2.430817610062891E-5</v>
      </c>
      <c r="AC47" s="12">
        <f t="shared" si="38"/>
        <v>21.899538144654073</v>
      </c>
      <c r="AD47" s="373">
        <f t="shared" si="9"/>
        <v>9.6624999999999919E-2</v>
      </c>
      <c r="AE47" s="374">
        <f t="shared" si="39"/>
        <v>1.8358750000000001</v>
      </c>
      <c r="AF47" s="15">
        <f t="shared" si="10"/>
        <v>1.42</v>
      </c>
      <c r="AG47" s="12">
        <f t="shared" si="40"/>
        <v>0.1380704402515722</v>
      </c>
      <c r="AH47" s="13">
        <f t="shared" si="41"/>
        <v>11211.376661635233</v>
      </c>
      <c r="AI47" s="54">
        <f t="shared" si="11"/>
        <v>548.82999999999947</v>
      </c>
      <c r="AJ47" s="65">
        <f t="shared" si="42"/>
        <v>10427.769999999999</v>
      </c>
      <c r="AK47" s="32">
        <f t="shared" si="12"/>
        <v>2.59</v>
      </c>
      <c r="AL47" s="34">
        <f t="shared" si="43"/>
        <v>0.25183270440251548</v>
      </c>
      <c r="AM47" s="34">
        <f t="shared" si="44"/>
        <v>22.815178616352178</v>
      </c>
      <c r="AN47" s="55">
        <f t="shared" si="13"/>
        <v>1001.0349999999989</v>
      </c>
      <c r="AO47" s="371">
        <f t="shared" si="45"/>
        <v>19019.664999999997</v>
      </c>
      <c r="AP47" s="15">
        <f t="shared" si="14"/>
        <v>1.27</v>
      </c>
      <c r="AQ47" s="12">
        <f t="shared" si="46"/>
        <v>0.12348553459119486</v>
      </c>
      <c r="AR47" s="12">
        <f t="shared" si="47"/>
        <v>123.75377484276726</v>
      </c>
      <c r="AS47" s="54">
        <f t="shared" si="15"/>
        <v>490.85499999999956</v>
      </c>
      <c r="AT47" s="65">
        <f t="shared" si="48"/>
        <v>9326.244999999999</v>
      </c>
      <c r="AU47" s="15">
        <v>0</v>
      </c>
      <c r="AV47" s="34">
        <f t="shared" si="49"/>
        <v>0</v>
      </c>
      <c r="AW47" s="34">
        <f t="shared" si="50"/>
        <v>4.6922771768574366E-3</v>
      </c>
      <c r="AX47" s="55">
        <f t="shared" si="17"/>
        <v>0</v>
      </c>
      <c r="AY47" s="371">
        <f t="shared" si="51"/>
        <v>107703.84819822203</v>
      </c>
      <c r="AZ47" s="15">
        <f t="shared" si="18"/>
        <v>3.7655156376169376E-2</v>
      </c>
      <c r="BA47" s="10">
        <f t="shared" si="52"/>
        <v>3.6613126891545788E-3</v>
      </c>
      <c r="BB47" s="12">
        <f t="shared" si="53"/>
        <v>4.395852732816004</v>
      </c>
      <c r="BC47" s="54">
        <f t="shared" si="19"/>
        <v>14.55371793938945</v>
      </c>
      <c r="BD47" s="65">
        <f t="shared" si="54"/>
        <v>2123.2353870563797</v>
      </c>
      <c r="BE47" s="15">
        <f t="shared" si="20"/>
        <v>1987.5630125325117</v>
      </c>
      <c r="BF47" s="13">
        <f t="shared" si="55"/>
        <v>193.25612687894719</v>
      </c>
      <c r="BG47" s="13">
        <f t="shared" si="56"/>
        <v>38282.904241251148</v>
      </c>
      <c r="BH47" s="54">
        <f t="shared" si="21"/>
        <v>768193.10434381501</v>
      </c>
      <c r="BI47" s="65">
        <f t="shared" si="57"/>
        <v>25845830.641026758</v>
      </c>
      <c r="BJ47" s="15">
        <f t="shared" si="22"/>
        <v>0.40600000000000003</v>
      </c>
      <c r="BK47" s="12">
        <f t="shared" si="58"/>
        <v>3.9476477987421349E-2</v>
      </c>
      <c r="BL47" s="12">
        <f t="shared" si="59"/>
        <v>15.249946918239004</v>
      </c>
      <c r="BM47" s="54">
        <f t="shared" si="23"/>
        <v>156.91899999999987</v>
      </c>
      <c r="BN47" s="65">
        <f t="shared" si="60"/>
        <v>2981.4609999999993</v>
      </c>
      <c r="BO47" s="16">
        <f t="shared" si="24"/>
        <v>29.3</v>
      </c>
      <c r="BP47" s="18">
        <f t="shared" si="61"/>
        <v>2.8489182389937082</v>
      </c>
      <c r="BQ47" s="18">
        <f t="shared" si="62"/>
        <v>1626.8705534591188</v>
      </c>
      <c r="BR47" s="54">
        <f t="shared" si="25"/>
        <v>11324.44999999999</v>
      </c>
      <c r="BS47" s="65">
        <f t="shared" si="63"/>
        <v>215164.54999999987</v>
      </c>
    </row>
    <row r="48" spans="2:71" ht="15.75" customHeight="1" x14ac:dyDescent="0.25">
      <c r="B48" s="1">
        <v>20</v>
      </c>
      <c r="C48" s="1">
        <f>Scenario_Info!N$10</f>
        <v>45</v>
      </c>
      <c r="D48" s="35">
        <f>Scenario_Info!N$14</f>
        <v>77.3</v>
      </c>
      <c r="E48" s="36">
        <f>Scenario_Info!N$18</f>
        <v>309200</v>
      </c>
      <c r="F48" s="37">
        <f>F47+Percolation!E48/$D$7</f>
        <v>1.9446540880503138</v>
      </c>
      <c r="G48" s="11">
        <f t="shared" si="0"/>
        <v>9.0999999999999998E-2</v>
      </c>
      <c r="H48" s="10">
        <f t="shared" si="26"/>
        <v>8.8481761006289229E-3</v>
      </c>
      <c r="I48" s="12">
        <f t="shared" si="65"/>
        <v>12.723036477987408</v>
      </c>
      <c r="J48" s="53">
        <f t="shared" si="1"/>
        <v>35.171499999999966</v>
      </c>
      <c r="K48" s="69">
        <f t="shared" si="27"/>
        <v>703.42999999999961</v>
      </c>
      <c r="L48" s="11">
        <f t="shared" si="2"/>
        <v>4.5999999999999999E-2</v>
      </c>
      <c r="M48" s="10">
        <f t="shared" si="28"/>
        <v>4.4727044025157188E-3</v>
      </c>
      <c r="N48" s="12">
        <f t="shared" si="29"/>
        <v>799.91054591195052</v>
      </c>
      <c r="O48" s="53">
        <f t="shared" si="3"/>
        <v>17.778999999999982</v>
      </c>
      <c r="P48" s="69">
        <f t="shared" si="30"/>
        <v>355.57999999999993</v>
      </c>
      <c r="Q48" s="15">
        <f t="shared" si="4"/>
        <v>5.8</v>
      </c>
      <c r="R48" s="12">
        <f t="shared" si="31"/>
        <v>0.56394968553459068</v>
      </c>
      <c r="S48" s="12">
        <f t="shared" si="32"/>
        <v>489.72100628930866</v>
      </c>
      <c r="T48" s="54">
        <f t="shared" si="5"/>
        <v>2241.699999999998</v>
      </c>
      <c r="U48" s="65">
        <f t="shared" si="33"/>
        <v>44833.999999999978</v>
      </c>
      <c r="V48" s="15">
        <f t="shared" si="6"/>
        <v>4.684408929338721</v>
      </c>
      <c r="W48" s="12">
        <f t="shared" si="34"/>
        <v>0.45547774872689661</v>
      </c>
      <c r="X48" s="12">
        <f t="shared" si="35"/>
        <v>308.96919023542409</v>
      </c>
      <c r="Y48" s="54">
        <f t="shared" si="7"/>
        <v>1810.5240511894142</v>
      </c>
      <c r="Z48" s="65">
        <f t="shared" si="36"/>
        <v>659972.46881418885</v>
      </c>
      <c r="AA48" s="81">
        <f t="shared" si="8"/>
        <v>2.5000000000000001E-4</v>
      </c>
      <c r="AB48" s="12">
        <f t="shared" si="37"/>
        <v>2.430817610062891E-5</v>
      </c>
      <c r="AC48" s="12">
        <f t="shared" si="38"/>
        <v>21.899513836477972</v>
      </c>
      <c r="AD48" s="373">
        <f t="shared" si="9"/>
        <v>9.6624999999999919E-2</v>
      </c>
      <c r="AE48" s="374">
        <f t="shared" si="39"/>
        <v>1.9325000000000001</v>
      </c>
      <c r="AF48" s="15">
        <f t="shared" si="10"/>
        <v>1.42</v>
      </c>
      <c r="AG48" s="12">
        <f t="shared" si="40"/>
        <v>0.1380704402515722</v>
      </c>
      <c r="AH48" s="13">
        <f t="shared" si="41"/>
        <v>11211.238591194982</v>
      </c>
      <c r="AI48" s="54">
        <f t="shared" si="11"/>
        <v>548.82999999999947</v>
      </c>
      <c r="AJ48" s="65">
        <f t="shared" si="42"/>
        <v>10976.599999999999</v>
      </c>
      <c r="AK48" s="32">
        <f t="shared" si="12"/>
        <v>2.59</v>
      </c>
      <c r="AL48" s="34">
        <f t="shared" si="43"/>
        <v>0.25183270440251548</v>
      </c>
      <c r="AM48" s="34">
        <f t="shared" si="44"/>
        <v>22.563345911949661</v>
      </c>
      <c r="AN48" s="55">
        <f t="shared" si="13"/>
        <v>1001.0349999999989</v>
      </c>
      <c r="AO48" s="371">
        <f t="shared" si="45"/>
        <v>20020.699999999997</v>
      </c>
      <c r="AP48" s="15">
        <f t="shared" si="14"/>
        <v>1.27</v>
      </c>
      <c r="AQ48" s="12">
        <f t="shared" si="46"/>
        <v>0.12348553459119486</v>
      </c>
      <c r="AR48" s="12">
        <f t="shared" si="47"/>
        <v>123.63028930817606</v>
      </c>
      <c r="AS48" s="54">
        <f t="shared" si="15"/>
        <v>490.85499999999956</v>
      </c>
      <c r="AT48" s="65">
        <f t="shared" si="48"/>
        <v>9817.0999999999985</v>
      </c>
      <c r="AU48" s="15">
        <v>0</v>
      </c>
      <c r="AV48" s="34">
        <f t="shared" si="49"/>
        <v>0</v>
      </c>
      <c r="AW48" s="34">
        <f t="shared" si="50"/>
        <v>4.6922771768574366E-3</v>
      </c>
      <c r="AX48" s="55">
        <f t="shared" si="17"/>
        <v>0</v>
      </c>
      <c r="AY48" s="371">
        <f t="shared" si="51"/>
        <v>107703.84819822203</v>
      </c>
      <c r="AZ48" s="15">
        <f t="shared" si="18"/>
        <v>3.7655156376169376E-2</v>
      </c>
      <c r="BA48" s="10">
        <f t="shared" si="52"/>
        <v>3.6613126891545788E-3</v>
      </c>
      <c r="BB48" s="12">
        <f t="shared" si="53"/>
        <v>4.3921914201268493</v>
      </c>
      <c r="BC48" s="54">
        <f t="shared" si="19"/>
        <v>14.55371793938945</v>
      </c>
      <c r="BD48" s="65">
        <f t="shared" si="54"/>
        <v>2137.7891049957693</v>
      </c>
      <c r="BE48" s="15">
        <f t="shared" si="20"/>
        <v>1987.5630125325117</v>
      </c>
      <c r="BF48" s="13">
        <f t="shared" si="55"/>
        <v>193.25612687894719</v>
      </c>
      <c r="BG48" s="13">
        <f t="shared" si="56"/>
        <v>38089.648114372198</v>
      </c>
      <c r="BH48" s="54">
        <f t="shared" si="21"/>
        <v>768193.10434381501</v>
      </c>
      <c r="BI48" s="65">
        <f t="shared" si="57"/>
        <v>26614023.745370574</v>
      </c>
      <c r="BJ48" s="15">
        <f t="shared" si="22"/>
        <v>0.40600000000000003</v>
      </c>
      <c r="BK48" s="12">
        <f t="shared" si="58"/>
        <v>3.9476477987421349E-2</v>
      </c>
      <c r="BL48" s="12">
        <f t="shared" si="59"/>
        <v>15.210470440251584</v>
      </c>
      <c r="BM48" s="54">
        <f t="shared" si="23"/>
        <v>156.91899999999987</v>
      </c>
      <c r="BN48" s="65">
        <f t="shared" si="60"/>
        <v>3138.3799999999992</v>
      </c>
      <c r="BO48" s="16">
        <f t="shared" si="24"/>
        <v>29.3</v>
      </c>
      <c r="BP48" s="18">
        <f t="shared" si="61"/>
        <v>2.8489182389937082</v>
      </c>
      <c r="BQ48" s="18">
        <f t="shared" si="62"/>
        <v>1624.0216352201251</v>
      </c>
      <c r="BR48" s="54">
        <f t="shared" si="25"/>
        <v>11324.44999999999</v>
      </c>
      <c r="BS48" s="65">
        <f t="shared" si="63"/>
        <v>226488.99999999985</v>
      </c>
    </row>
    <row r="49" spans="2:73" ht="15.75" customHeight="1" x14ac:dyDescent="0.25">
      <c r="B49" s="1">
        <v>21</v>
      </c>
      <c r="C49" s="1">
        <f>Scenario_Info!N$10</f>
        <v>45</v>
      </c>
      <c r="D49" s="35">
        <f>Scenario_Info!N$14</f>
        <v>77.3</v>
      </c>
      <c r="E49" s="36">
        <f>Scenario_Info!N$18</f>
        <v>309200</v>
      </c>
      <c r="F49" s="83">
        <f>F48+Percolation!E49/$D$7</f>
        <v>2.0418867924528294</v>
      </c>
      <c r="G49" s="11">
        <f t="shared" si="0"/>
        <v>9.0999999999999998E-2</v>
      </c>
      <c r="H49" s="10">
        <f t="shared" si="26"/>
        <v>8.8481761006289229E-3</v>
      </c>
      <c r="I49" s="12">
        <f t="shared" si="65"/>
        <v>12.714188301886779</v>
      </c>
      <c r="J49" s="53">
        <f t="shared" si="1"/>
        <v>35.171499999999966</v>
      </c>
      <c r="K49" s="69">
        <f t="shared" si="27"/>
        <v>738.60149999999953</v>
      </c>
      <c r="L49" s="11">
        <f t="shared" si="2"/>
        <v>4.5999999999999999E-2</v>
      </c>
      <c r="M49" s="10">
        <f t="shared" si="28"/>
        <v>4.4727044025157188E-3</v>
      </c>
      <c r="N49" s="12">
        <f t="shared" si="29"/>
        <v>799.90607320754805</v>
      </c>
      <c r="O49" s="53">
        <f t="shared" si="3"/>
        <v>17.778999999999982</v>
      </c>
      <c r="P49" s="69">
        <f t="shared" si="30"/>
        <v>373.35899999999992</v>
      </c>
      <c r="Q49" s="15">
        <f t="shared" si="4"/>
        <v>5.8</v>
      </c>
      <c r="R49" s="12">
        <f t="shared" si="31"/>
        <v>0.56394968553459068</v>
      </c>
      <c r="S49" s="12">
        <f t="shared" si="32"/>
        <v>489.15705660377409</v>
      </c>
      <c r="T49" s="54">
        <f t="shared" si="5"/>
        <v>2241.699999999998</v>
      </c>
      <c r="U49" s="65">
        <f t="shared" si="33"/>
        <v>47075.699999999975</v>
      </c>
      <c r="V49" s="15">
        <f t="shared" si="6"/>
        <v>2.6776611300395068</v>
      </c>
      <c r="W49" s="12">
        <f t="shared" si="34"/>
        <v>0.26035623314723733</v>
      </c>
      <c r="X49" s="12">
        <f t="shared" si="35"/>
        <v>308.70883400227683</v>
      </c>
      <c r="Y49" s="54">
        <f t="shared" si="7"/>
        <v>1034.9160267602683</v>
      </c>
      <c r="Z49" s="65">
        <f t="shared" si="36"/>
        <v>661007.38484094909</v>
      </c>
      <c r="AA49" s="81">
        <f t="shared" si="8"/>
        <v>2.5000000000000001E-4</v>
      </c>
      <c r="AB49" s="12">
        <f t="shared" si="37"/>
        <v>2.430817610062891E-5</v>
      </c>
      <c r="AC49" s="12">
        <f t="shared" si="38"/>
        <v>21.899489528301871</v>
      </c>
      <c r="AD49" s="373">
        <f t="shared" si="9"/>
        <v>9.6624999999999919E-2</v>
      </c>
      <c r="AE49" s="374">
        <f t="shared" si="39"/>
        <v>2.0291250000000001</v>
      </c>
      <c r="AF49" s="15">
        <f t="shared" si="10"/>
        <v>1.42</v>
      </c>
      <c r="AG49" s="12">
        <f t="shared" si="40"/>
        <v>0.1380704402515722</v>
      </c>
      <c r="AH49" s="13">
        <f t="shared" si="41"/>
        <v>11211.100520754731</v>
      </c>
      <c r="AI49" s="54">
        <f t="shared" si="11"/>
        <v>548.82999999999947</v>
      </c>
      <c r="AJ49" s="65">
        <f t="shared" si="42"/>
        <v>11525.429999999998</v>
      </c>
      <c r="AK49" s="32">
        <f t="shared" si="12"/>
        <v>2.59</v>
      </c>
      <c r="AL49" s="34">
        <f t="shared" si="43"/>
        <v>0.25183270440251548</v>
      </c>
      <c r="AM49" s="34">
        <f t="shared" si="44"/>
        <v>22.311513207547144</v>
      </c>
      <c r="AN49" s="55">
        <f t="shared" si="13"/>
        <v>1001.0349999999989</v>
      </c>
      <c r="AO49" s="371">
        <f t="shared" si="45"/>
        <v>21021.734999999997</v>
      </c>
      <c r="AP49" s="15">
        <f t="shared" si="14"/>
        <v>1.27</v>
      </c>
      <c r="AQ49" s="12">
        <f t="shared" si="46"/>
        <v>0.12348553459119486</v>
      </c>
      <c r="AR49" s="12">
        <f t="shared" si="47"/>
        <v>123.50680377358486</v>
      </c>
      <c r="AS49" s="54">
        <f t="shared" si="15"/>
        <v>490.85499999999956</v>
      </c>
      <c r="AT49" s="65">
        <f t="shared" si="48"/>
        <v>10307.954999999998</v>
      </c>
      <c r="AU49" s="15">
        <v>0</v>
      </c>
      <c r="AV49" s="34">
        <f t="shared" si="49"/>
        <v>0</v>
      </c>
      <c r="AW49" s="34">
        <f t="shared" si="50"/>
        <v>4.6922771768574366E-3</v>
      </c>
      <c r="AX49" s="55">
        <f t="shared" si="17"/>
        <v>0</v>
      </c>
      <c r="AY49" s="371">
        <f t="shared" si="51"/>
        <v>107703.84819822203</v>
      </c>
      <c r="AZ49" s="15">
        <f t="shared" si="18"/>
        <v>1.9610962483078625E-2</v>
      </c>
      <c r="BA49" s="10">
        <f t="shared" si="52"/>
        <v>1.906826918166008E-3</v>
      </c>
      <c r="BB49" s="12">
        <f t="shared" si="53"/>
        <v>4.3902845932086834</v>
      </c>
      <c r="BC49" s="54">
        <f t="shared" si="19"/>
        <v>7.5796369997098818</v>
      </c>
      <c r="BD49" s="65">
        <f t="shared" si="54"/>
        <v>2145.368741995479</v>
      </c>
      <c r="BE49" s="15">
        <f t="shared" si="20"/>
        <v>1889.1933173346054</v>
      </c>
      <c r="BF49" s="13">
        <f t="shared" si="55"/>
        <v>183.6913753836036</v>
      </c>
      <c r="BG49" s="13">
        <f t="shared" si="56"/>
        <v>37905.956738988592</v>
      </c>
      <c r="BH49" s="54">
        <f t="shared" si="21"/>
        <v>730173.21714982437</v>
      </c>
      <c r="BI49" s="65">
        <f t="shared" si="57"/>
        <v>27344196.962520398</v>
      </c>
      <c r="BJ49" s="15">
        <f t="shared" si="22"/>
        <v>0.40600000000000003</v>
      </c>
      <c r="BK49" s="12">
        <f t="shared" si="58"/>
        <v>3.9476477987421349E-2</v>
      </c>
      <c r="BL49" s="12">
        <f t="shared" si="59"/>
        <v>15.170993962264163</v>
      </c>
      <c r="BM49" s="54">
        <f t="shared" si="23"/>
        <v>156.91899999999987</v>
      </c>
      <c r="BN49" s="65">
        <f t="shared" si="60"/>
        <v>3295.2989999999991</v>
      </c>
      <c r="BO49" s="16">
        <f t="shared" si="24"/>
        <v>29.3</v>
      </c>
      <c r="BP49" s="18">
        <f t="shared" si="61"/>
        <v>2.8489182389937082</v>
      </c>
      <c r="BQ49" s="18">
        <f t="shared" si="62"/>
        <v>1621.1727169811313</v>
      </c>
      <c r="BR49" s="54">
        <f t="shared" si="25"/>
        <v>11324.44999999999</v>
      </c>
      <c r="BS49" s="65">
        <f t="shared" si="63"/>
        <v>237813.44999999984</v>
      </c>
    </row>
    <row r="50" spans="2:73" ht="15.75" customHeight="1" x14ac:dyDescent="0.25">
      <c r="B50" s="1">
        <v>22</v>
      </c>
      <c r="C50" s="1">
        <f>Scenario_Info!N$10</f>
        <v>45</v>
      </c>
      <c r="D50" s="35">
        <f>Scenario_Info!N$14</f>
        <v>77.3</v>
      </c>
      <c r="E50" s="36">
        <f>Scenario_Info!N$18</f>
        <v>309200</v>
      </c>
      <c r="F50" s="37">
        <f>F49+Percolation!E50/$D$7</f>
        <v>2.1391194968553453</v>
      </c>
      <c r="G50" s="11">
        <f t="shared" si="0"/>
        <v>9.0999999999999998E-2</v>
      </c>
      <c r="H50" s="10">
        <f t="shared" si="26"/>
        <v>8.8481761006289419E-3</v>
      </c>
      <c r="I50" s="12">
        <f t="shared" si="65"/>
        <v>12.705340125786149</v>
      </c>
      <c r="J50" s="53">
        <f t="shared" si="1"/>
        <v>35.171500000000044</v>
      </c>
      <c r="K50" s="69">
        <f t="shared" si="27"/>
        <v>773.77299999999957</v>
      </c>
      <c r="L50" s="11">
        <f t="shared" si="2"/>
        <v>4.5999999999999999E-2</v>
      </c>
      <c r="M50" s="10">
        <f t="shared" si="28"/>
        <v>4.4727044025157292E-3</v>
      </c>
      <c r="N50" s="12">
        <f t="shared" si="29"/>
        <v>799.90160050314557</v>
      </c>
      <c r="O50" s="53">
        <f t="shared" si="3"/>
        <v>17.779000000000025</v>
      </c>
      <c r="P50" s="69">
        <f t="shared" si="30"/>
        <v>391.13799999999992</v>
      </c>
      <c r="Q50" s="15">
        <f t="shared" si="4"/>
        <v>5.8</v>
      </c>
      <c r="R50" s="12">
        <f t="shared" si="31"/>
        <v>0.5639496855345919</v>
      </c>
      <c r="S50" s="12">
        <f t="shared" si="32"/>
        <v>488.59310691823953</v>
      </c>
      <c r="T50" s="54">
        <f t="shared" si="5"/>
        <v>2241.700000000003</v>
      </c>
      <c r="U50" s="65">
        <f t="shared" si="33"/>
        <v>49317.39999999998</v>
      </c>
      <c r="V50" s="15">
        <f t="shared" si="6"/>
        <v>2.6776611300395068</v>
      </c>
      <c r="W50" s="12">
        <f t="shared" si="34"/>
        <v>0.26035623314723794</v>
      </c>
      <c r="X50" s="12">
        <f t="shared" si="35"/>
        <v>308.44847776912957</v>
      </c>
      <c r="Y50" s="54">
        <f t="shared" si="7"/>
        <v>1034.9160267602708</v>
      </c>
      <c r="Z50" s="65">
        <f t="shared" si="36"/>
        <v>662042.30086770933</v>
      </c>
      <c r="AA50" s="81">
        <f t="shared" si="8"/>
        <v>2.5000000000000001E-4</v>
      </c>
      <c r="AB50" s="12">
        <f t="shared" si="37"/>
        <v>2.4308176100628964E-5</v>
      </c>
      <c r="AC50" s="12">
        <f t="shared" si="38"/>
        <v>21.899465220125769</v>
      </c>
      <c r="AD50" s="373">
        <f t="shared" si="9"/>
        <v>9.6625000000000141E-2</v>
      </c>
      <c r="AE50" s="374">
        <f t="shared" si="39"/>
        <v>2.12575</v>
      </c>
      <c r="AF50" s="15">
        <f t="shared" si="10"/>
        <v>1.42</v>
      </c>
      <c r="AG50" s="12">
        <f t="shared" si="40"/>
        <v>0.1380704402515725</v>
      </c>
      <c r="AH50" s="13">
        <f t="shared" si="41"/>
        <v>11210.962450314481</v>
      </c>
      <c r="AI50" s="54">
        <f t="shared" si="11"/>
        <v>548.83000000000072</v>
      </c>
      <c r="AJ50" s="65">
        <f t="shared" si="42"/>
        <v>12074.259999999998</v>
      </c>
      <c r="AK50" s="32">
        <f t="shared" si="12"/>
        <v>2.59</v>
      </c>
      <c r="AL50" s="34">
        <f t="shared" si="43"/>
        <v>0.25183270440251604</v>
      </c>
      <c r="AM50" s="34">
        <f t="shared" si="44"/>
        <v>22.059680503144627</v>
      </c>
      <c r="AN50" s="55">
        <f t="shared" si="13"/>
        <v>1001.0350000000013</v>
      </c>
      <c r="AO50" s="371">
        <f t="shared" si="45"/>
        <v>22022.769999999997</v>
      </c>
      <c r="AP50" s="15">
        <f t="shared" si="14"/>
        <v>1.27</v>
      </c>
      <c r="AQ50" s="12">
        <f t="shared" si="46"/>
        <v>0.12348553459119514</v>
      </c>
      <c r="AR50" s="12">
        <f t="shared" si="47"/>
        <v>123.38331823899367</v>
      </c>
      <c r="AS50" s="54">
        <f t="shared" si="15"/>
        <v>490.85500000000064</v>
      </c>
      <c r="AT50" s="65">
        <f t="shared" si="48"/>
        <v>10798.81</v>
      </c>
      <c r="AU50" s="15">
        <v>0</v>
      </c>
      <c r="AV50" s="34">
        <f t="shared" si="49"/>
        <v>0</v>
      </c>
      <c r="AW50" s="34">
        <f t="shared" si="50"/>
        <v>4.6922771768574366E-3</v>
      </c>
      <c r="AX50" s="55">
        <f t="shared" si="17"/>
        <v>0</v>
      </c>
      <c r="AY50" s="371">
        <f t="shared" si="51"/>
        <v>107703.84819822203</v>
      </c>
      <c r="AZ50" s="15">
        <f t="shared" si="18"/>
        <v>1.9610962483078625E-2</v>
      </c>
      <c r="BA50" s="10">
        <f t="shared" si="52"/>
        <v>1.9068269181660123E-3</v>
      </c>
      <c r="BB50" s="12">
        <f t="shared" si="53"/>
        <v>4.3883777662905175</v>
      </c>
      <c r="BC50" s="54">
        <f t="shared" si="19"/>
        <v>7.5796369997098987</v>
      </c>
      <c r="BD50" s="65">
        <f t="shared" si="54"/>
        <v>2152.9483789951887</v>
      </c>
      <c r="BE50" s="15">
        <f t="shared" si="20"/>
        <v>1889.1933173346054</v>
      </c>
      <c r="BF50" s="13">
        <f t="shared" si="55"/>
        <v>183.69137538360403</v>
      </c>
      <c r="BG50" s="13">
        <f t="shared" si="56"/>
        <v>37722.265363604987</v>
      </c>
      <c r="BH50" s="54">
        <f t="shared" si="21"/>
        <v>730173.217149826</v>
      </c>
      <c r="BI50" s="65">
        <f t="shared" si="57"/>
        <v>28074370.179670226</v>
      </c>
      <c r="BJ50" s="15">
        <f t="shared" si="22"/>
        <v>0.40600000000000003</v>
      </c>
      <c r="BK50" s="12">
        <f t="shared" si="58"/>
        <v>3.9476477987421439E-2</v>
      </c>
      <c r="BL50" s="12">
        <f t="shared" si="59"/>
        <v>15.131517484276742</v>
      </c>
      <c r="BM50" s="54">
        <f t="shared" si="23"/>
        <v>156.91900000000021</v>
      </c>
      <c r="BN50" s="65">
        <f t="shared" si="60"/>
        <v>3452.2179999999994</v>
      </c>
      <c r="BO50" s="16">
        <f t="shared" si="24"/>
        <v>29.3</v>
      </c>
      <c r="BP50" s="18">
        <f t="shared" si="61"/>
        <v>2.8489182389937149</v>
      </c>
      <c r="BQ50" s="18">
        <f t="shared" si="62"/>
        <v>1618.3237987421376</v>
      </c>
      <c r="BR50" s="54">
        <f t="shared" si="25"/>
        <v>11324.450000000017</v>
      </c>
      <c r="BS50" s="65">
        <f t="shared" si="63"/>
        <v>249137.89999999985</v>
      </c>
    </row>
    <row r="51" spans="2:73" ht="15.75" customHeight="1" x14ac:dyDescent="0.25">
      <c r="B51" s="1">
        <v>23</v>
      </c>
      <c r="C51" s="1">
        <f>Scenario_Info!N$10</f>
        <v>45</v>
      </c>
      <c r="D51" s="35">
        <f>Scenario_Info!N$14</f>
        <v>77.3</v>
      </c>
      <c r="E51" s="36">
        <f>Scenario_Info!N$18</f>
        <v>309200</v>
      </c>
      <c r="F51" s="37">
        <f>F50+Percolation!E51/$D$7</f>
        <v>2.2363522012578612</v>
      </c>
      <c r="G51" s="11">
        <f t="shared" si="0"/>
        <v>9.0999999999999998E-2</v>
      </c>
      <c r="H51" s="10">
        <f t="shared" si="26"/>
        <v>8.8481761006289419E-3</v>
      </c>
      <c r="I51" s="12">
        <f t="shared" si="65"/>
        <v>12.69649194968552</v>
      </c>
      <c r="J51" s="53">
        <f t="shared" si="1"/>
        <v>35.171500000000044</v>
      </c>
      <c r="K51" s="69">
        <f t="shared" si="27"/>
        <v>808.94449999999961</v>
      </c>
      <c r="L51" s="11">
        <f t="shared" si="2"/>
        <v>4.5999999999999999E-2</v>
      </c>
      <c r="M51" s="10">
        <f t="shared" si="28"/>
        <v>4.4727044025157292E-3</v>
      </c>
      <c r="N51" s="12">
        <f t="shared" si="29"/>
        <v>799.8971277987431</v>
      </c>
      <c r="O51" s="53">
        <f t="shared" si="3"/>
        <v>17.779000000000025</v>
      </c>
      <c r="P51" s="69">
        <f t="shared" si="30"/>
        <v>408.91699999999992</v>
      </c>
      <c r="Q51" s="15">
        <f t="shared" si="4"/>
        <v>5.8</v>
      </c>
      <c r="R51" s="12">
        <f t="shared" si="31"/>
        <v>0.5639496855345919</v>
      </c>
      <c r="S51" s="12">
        <f t="shared" si="32"/>
        <v>488.02915723270496</v>
      </c>
      <c r="T51" s="54">
        <f t="shared" si="5"/>
        <v>2241.700000000003</v>
      </c>
      <c r="U51" s="65">
        <f t="shared" si="33"/>
        <v>51559.099999999984</v>
      </c>
      <c r="V51" s="15">
        <f t="shared" si="6"/>
        <v>2.6776611300395068</v>
      </c>
      <c r="W51" s="12">
        <f t="shared" si="34"/>
        <v>0.26035623314723794</v>
      </c>
      <c r="X51" s="12">
        <f t="shared" si="35"/>
        <v>308.1881215359823</v>
      </c>
      <c r="Y51" s="54">
        <f t="shared" si="7"/>
        <v>1034.9160267602708</v>
      </c>
      <c r="Z51" s="65">
        <f t="shared" si="36"/>
        <v>663077.21689446957</v>
      </c>
      <c r="AA51" s="81">
        <f t="shared" si="8"/>
        <v>2.5000000000000001E-4</v>
      </c>
      <c r="AB51" s="12">
        <f t="shared" si="37"/>
        <v>2.4308176100628964E-5</v>
      </c>
      <c r="AC51" s="12">
        <f t="shared" si="38"/>
        <v>21.899440911949668</v>
      </c>
      <c r="AD51" s="373">
        <f t="shared" si="9"/>
        <v>9.6625000000000141E-2</v>
      </c>
      <c r="AE51" s="374">
        <f t="shared" si="39"/>
        <v>2.222375</v>
      </c>
      <c r="AF51" s="15">
        <f t="shared" si="10"/>
        <v>1.42</v>
      </c>
      <c r="AG51" s="12">
        <f t="shared" si="40"/>
        <v>0.1380704402515725</v>
      </c>
      <c r="AH51" s="13">
        <f t="shared" si="41"/>
        <v>11210.82437987423</v>
      </c>
      <c r="AI51" s="54">
        <f t="shared" si="11"/>
        <v>548.83000000000072</v>
      </c>
      <c r="AJ51" s="65">
        <f t="shared" si="42"/>
        <v>12623.089999999998</v>
      </c>
      <c r="AK51" s="32">
        <f t="shared" si="12"/>
        <v>2.59</v>
      </c>
      <c r="AL51" s="34">
        <f t="shared" si="43"/>
        <v>0.25183270440251604</v>
      </c>
      <c r="AM51" s="34">
        <f t="shared" si="44"/>
        <v>21.80784779874211</v>
      </c>
      <c r="AN51" s="55">
        <f t="shared" si="13"/>
        <v>1001.0350000000013</v>
      </c>
      <c r="AO51" s="371">
        <f t="shared" si="45"/>
        <v>23023.804999999997</v>
      </c>
      <c r="AP51" s="15">
        <f t="shared" si="14"/>
        <v>1.27</v>
      </c>
      <c r="AQ51" s="12">
        <f t="shared" si="46"/>
        <v>0.12348553459119514</v>
      </c>
      <c r="AR51" s="12">
        <f t="shared" si="47"/>
        <v>123.25983270440247</v>
      </c>
      <c r="AS51" s="54">
        <f t="shared" si="15"/>
        <v>490.85500000000064</v>
      </c>
      <c r="AT51" s="65">
        <f t="shared" si="48"/>
        <v>11289.665000000001</v>
      </c>
      <c r="AU51" s="15">
        <v>0</v>
      </c>
      <c r="AV51" s="34">
        <f t="shared" si="49"/>
        <v>0</v>
      </c>
      <c r="AW51" s="34">
        <f t="shared" si="50"/>
        <v>4.6922771768574366E-3</v>
      </c>
      <c r="AX51" s="55">
        <f t="shared" si="17"/>
        <v>0</v>
      </c>
      <c r="AY51" s="371">
        <f t="shared" si="51"/>
        <v>107703.84819822203</v>
      </c>
      <c r="AZ51" s="15">
        <f t="shared" si="18"/>
        <v>1.9610962483078625E-2</v>
      </c>
      <c r="BA51" s="10">
        <f t="shared" si="52"/>
        <v>1.9068269181660123E-3</v>
      </c>
      <c r="BB51" s="12">
        <f t="shared" si="53"/>
        <v>4.3864709393723516</v>
      </c>
      <c r="BC51" s="54">
        <f t="shared" si="19"/>
        <v>7.5796369997098987</v>
      </c>
      <c r="BD51" s="65">
        <f t="shared" si="54"/>
        <v>2160.5280159948984</v>
      </c>
      <c r="BE51" s="15">
        <f t="shared" si="20"/>
        <v>1889.1933173346054</v>
      </c>
      <c r="BF51" s="13">
        <f t="shared" si="55"/>
        <v>183.69137538360403</v>
      </c>
      <c r="BG51" s="13">
        <f t="shared" si="56"/>
        <v>37538.573988221382</v>
      </c>
      <c r="BH51" s="54">
        <f t="shared" si="21"/>
        <v>730173.217149826</v>
      </c>
      <c r="BI51" s="65">
        <f t="shared" si="57"/>
        <v>28804543.396820053</v>
      </c>
      <c r="BJ51" s="15">
        <f t="shared" si="22"/>
        <v>0.40600000000000003</v>
      </c>
      <c r="BK51" s="12">
        <f t="shared" si="58"/>
        <v>3.9476477987421439E-2</v>
      </c>
      <c r="BL51" s="12">
        <f t="shared" si="59"/>
        <v>15.092041006289321</v>
      </c>
      <c r="BM51" s="54">
        <f t="shared" si="23"/>
        <v>156.91900000000021</v>
      </c>
      <c r="BN51" s="65">
        <f t="shared" si="60"/>
        <v>3609.1369999999997</v>
      </c>
      <c r="BO51" s="16">
        <f t="shared" si="24"/>
        <v>29.3</v>
      </c>
      <c r="BP51" s="18">
        <f t="shared" si="61"/>
        <v>2.8489182389937149</v>
      </c>
      <c r="BQ51" s="18">
        <f t="shared" si="62"/>
        <v>1615.4748805031438</v>
      </c>
      <c r="BR51" s="54">
        <f t="shared" si="25"/>
        <v>11324.450000000017</v>
      </c>
      <c r="BS51" s="65">
        <f t="shared" si="63"/>
        <v>260462.34999999986</v>
      </c>
    </row>
    <row r="52" spans="2:73" ht="15.75" customHeight="1" x14ac:dyDescent="0.25">
      <c r="B52" s="1">
        <v>24</v>
      </c>
      <c r="C52" s="1">
        <f>Scenario_Info!N$10</f>
        <v>45</v>
      </c>
      <c r="D52" s="35">
        <f>Scenario_Info!N$14</f>
        <v>77.3</v>
      </c>
      <c r="E52" s="36">
        <f>Scenario_Info!N$18</f>
        <v>309200</v>
      </c>
      <c r="F52" s="37">
        <f>F51+Percolation!E52/$D$7</f>
        <v>2.333584905660377</v>
      </c>
      <c r="G52" s="11">
        <f t="shared" si="0"/>
        <v>9.0999999999999998E-2</v>
      </c>
      <c r="H52" s="10">
        <f t="shared" si="26"/>
        <v>8.8481761006289419E-3</v>
      </c>
      <c r="I52" s="12">
        <f t="shared" si="65"/>
        <v>12.68764377358489</v>
      </c>
      <c r="J52" s="53">
        <f t="shared" si="1"/>
        <v>35.171500000000044</v>
      </c>
      <c r="K52" s="69">
        <f t="shared" si="27"/>
        <v>844.11599999999964</v>
      </c>
      <c r="L52" s="11">
        <f t="shared" si="2"/>
        <v>4.5999999999999999E-2</v>
      </c>
      <c r="M52" s="10">
        <f t="shared" si="28"/>
        <v>4.4727044025157292E-3</v>
      </c>
      <c r="N52" s="12">
        <f t="shared" si="29"/>
        <v>799.89265509434063</v>
      </c>
      <c r="O52" s="53">
        <f t="shared" si="3"/>
        <v>17.779000000000025</v>
      </c>
      <c r="P52" s="69">
        <f t="shared" si="30"/>
        <v>426.69599999999991</v>
      </c>
      <c r="Q52" s="15">
        <f t="shared" si="4"/>
        <v>5.8</v>
      </c>
      <c r="R52" s="12">
        <f t="shared" si="31"/>
        <v>0.5639496855345919</v>
      </c>
      <c r="S52" s="12">
        <f t="shared" si="32"/>
        <v>487.46520754717039</v>
      </c>
      <c r="T52" s="54">
        <f t="shared" si="5"/>
        <v>2241.700000000003</v>
      </c>
      <c r="U52" s="65">
        <f t="shared" si="33"/>
        <v>53800.799999999988</v>
      </c>
      <c r="V52" s="15">
        <f t="shared" si="6"/>
        <v>2.6776611300395068</v>
      </c>
      <c r="W52" s="12">
        <f t="shared" si="34"/>
        <v>0.26035623314723794</v>
      </c>
      <c r="X52" s="12">
        <f t="shared" si="35"/>
        <v>307.92776530283504</v>
      </c>
      <c r="Y52" s="54">
        <f t="shared" si="7"/>
        <v>1034.9160267602708</v>
      </c>
      <c r="Z52" s="65">
        <f t="shared" si="36"/>
        <v>664112.13292122982</v>
      </c>
      <c r="AA52" s="81">
        <f t="shared" si="8"/>
        <v>2.5000000000000001E-4</v>
      </c>
      <c r="AB52" s="12">
        <f t="shared" si="37"/>
        <v>2.4308176100628964E-5</v>
      </c>
      <c r="AC52" s="12">
        <f t="shared" si="38"/>
        <v>21.899416603773567</v>
      </c>
      <c r="AD52" s="373">
        <f t="shared" si="9"/>
        <v>9.6625000000000141E-2</v>
      </c>
      <c r="AE52" s="374">
        <f t="shared" si="39"/>
        <v>2.319</v>
      </c>
      <c r="AF52" s="15">
        <f t="shared" si="10"/>
        <v>1.42</v>
      </c>
      <c r="AG52" s="12">
        <f t="shared" si="40"/>
        <v>0.1380704402515725</v>
      </c>
      <c r="AH52" s="13">
        <f t="shared" si="41"/>
        <v>11210.686309433979</v>
      </c>
      <c r="AI52" s="54">
        <f t="shared" si="11"/>
        <v>548.83000000000072</v>
      </c>
      <c r="AJ52" s="65">
        <f t="shared" si="42"/>
        <v>13171.919999999998</v>
      </c>
      <c r="AK52" s="32">
        <f t="shared" si="12"/>
        <v>2.59</v>
      </c>
      <c r="AL52" s="34">
        <f t="shared" si="43"/>
        <v>0.25183270440251604</v>
      </c>
      <c r="AM52" s="34">
        <f t="shared" si="44"/>
        <v>21.556015094339593</v>
      </c>
      <c r="AN52" s="55">
        <f t="shared" si="13"/>
        <v>1001.0350000000013</v>
      </c>
      <c r="AO52" s="371">
        <f t="shared" si="45"/>
        <v>24024.839999999997</v>
      </c>
      <c r="AP52" s="15">
        <f t="shared" si="14"/>
        <v>1.27</v>
      </c>
      <c r="AQ52" s="12">
        <f t="shared" si="46"/>
        <v>0.12348553459119514</v>
      </c>
      <c r="AR52" s="12">
        <f t="shared" si="47"/>
        <v>123.13634716981127</v>
      </c>
      <c r="AS52" s="54">
        <f t="shared" si="15"/>
        <v>490.85500000000064</v>
      </c>
      <c r="AT52" s="65">
        <f t="shared" si="48"/>
        <v>11780.520000000002</v>
      </c>
      <c r="AU52" s="15">
        <v>0</v>
      </c>
      <c r="AV52" s="34">
        <f t="shared" si="49"/>
        <v>0</v>
      </c>
      <c r="AW52" s="34">
        <f t="shared" si="50"/>
        <v>4.6922771768574366E-3</v>
      </c>
      <c r="AX52" s="55">
        <f t="shared" si="17"/>
        <v>0</v>
      </c>
      <c r="AY52" s="371">
        <f t="shared" si="51"/>
        <v>107703.84819822203</v>
      </c>
      <c r="AZ52" s="15">
        <f t="shared" si="18"/>
        <v>1.9610962483078625E-2</v>
      </c>
      <c r="BA52" s="10">
        <f t="shared" si="52"/>
        <v>1.9068269181660123E-3</v>
      </c>
      <c r="BB52" s="12">
        <f t="shared" si="53"/>
        <v>4.3845641124541856</v>
      </c>
      <c r="BC52" s="54">
        <f t="shared" si="19"/>
        <v>7.5796369997098987</v>
      </c>
      <c r="BD52" s="65">
        <f t="shared" si="54"/>
        <v>2168.1076529946081</v>
      </c>
      <c r="BE52" s="15">
        <f t="shared" si="20"/>
        <v>1889.1933173346054</v>
      </c>
      <c r="BF52" s="13">
        <f t="shared" si="55"/>
        <v>183.69137538360403</v>
      </c>
      <c r="BG52" s="13">
        <f t="shared" si="56"/>
        <v>37354.882612837777</v>
      </c>
      <c r="BH52" s="54">
        <f t="shared" si="21"/>
        <v>730173.217149826</v>
      </c>
      <c r="BI52" s="65">
        <f t="shared" si="57"/>
        <v>29534716.613969881</v>
      </c>
      <c r="BJ52" s="15">
        <f t="shared" si="22"/>
        <v>0.40600000000000003</v>
      </c>
      <c r="BK52" s="12">
        <f t="shared" si="58"/>
        <v>3.9476477987421439E-2</v>
      </c>
      <c r="BL52" s="12">
        <f t="shared" si="59"/>
        <v>15.0525645283019</v>
      </c>
      <c r="BM52" s="54">
        <f t="shared" si="23"/>
        <v>156.91900000000021</v>
      </c>
      <c r="BN52" s="65">
        <f t="shared" si="60"/>
        <v>3766.056</v>
      </c>
      <c r="BO52" s="16">
        <f t="shared" si="24"/>
        <v>29.3</v>
      </c>
      <c r="BP52" s="18">
        <f t="shared" si="61"/>
        <v>2.8489182389937149</v>
      </c>
      <c r="BQ52" s="18">
        <f t="shared" si="62"/>
        <v>1612.6259622641501</v>
      </c>
      <c r="BR52" s="54">
        <f t="shared" si="25"/>
        <v>11324.450000000017</v>
      </c>
      <c r="BS52" s="65">
        <f t="shared" si="63"/>
        <v>271786.79999999987</v>
      </c>
    </row>
    <row r="53" spans="2:73" ht="15.75" customHeight="1" x14ac:dyDescent="0.25">
      <c r="B53" s="1">
        <v>25</v>
      </c>
      <c r="C53" s="1">
        <f>Scenario_Info!N$10</f>
        <v>45</v>
      </c>
      <c r="D53" s="35">
        <f>Scenario_Info!N$14</f>
        <v>77.3</v>
      </c>
      <c r="E53" s="36">
        <f>Scenario_Info!N$18</f>
        <v>309200</v>
      </c>
      <c r="F53" s="37">
        <f>F52+Percolation!E53/$D$7</f>
        <v>2.4308176100628929</v>
      </c>
      <c r="G53" s="11">
        <f t="shared" si="0"/>
        <v>9.0999999999999998E-2</v>
      </c>
      <c r="H53" s="10">
        <f t="shared" si="26"/>
        <v>8.8481761006289419E-3</v>
      </c>
      <c r="I53" s="12">
        <f t="shared" si="65"/>
        <v>12.67879559748426</v>
      </c>
      <c r="J53" s="53">
        <f t="shared" si="1"/>
        <v>35.171500000000044</v>
      </c>
      <c r="K53" s="69">
        <f t="shared" si="27"/>
        <v>879.28749999999968</v>
      </c>
      <c r="L53" s="11">
        <f t="shared" si="2"/>
        <v>4.5999999999999999E-2</v>
      </c>
      <c r="M53" s="10">
        <f t="shared" si="28"/>
        <v>4.4727044025157292E-3</v>
      </c>
      <c r="N53" s="12">
        <f t="shared" si="29"/>
        <v>799.88818238993815</v>
      </c>
      <c r="O53" s="53">
        <f t="shared" si="3"/>
        <v>17.779000000000025</v>
      </c>
      <c r="P53" s="69">
        <f t="shared" si="30"/>
        <v>444.47499999999991</v>
      </c>
      <c r="Q53" s="15">
        <f t="shared" si="4"/>
        <v>5.8</v>
      </c>
      <c r="R53" s="12">
        <f t="shared" si="31"/>
        <v>0.5639496855345919</v>
      </c>
      <c r="S53" s="12">
        <f t="shared" si="32"/>
        <v>486.90125786163583</v>
      </c>
      <c r="T53" s="54">
        <f t="shared" si="5"/>
        <v>2241.700000000003</v>
      </c>
      <c r="U53" s="65">
        <f t="shared" si="33"/>
        <v>56042.499999999993</v>
      </c>
      <c r="V53" s="15">
        <f t="shared" si="6"/>
        <v>2.6776611300395068</v>
      </c>
      <c r="W53" s="12">
        <f t="shared" si="34"/>
        <v>0.26035623314723794</v>
      </c>
      <c r="X53" s="12">
        <f t="shared" si="35"/>
        <v>307.66740906968778</v>
      </c>
      <c r="Y53" s="54">
        <f t="shared" si="7"/>
        <v>1034.9160267602708</v>
      </c>
      <c r="Z53" s="65">
        <f t="shared" si="36"/>
        <v>665147.04894799006</v>
      </c>
      <c r="AA53" s="81">
        <f t="shared" si="8"/>
        <v>2.5000000000000001E-4</v>
      </c>
      <c r="AB53" s="12">
        <f t="shared" si="37"/>
        <v>2.4308176100628964E-5</v>
      </c>
      <c r="AC53" s="12">
        <f t="shared" si="38"/>
        <v>21.899392295597465</v>
      </c>
      <c r="AD53" s="373">
        <f t="shared" si="9"/>
        <v>9.6625000000000141E-2</v>
      </c>
      <c r="AE53" s="374">
        <f t="shared" si="39"/>
        <v>2.4156249999999999</v>
      </c>
      <c r="AF53" s="15">
        <f t="shared" si="10"/>
        <v>1.42</v>
      </c>
      <c r="AG53" s="12">
        <f t="shared" si="40"/>
        <v>0.1380704402515725</v>
      </c>
      <c r="AH53" s="13">
        <f t="shared" si="41"/>
        <v>11210.548238993728</v>
      </c>
      <c r="AI53" s="54">
        <f t="shared" si="11"/>
        <v>548.83000000000072</v>
      </c>
      <c r="AJ53" s="65">
        <f t="shared" si="42"/>
        <v>13720.749999999998</v>
      </c>
      <c r="AK53" s="32">
        <f t="shared" si="12"/>
        <v>2.59</v>
      </c>
      <c r="AL53" s="34">
        <f t="shared" si="43"/>
        <v>0.25183270440251604</v>
      </c>
      <c r="AM53" s="34">
        <f t="shared" si="44"/>
        <v>21.304182389937075</v>
      </c>
      <c r="AN53" s="55">
        <f t="shared" si="13"/>
        <v>1001.0350000000013</v>
      </c>
      <c r="AO53" s="371">
        <f t="shared" si="45"/>
        <v>25025.874999999996</v>
      </c>
      <c r="AP53" s="15">
        <f t="shared" si="14"/>
        <v>1.27</v>
      </c>
      <c r="AQ53" s="12">
        <f t="shared" si="46"/>
        <v>0.12348553459119514</v>
      </c>
      <c r="AR53" s="12">
        <f t="shared" si="47"/>
        <v>123.01286163522008</v>
      </c>
      <c r="AS53" s="54">
        <f t="shared" si="15"/>
        <v>490.85500000000064</v>
      </c>
      <c r="AT53" s="65">
        <f t="shared" si="48"/>
        <v>12271.375000000004</v>
      </c>
      <c r="AU53" s="15">
        <v>0</v>
      </c>
      <c r="AV53" s="34">
        <f t="shared" si="49"/>
        <v>0</v>
      </c>
      <c r="AW53" s="34">
        <f t="shared" si="50"/>
        <v>4.6922771768574366E-3</v>
      </c>
      <c r="AX53" s="55">
        <f t="shared" si="17"/>
        <v>0</v>
      </c>
      <c r="AY53" s="371">
        <f t="shared" si="51"/>
        <v>107703.84819822203</v>
      </c>
      <c r="AZ53" s="15">
        <f t="shared" si="18"/>
        <v>1.9610962483078625E-2</v>
      </c>
      <c r="BA53" s="10">
        <f t="shared" si="52"/>
        <v>1.9068269181660123E-3</v>
      </c>
      <c r="BB53" s="12">
        <f t="shared" si="53"/>
        <v>4.3826572855360197</v>
      </c>
      <c r="BC53" s="54">
        <f t="shared" si="19"/>
        <v>7.5796369997098987</v>
      </c>
      <c r="BD53" s="65">
        <f t="shared" si="54"/>
        <v>2175.6872899943178</v>
      </c>
      <c r="BE53" s="15">
        <f t="shared" si="20"/>
        <v>1889.1933173346054</v>
      </c>
      <c r="BF53" s="13">
        <f t="shared" si="55"/>
        <v>183.69137538360403</v>
      </c>
      <c r="BG53" s="13">
        <f t="shared" si="56"/>
        <v>37171.191237454172</v>
      </c>
      <c r="BH53" s="54">
        <f t="shared" si="21"/>
        <v>730173.217149826</v>
      </c>
      <c r="BI53" s="65">
        <f t="shared" si="57"/>
        <v>30264889.831119709</v>
      </c>
      <c r="BJ53" s="15">
        <f t="shared" si="22"/>
        <v>0.40600000000000003</v>
      </c>
      <c r="BK53" s="12">
        <f t="shared" si="58"/>
        <v>3.9476477987421439E-2</v>
      </c>
      <c r="BL53" s="12">
        <f t="shared" si="59"/>
        <v>15.013088050314479</v>
      </c>
      <c r="BM53" s="54">
        <f t="shared" si="23"/>
        <v>156.91900000000021</v>
      </c>
      <c r="BN53" s="65">
        <f t="shared" si="60"/>
        <v>3922.9750000000004</v>
      </c>
      <c r="BO53" s="16">
        <f t="shared" si="24"/>
        <v>29.3</v>
      </c>
      <c r="BP53" s="18">
        <f t="shared" si="61"/>
        <v>2.8489182389937149</v>
      </c>
      <c r="BQ53" s="18">
        <f t="shared" si="62"/>
        <v>1609.7770440251563</v>
      </c>
      <c r="BR53" s="54">
        <f t="shared" si="25"/>
        <v>11324.450000000017</v>
      </c>
      <c r="BS53" s="65">
        <f t="shared" si="63"/>
        <v>283111.24999999988</v>
      </c>
    </row>
    <row r="54" spans="2:73" ht="15.75" customHeight="1" x14ac:dyDescent="0.25">
      <c r="B54" s="1">
        <v>26</v>
      </c>
      <c r="C54" s="1">
        <f>Scenario_Info!N$10</f>
        <v>45</v>
      </c>
      <c r="D54" s="35">
        <f>Scenario_Info!N$14</f>
        <v>77.3</v>
      </c>
      <c r="E54" s="36">
        <f>Scenario_Info!N$18</f>
        <v>309200</v>
      </c>
      <c r="F54" s="37">
        <f>F53+Percolation!E54/$D$7</f>
        <v>2.5280503144654087</v>
      </c>
      <c r="G54" s="11">
        <f t="shared" si="0"/>
        <v>9.0999999999999998E-2</v>
      </c>
      <c r="H54" s="10">
        <f t="shared" si="26"/>
        <v>8.8481761006289419E-3</v>
      </c>
      <c r="I54" s="12">
        <f t="shared" si="65"/>
        <v>12.669947421383631</v>
      </c>
      <c r="J54" s="53">
        <f t="shared" si="1"/>
        <v>35.171500000000044</v>
      </c>
      <c r="K54" s="69">
        <f t="shared" si="27"/>
        <v>914.45899999999972</v>
      </c>
      <c r="L54" s="11">
        <f t="shared" si="2"/>
        <v>4.5999999999999999E-2</v>
      </c>
      <c r="M54" s="10">
        <f t="shared" si="28"/>
        <v>4.4727044025157292E-3</v>
      </c>
      <c r="N54" s="12">
        <f t="shared" si="29"/>
        <v>799.88370968553568</v>
      </c>
      <c r="O54" s="53">
        <f t="shared" si="3"/>
        <v>17.779000000000025</v>
      </c>
      <c r="P54" s="69">
        <f t="shared" si="30"/>
        <v>462.25399999999991</v>
      </c>
      <c r="Q54" s="15">
        <f t="shared" si="4"/>
        <v>5.8</v>
      </c>
      <c r="R54" s="12">
        <f t="shared" si="31"/>
        <v>0.5639496855345919</v>
      </c>
      <c r="S54" s="12">
        <f t="shared" si="32"/>
        <v>486.33730817610126</v>
      </c>
      <c r="T54" s="54">
        <f t="shared" si="5"/>
        <v>2241.700000000003</v>
      </c>
      <c r="U54" s="65">
        <f t="shared" si="33"/>
        <v>58284.2</v>
      </c>
      <c r="V54" s="15">
        <f t="shared" si="6"/>
        <v>2.6776611300395068</v>
      </c>
      <c r="W54" s="12">
        <f t="shared" si="34"/>
        <v>0.26035623314723794</v>
      </c>
      <c r="X54" s="12">
        <f t="shared" si="35"/>
        <v>307.40705283654052</v>
      </c>
      <c r="Y54" s="54">
        <f t="shared" si="7"/>
        <v>1034.9160267602708</v>
      </c>
      <c r="Z54" s="65">
        <f t="shared" si="36"/>
        <v>666181.9649747503</v>
      </c>
      <c r="AA54" s="81">
        <f t="shared" si="8"/>
        <v>2.5000000000000001E-4</v>
      </c>
      <c r="AB54" s="12">
        <f t="shared" si="37"/>
        <v>2.4308176100628964E-5</v>
      </c>
      <c r="AC54" s="12">
        <f t="shared" si="38"/>
        <v>21.899367987421364</v>
      </c>
      <c r="AD54" s="373">
        <f t="shared" si="9"/>
        <v>9.6625000000000141E-2</v>
      </c>
      <c r="AE54" s="374">
        <f t="shared" si="39"/>
        <v>2.5122499999999999</v>
      </c>
      <c r="AF54" s="15">
        <f t="shared" si="10"/>
        <v>1.42</v>
      </c>
      <c r="AG54" s="12">
        <f t="shared" si="40"/>
        <v>0.1380704402515725</v>
      </c>
      <c r="AH54" s="13">
        <f t="shared" si="41"/>
        <v>11210.410168553477</v>
      </c>
      <c r="AI54" s="54">
        <f t="shared" si="11"/>
        <v>548.83000000000072</v>
      </c>
      <c r="AJ54" s="65">
        <f t="shared" si="42"/>
        <v>14269.579999999998</v>
      </c>
      <c r="AK54" s="32">
        <f t="shared" si="12"/>
        <v>2.59</v>
      </c>
      <c r="AL54" s="34">
        <f t="shared" si="43"/>
        <v>0.25183270440251604</v>
      </c>
      <c r="AM54" s="34">
        <f t="shared" si="44"/>
        <v>21.052349685534558</v>
      </c>
      <c r="AN54" s="55">
        <f t="shared" si="13"/>
        <v>1001.0350000000013</v>
      </c>
      <c r="AO54" s="371">
        <f t="shared" si="45"/>
        <v>26026.909999999996</v>
      </c>
      <c r="AP54" s="15">
        <f t="shared" si="14"/>
        <v>1.27</v>
      </c>
      <c r="AQ54" s="12">
        <f t="shared" si="46"/>
        <v>0.12348553459119514</v>
      </c>
      <c r="AR54" s="12">
        <f t="shared" si="47"/>
        <v>122.88937610062888</v>
      </c>
      <c r="AS54" s="54">
        <f t="shared" si="15"/>
        <v>490.85500000000064</v>
      </c>
      <c r="AT54" s="65">
        <f t="shared" si="48"/>
        <v>12762.230000000005</v>
      </c>
      <c r="AU54" s="15">
        <v>0</v>
      </c>
      <c r="AV54" s="34">
        <f t="shared" si="49"/>
        <v>0</v>
      </c>
      <c r="AW54" s="34">
        <f t="shared" si="50"/>
        <v>4.6922771768574366E-3</v>
      </c>
      <c r="AX54" s="55">
        <f t="shared" si="17"/>
        <v>0</v>
      </c>
      <c r="AY54" s="371">
        <f t="shared" si="51"/>
        <v>107703.84819822203</v>
      </c>
      <c r="AZ54" s="15">
        <f t="shared" si="18"/>
        <v>1.9610962483078625E-2</v>
      </c>
      <c r="BA54" s="10">
        <f t="shared" si="52"/>
        <v>1.9068269181660123E-3</v>
      </c>
      <c r="BB54" s="12">
        <f t="shared" si="53"/>
        <v>4.3807504586178538</v>
      </c>
      <c r="BC54" s="54">
        <f t="shared" si="19"/>
        <v>7.5796369997098987</v>
      </c>
      <c r="BD54" s="65">
        <f t="shared" si="54"/>
        <v>2183.2669269940275</v>
      </c>
      <c r="BE54" s="15">
        <f t="shared" si="20"/>
        <v>1889.1933173346054</v>
      </c>
      <c r="BF54" s="13">
        <f t="shared" si="55"/>
        <v>183.69137538360403</v>
      </c>
      <c r="BG54" s="13">
        <f t="shared" si="56"/>
        <v>36987.499862070566</v>
      </c>
      <c r="BH54" s="54">
        <f t="shared" si="21"/>
        <v>730173.217149826</v>
      </c>
      <c r="BI54" s="65">
        <f t="shared" si="57"/>
        <v>30995063.048269536</v>
      </c>
      <c r="BJ54" s="15">
        <f t="shared" si="22"/>
        <v>0.40600000000000003</v>
      </c>
      <c r="BK54" s="12">
        <f t="shared" si="58"/>
        <v>3.9476477987421439E-2</v>
      </c>
      <c r="BL54" s="12">
        <f t="shared" si="59"/>
        <v>14.973611572327059</v>
      </c>
      <c r="BM54" s="54">
        <f t="shared" si="23"/>
        <v>156.91900000000021</v>
      </c>
      <c r="BN54" s="65">
        <f t="shared" si="60"/>
        <v>4079.8940000000007</v>
      </c>
      <c r="BO54" s="16">
        <f t="shared" si="24"/>
        <v>29.3</v>
      </c>
      <c r="BP54" s="18">
        <f t="shared" si="61"/>
        <v>2.8489182389937149</v>
      </c>
      <c r="BQ54" s="18">
        <f t="shared" si="62"/>
        <v>1606.9281257861626</v>
      </c>
      <c r="BR54" s="54">
        <f t="shared" si="25"/>
        <v>11324.450000000017</v>
      </c>
      <c r="BS54" s="65">
        <f t="shared" si="63"/>
        <v>294435.6999999999</v>
      </c>
    </row>
    <row r="55" spans="2:73" ht="15.75" customHeight="1" x14ac:dyDescent="0.25">
      <c r="B55" s="1">
        <v>27</v>
      </c>
      <c r="C55" s="1">
        <f>Scenario_Info!N$10</f>
        <v>45</v>
      </c>
      <c r="D55" s="35">
        <f>Scenario_Info!N$14</f>
        <v>77.3</v>
      </c>
      <c r="E55" s="36">
        <f>Scenario_Info!N$18</f>
        <v>309200</v>
      </c>
      <c r="F55" s="37">
        <f>F54+Percolation!E55/$D$7</f>
        <v>2.6252830188679246</v>
      </c>
      <c r="G55" s="11">
        <f t="shared" si="0"/>
        <v>9.0999999999999998E-2</v>
      </c>
      <c r="H55" s="10">
        <f t="shared" si="26"/>
        <v>8.8481761006289419E-3</v>
      </c>
      <c r="I55" s="12">
        <f t="shared" si="65"/>
        <v>12.661099245283001</v>
      </c>
      <c r="J55" s="53">
        <f t="shared" si="1"/>
        <v>35.171500000000044</v>
      </c>
      <c r="K55" s="69">
        <f t="shared" si="27"/>
        <v>949.63049999999976</v>
      </c>
      <c r="L55" s="11">
        <f t="shared" si="2"/>
        <v>4.5999999999999999E-2</v>
      </c>
      <c r="M55" s="10">
        <f t="shared" si="28"/>
        <v>4.4727044025157292E-3</v>
      </c>
      <c r="N55" s="12">
        <f t="shared" si="29"/>
        <v>799.8792369811332</v>
      </c>
      <c r="O55" s="53">
        <f t="shared" si="3"/>
        <v>17.779000000000025</v>
      </c>
      <c r="P55" s="69">
        <f t="shared" si="30"/>
        <v>480.0329999999999</v>
      </c>
      <c r="Q55" s="15">
        <f t="shared" si="4"/>
        <v>5.8</v>
      </c>
      <c r="R55" s="12">
        <f t="shared" si="31"/>
        <v>0.5639496855345919</v>
      </c>
      <c r="S55" s="12">
        <f t="shared" si="32"/>
        <v>485.77335849056669</v>
      </c>
      <c r="T55" s="54">
        <f t="shared" si="5"/>
        <v>2241.700000000003</v>
      </c>
      <c r="U55" s="65">
        <f t="shared" si="33"/>
        <v>60525.9</v>
      </c>
      <c r="V55" s="15">
        <f t="shared" si="6"/>
        <v>2.6776611300395068</v>
      </c>
      <c r="W55" s="12">
        <f t="shared" si="34"/>
        <v>0.26035623314723794</v>
      </c>
      <c r="X55" s="12">
        <f t="shared" si="35"/>
        <v>307.14669660339325</v>
      </c>
      <c r="Y55" s="54">
        <f t="shared" si="7"/>
        <v>1034.9160267602708</v>
      </c>
      <c r="Z55" s="65">
        <f t="shared" si="36"/>
        <v>667216.88100151054</v>
      </c>
      <c r="AA55" s="81">
        <f t="shared" si="8"/>
        <v>2.5000000000000001E-4</v>
      </c>
      <c r="AB55" s="12">
        <f t="shared" si="37"/>
        <v>2.4308176100628964E-5</v>
      </c>
      <c r="AC55" s="12">
        <f t="shared" si="38"/>
        <v>21.899343679245263</v>
      </c>
      <c r="AD55" s="373">
        <f t="shared" si="9"/>
        <v>9.6625000000000141E-2</v>
      </c>
      <c r="AE55" s="374">
        <f t="shared" si="39"/>
        <v>2.6088749999999998</v>
      </c>
      <c r="AF55" s="15">
        <f t="shared" si="10"/>
        <v>1.42</v>
      </c>
      <c r="AG55" s="12">
        <f t="shared" si="40"/>
        <v>0.1380704402515725</v>
      </c>
      <c r="AH55" s="13">
        <f t="shared" si="41"/>
        <v>11210.272098113226</v>
      </c>
      <c r="AI55" s="54">
        <f t="shared" si="11"/>
        <v>548.83000000000072</v>
      </c>
      <c r="AJ55" s="65">
        <f t="shared" si="42"/>
        <v>14818.409999999998</v>
      </c>
      <c r="AK55" s="32">
        <f t="shared" si="12"/>
        <v>2.59</v>
      </c>
      <c r="AL55" s="34">
        <f t="shared" si="43"/>
        <v>0.25183270440251604</v>
      </c>
      <c r="AM55" s="34">
        <f t="shared" si="44"/>
        <v>20.800516981132041</v>
      </c>
      <c r="AN55" s="55">
        <f t="shared" si="13"/>
        <v>1001.0350000000013</v>
      </c>
      <c r="AO55" s="371">
        <f t="shared" si="45"/>
        <v>27027.944999999996</v>
      </c>
      <c r="AP55" s="15">
        <f t="shared" si="14"/>
        <v>1.27</v>
      </c>
      <c r="AQ55" s="12">
        <f t="shared" si="46"/>
        <v>0.12348553459119514</v>
      </c>
      <c r="AR55" s="12">
        <f t="shared" si="47"/>
        <v>122.76589056603768</v>
      </c>
      <c r="AS55" s="54">
        <f t="shared" si="15"/>
        <v>490.85500000000064</v>
      </c>
      <c r="AT55" s="65">
        <f t="shared" si="48"/>
        <v>13253.085000000006</v>
      </c>
      <c r="AU55" s="15">
        <v>0</v>
      </c>
      <c r="AV55" s="34">
        <f t="shared" si="49"/>
        <v>0</v>
      </c>
      <c r="AW55" s="34">
        <f t="shared" si="50"/>
        <v>4.6922771768574366E-3</v>
      </c>
      <c r="AX55" s="55">
        <f t="shared" si="17"/>
        <v>0</v>
      </c>
      <c r="AY55" s="371">
        <f t="shared" si="51"/>
        <v>107703.84819822203</v>
      </c>
      <c r="AZ55" s="15">
        <f t="shared" si="18"/>
        <v>1.9610962483078625E-2</v>
      </c>
      <c r="BA55" s="10">
        <f t="shared" si="52"/>
        <v>1.9068269181660123E-3</v>
      </c>
      <c r="BB55" s="12">
        <f t="shared" si="53"/>
        <v>4.3788436316996879</v>
      </c>
      <c r="BC55" s="54">
        <f t="shared" si="19"/>
        <v>7.5796369997098987</v>
      </c>
      <c r="BD55" s="65">
        <f t="shared" si="54"/>
        <v>2190.8465639937372</v>
      </c>
      <c r="BE55" s="15">
        <f t="shared" si="20"/>
        <v>1889.1933173346054</v>
      </c>
      <c r="BF55" s="13">
        <f t="shared" si="55"/>
        <v>183.69137538360403</v>
      </c>
      <c r="BG55" s="13">
        <f t="shared" si="56"/>
        <v>36803.808486686961</v>
      </c>
      <c r="BH55" s="54">
        <f t="shared" si="21"/>
        <v>730173.217149826</v>
      </c>
      <c r="BI55" s="65">
        <f t="shared" si="57"/>
        <v>31725236.265419364</v>
      </c>
      <c r="BJ55" s="15">
        <f t="shared" si="22"/>
        <v>0.40600000000000003</v>
      </c>
      <c r="BK55" s="12">
        <f t="shared" si="58"/>
        <v>3.9476477987421439E-2</v>
      </c>
      <c r="BL55" s="12">
        <f t="shared" si="59"/>
        <v>14.934135094339638</v>
      </c>
      <c r="BM55" s="54">
        <f t="shared" si="23"/>
        <v>156.91900000000021</v>
      </c>
      <c r="BN55" s="65">
        <f t="shared" si="60"/>
        <v>4236.813000000001</v>
      </c>
      <c r="BO55" s="16">
        <f t="shared" si="24"/>
        <v>29.3</v>
      </c>
      <c r="BP55" s="18">
        <f t="shared" si="61"/>
        <v>2.8489182389937149</v>
      </c>
      <c r="BQ55" s="18">
        <f t="shared" si="62"/>
        <v>1604.0792075471688</v>
      </c>
      <c r="BR55" s="54">
        <f t="shared" si="25"/>
        <v>11324.450000000017</v>
      </c>
      <c r="BS55" s="65">
        <f t="shared" si="63"/>
        <v>305760.14999999991</v>
      </c>
    </row>
    <row r="56" spans="2:73" ht="15.75" customHeight="1" x14ac:dyDescent="0.25">
      <c r="B56" s="1">
        <v>28</v>
      </c>
      <c r="C56" s="1">
        <f>Scenario_Info!N$10</f>
        <v>45</v>
      </c>
      <c r="D56" s="35">
        <f>Scenario_Info!N$14</f>
        <v>77.3</v>
      </c>
      <c r="E56" s="36">
        <f>Scenario_Info!N$18</f>
        <v>309200</v>
      </c>
      <c r="F56" s="37">
        <f>F55+Percolation!E56/$D$7</f>
        <v>2.7225157232704404</v>
      </c>
      <c r="G56" s="11">
        <f t="shared" si="0"/>
        <v>9.0999999999999998E-2</v>
      </c>
      <c r="H56" s="10">
        <f t="shared" si="26"/>
        <v>8.8481761006289419E-3</v>
      </c>
      <c r="I56" s="12">
        <f t="shared" si="65"/>
        <v>12.652251069182372</v>
      </c>
      <c r="J56" s="53">
        <f t="shared" si="1"/>
        <v>35.171500000000044</v>
      </c>
      <c r="K56" s="69">
        <f t="shared" si="27"/>
        <v>984.80199999999979</v>
      </c>
      <c r="L56" s="11">
        <f t="shared" si="2"/>
        <v>4.5999999999999999E-2</v>
      </c>
      <c r="M56" s="10">
        <f t="shared" si="28"/>
        <v>4.4727044025157292E-3</v>
      </c>
      <c r="N56" s="12">
        <f t="shared" si="29"/>
        <v>799.87476427673073</v>
      </c>
      <c r="O56" s="53">
        <f t="shared" si="3"/>
        <v>17.779000000000025</v>
      </c>
      <c r="P56" s="69">
        <f t="shared" si="30"/>
        <v>497.8119999999999</v>
      </c>
      <c r="Q56" s="15">
        <f t="shared" si="4"/>
        <v>5.8</v>
      </c>
      <c r="R56" s="12">
        <f t="shared" si="31"/>
        <v>0.5639496855345919</v>
      </c>
      <c r="S56" s="12">
        <f t="shared" si="32"/>
        <v>485.20940880503213</v>
      </c>
      <c r="T56" s="54">
        <f t="shared" si="5"/>
        <v>2241.700000000003</v>
      </c>
      <c r="U56" s="65">
        <f t="shared" si="33"/>
        <v>62767.600000000006</v>
      </c>
      <c r="V56" s="15">
        <f t="shared" si="6"/>
        <v>2.6776611300395068</v>
      </c>
      <c r="W56" s="12">
        <f t="shared" si="34"/>
        <v>0.26035623314723794</v>
      </c>
      <c r="X56" s="12">
        <f t="shared" si="35"/>
        <v>306.88634037024599</v>
      </c>
      <c r="Y56" s="54">
        <f t="shared" si="7"/>
        <v>1034.9160267602708</v>
      </c>
      <c r="Z56" s="65">
        <f t="shared" si="36"/>
        <v>668251.79702827078</v>
      </c>
      <c r="AA56" s="81">
        <f t="shared" si="8"/>
        <v>2.5000000000000001E-4</v>
      </c>
      <c r="AB56" s="12">
        <f t="shared" si="37"/>
        <v>2.4308176100628964E-5</v>
      </c>
      <c r="AC56" s="12">
        <f t="shared" si="38"/>
        <v>21.899319371069161</v>
      </c>
      <c r="AD56" s="373">
        <f t="shared" si="9"/>
        <v>9.6625000000000141E-2</v>
      </c>
      <c r="AE56" s="374">
        <f t="shared" si="39"/>
        <v>2.7054999999999998</v>
      </c>
      <c r="AF56" s="15">
        <f t="shared" si="10"/>
        <v>1.42</v>
      </c>
      <c r="AG56" s="12">
        <f t="shared" si="40"/>
        <v>0.1380704402515725</v>
      </c>
      <c r="AH56" s="13">
        <f t="shared" si="41"/>
        <v>11210.134027672975</v>
      </c>
      <c r="AI56" s="54">
        <f t="shared" si="11"/>
        <v>548.83000000000072</v>
      </c>
      <c r="AJ56" s="65">
        <f t="shared" si="42"/>
        <v>15367.239999999998</v>
      </c>
      <c r="AK56" s="32">
        <f t="shared" si="12"/>
        <v>2.59</v>
      </c>
      <c r="AL56" s="34">
        <f t="shared" si="43"/>
        <v>0.25183270440251604</v>
      </c>
      <c r="AM56" s="34">
        <f t="shared" si="44"/>
        <v>20.548684276729524</v>
      </c>
      <c r="AN56" s="55">
        <f t="shared" si="13"/>
        <v>1001.0350000000013</v>
      </c>
      <c r="AO56" s="371">
        <f t="shared" si="45"/>
        <v>28028.979999999996</v>
      </c>
      <c r="AP56" s="15">
        <f t="shared" si="14"/>
        <v>1.27</v>
      </c>
      <c r="AQ56" s="12">
        <f t="shared" si="46"/>
        <v>0.12348553459119514</v>
      </c>
      <c r="AR56" s="12">
        <f t="shared" si="47"/>
        <v>122.64240503144649</v>
      </c>
      <c r="AS56" s="54">
        <f t="shared" si="15"/>
        <v>490.85500000000064</v>
      </c>
      <c r="AT56" s="65">
        <f t="shared" si="48"/>
        <v>13743.940000000008</v>
      </c>
      <c r="AU56" s="15">
        <v>0</v>
      </c>
      <c r="AV56" s="34">
        <f t="shared" si="49"/>
        <v>0</v>
      </c>
      <c r="AW56" s="34">
        <f t="shared" si="50"/>
        <v>4.6922771768574366E-3</v>
      </c>
      <c r="AX56" s="55">
        <f t="shared" si="17"/>
        <v>0</v>
      </c>
      <c r="AY56" s="371">
        <f t="shared" si="51"/>
        <v>107703.84819822203</v>
      </c>
      <c r="AZ56" s="15">
        <f t="shared" si="18"/>
        <v>1.9610962483078625E-2</v>
      </c>
      <c r="BA56" s="10">
        <f t="shared" si="52"/>
        <v>1.9068269181660123E-3</v>
      </c>
      <c r="BB56" s="12">
        <f t="shared" si="53"/>
        <v>4.376936804781522</v>
      </c>
      <c r="BC56" s="54">
        <f t="shared" si="19"/>
        <v>7.5796369997098987</v>
      </c>
      <c r="BD56" s="65">
        <f t="shared" si="54"/>
        <v>2198.4262009934469</v>
      </c>
      <c r="BE56" s="15">
        <f t="shared" si="20"/>
        <v>1889.1933173346054</v>
      </c>
      <c r="BF56" s="13">
        <f t="shared" si="55"/>
        <v>183.69137538360403</v>
      </c>
      <c r="BG56" s="13">
        <f t="shared" si="56"/>
        <v>36620.117111303356</v>
      </c>
      <c r="BH56" s="54">
        <f t="shared" si="21"/>
        <v>730173.217149826</v>
      </c>
      <c r="BI56" s="65">
        <f t="shared" si="57"/>
        <v>32455409.482569192</v>
      </c>
      <c r="BJ56" s="15">
        <f t="shared" si="22"/>
        <v>0.40600000000000003</v>
      </c>
      <c r="BK56" s="12">
        <f t="shared" si="58"/>
        <v>3.9476477987421439E-2</v>
      </c>
      <c r="BL56" s="12">
        <f t="shared" si="59"/>
        <v>14.894658616352217</v>
      </c>
      <c r="BM56" s="54">
        <f t="shared" si="23"/>
        <v>156.91900000000021</v>
      </c>
      <c r="BN56" s="65">
        <f t="shared" si="60"/>
        <v>4393.7320000000009</v>
      </c>
      <c r="BO56" s="16">
        <f t="shared" si="24"/>
        <v>29.3</v>
      </c>
      <c r="BP56" s="18">
        <f t="shared" si="61"/>
        <v>2.8489182389937149</v>
      </c>
      <c r="BQ56" s="18">
        <f t="shared" si="62"/>
        <v>1601.2302893081751</v>
      </c>
      <c r="BR56" s="54">
        <f t="shared" si="25"/>
        <v>11324.450000000017</v>
      </c>
      <c r="BS56" s="65">
        <f t="shared" si="63"/>
        <v>317084.59999999992</v>
      </c>
    </row>
    <row r="57" spans="2:73" ht="15.75" customHeight="1" x14ac:dyDescent="0.25">
      <c r="B57" s="1">
        <v>29</v>
      </c>
      <c r="C57" s="1">
        <f>Scenario_Info!N$10</f>
        <v>45</v>
      </c>
      <c r="D57" s="35">
        <f>Scenario_Info!N$14</f>
        <v>77.3</v>
      </c>
      <c r="E57" s="36">
        <f>Scenario_Info!N$18</f>
        <v>309200</v>
      </c>
      <c r="F57" s="37">
        <f>F56+Percolation!E57/$D$7</f>
        <v>2.8197484276729563</v>
      </c>
      <c r="G57" s="11">
        <f t="shared" si="0"/>
        <v>9.0999999999999998E-2</v>
      </c>
      <c r="H57" s="10">
        <f t="shared" si="26"/>
        <v>8.8481761006289419E-3</v>
      </c>
      <c r="I57" s="12">
        <f t="shared" si="65"/>
        <v>12.643402893081742</v>
      </c>
      <c r="J57" s="53">
        <f t="shared" si="1"/>
        <v>35.171500000000044</v>
      </c>
      <c r="K57" s="69">
        <f t="shared" si="27"/>
        <v>1019.9734999999998</v>
      </c>
      <c r="L57" s="11">
        <f t="shared" si="2"/>
        <v>4.5999999999999999E-2</v>
      </c>
      <c r="M57" s="10">
        <f t="shared" si="28"/>
        <v>4.4727044025157292E-3</v>
      </c>
      <c r="N57" s="12">
        <f t="shared" si="29"/>
        <v>799.87029157232826</v>
      </c>
      <c r="O57" s="53">
        <f t="shared" si="3"/>
        <v>17.779000000000025</v>
      </c>
      <c r="P57" s="69">
        <f t="shared" si="30"/>
        <v>515.59099999999989</v>
      </c>
      <c r="Q57" s="15">
        <f t="shared" si="4"/>
        <v>5.8</v>
      </c>
      <c r="R57" s="12">
        <f t="shared" si="31"/>
        <v>0.5639496855345919</v>
      </c>
      <c r="S57" s="12">
        <f t="shared" si="32"/>
        <v>484.64545911949756</v>
      </c>
      <c r="T57" s="54">
        <f t="shared" si="5"/>
        <v>2241.700000000003</v>
      </c>
      <c r="U57" s="65">
        <f t="shared" si="33"/>
        <v>65009.30000000001</v>
      </c>
      <c r="V57" s="15">
        <f t="shared" si="6"/>
        <v>2.6776611300395068</v>
      </c>
      <c r="W57" s="12">
        <f t="shared" si="34"/>
        <v>0.26035623314723794</v>
      </c>
      <c r="X57" s="12">
        <f t="shared" si="35"/>
        <v>306.62598413709873</v>
      </c>
      <c r="Y57" s="54">
        <f t="shared" si="7"/>
        <v>1034.9160267602708</v>
      </c>
      <c r="Z57" s="65">
        <f t="shared" si="36"/>
        <v>669286.71305503102</v>
      </c>
      <c r="AA57" s="81">
        <f t="shared" si="8"/>
        <v>2.5000000000000001E-4</v>
      </c>
      <c r="AB57" s="12">
        <f t="shared" si="37"/>
        <v>2.4308176100628964E-5</v>
      </c>
      <c r="AC57" s="12">
        <f t="shared" si="38"/>
        <v>21.89929506289306</v>
      </c>
      <c r="AD57" s="373">
        <f t="shared" si="9"/>
        <v>9.6625000000000141E-2</v>
      </c>
      <c r="AE57" s="374">
        <f t="shared" si="39"/>
        <v>2.8021249999999998</v>
      </c>
      <c r="AF57" s="15">
        <f t="shared" si="10"/>
        <v>1.42</v>
      </c>
      <c r="AG57" s="12">
        <f t="shared" si="40"/>
        <v>0.1380704402515725</v>
      </c>
      <c r="AH57" s="13">
        <f t="shared" si="41"/>
        <v>11209.995957232724</v>
      </c>
      <c r="AI57" s="54">
        <f t="shared" si="11"/>
        <v>548.83000000000072</v>
      </c>
      <c r="AJ57" s="65">
        <f t="shared" si="42"/>
        <v>15916.069999999998</v>
      </c>
      <c r="AK57" s="32">
        <f t="shared" si="12"/>
        <v>2.59</v>
      </c>
      <c r="AL57" s="34">
        <f t="shared" si="43"/>
        <v>0.25183270440251604</v>
      </c>
      <c r="AM57" s="34">
        <f t="shared" si="44"/>
        <v>20.296851572327007</v>
      </c>
      <c r="AN57" s="55">
        <f t="shared" si="13"/>
        <v>1001.0350000000013</v>
      </c>
      <c r="AO57" s="371">
        <f t="shared" si="45"/>
        <v>29030.014999999996</v>
      </c>
      <c r="AP57" s="15">
        <f t="shared" si="14"/>
        <v>1.27</v>
      </c>
      <c r="AQ57" s="12">
        <f t="shared" si="46"/>
        <v>0.12348553459119514</v>
      </c>
      <c r="AR57" s="12">
        <f t="shared" si="47"/>
        <v>122.51891949685529</v>
      </c>
      <c r="AS57" s="54">
        <f t="shared" si="15"/>
        <v>490.85500000000064</v>
      </c>
      <c r="AT57" s="65">
        <f t="shared" si="48"/>
        <v>14234.795000000009</v>
      </c>
      <c r="AU57" s="15">
        <v>0</v>
      </c>
      <c r="AV57" s="34">
        <f t="shared" si="49"/>
        <v>0</v>
      </c>
      <c r="AW57" s="34">
        <f t="shared" si="50"/>
        <v>4.6922771768574366E-3</v>
      </c>
      <c r="AX57" s="55">
        <f t="shared" si="17"/>
        <v>0</v>
      </c>
      <c r="AY57" s="371">
        <f t="shared" si="51"/>
        <v>107703.84819822203</v>
      </c>
      <c r="AZ57" s="15">
        <f t="shared" si="18"/>
        <v>1.9610962483078625E-2</v>
      </c>
      <c r="BA57" s="10">
        <f t="shared" si="52"/>
        <v>1.9068269181660123E-3</v>
      </c>
      <c r="BB57" s="12">
        <f t="shared" si="53"/>
        <v>4.3750299778633561</v>
      </c>
      <c r="BC57" s="54">
        <f t="shared" si="19"/>
        <v>7.5796369997098987</v>
      </c>
      <c r="BD57" s="65">
        <f t="shared" si="54"/>
        <v>2206.0058379931565</v>
      </c>
      <c r="BE57" s="15">
        <f t="shared" si="20"/>
        <v>1889.1933173346054</v>
      </c>
      <c r="BF57" s="13">
        <f t="shared" si="55"/>
        <v>183.69137538360403</v>
      </c>
      <c r="BG57" s="13">
        <f t="shared" si="56"/>
        <v>36436.425735919751</v>
      </c>
      <c r="BH57" s="54">
        <f t="shared" si="21"/>
        <v>730173.217149826</v>
      </c>
      <c r="BI57" s="65">
        <f t="shared" si="57"/>
        <v>33185582.699719019</v>
      </c>
      <c r="BJ57" s="15">
        <f t="shared" si="22"/>
        <v>0.40600000000000003</v>
      </c>
      <c r="BK57" s="12">
        <f t="shared" si="58"/>
        <v>3.9476477987421439E-2</v>
      </c>
      <c r="BL57" s="12">
        <f t="shared" si="59"/>
        <v>14.855182138364796</v>
      </c>
      <c r="BM57" s="54">
        <f t="shared" si="23"/>
        <v>156.91900000000021</v>
      </c>
      <c r="BN57" s="65">
        <f t="shared" si="60"/>
        <v>4550.6510000000007</v>
      </c>
      <c r="BO57" s="16">
        <f t="shared" si="24"/>
        <v>29.3</v>
      </c>
      <c r="BP57" s="18">
        <f t="shared" si="61"/>
        <v>2.8489182389937149</v>
      </c>
      <c r="BQ57" s="18">
        <f t="shared" si="62"/>
        <v>1598.3813710691813</v>
      </c>
      <c r="BR57" s="54">
        <f t="shared" si="25"/>
        <v>11324.450000000017</v>
      </c>
      <c r="BS57" s="65">
        <f t="shared" si="63"/>
        <v>328409.04999999993</v>
      </c>
    </row>
    <row r="58" spans="2:73" ht="15.75" customHeight="1" x14ac:dyDescent="0.25">
      <c r="B58" s="326">
        <v>30</v>
      </c>
      <c r="C58" s="326">
        <f>Scenario_Info!N$10</f>
        <v>45</v>
      </c>
      <c r="D58" s="327">
        <f>Scenario_Info!N$14</f>
        <v>77.3</v>
      </c>
      <c r="E58" s="328">
        <f>Scenario_Info!N$18</f>
        <v>309200</v>
      </c>
      <c r="F58" s="329">
        <f>F57+Percolation!E58/$D$7</f>
        <v>2.9169811320754722</v>
      </c>
      <c r="G58" s="330">
        <f t="shared" si="0"/>
        <v>9.0999999999999998E-2</v>
      </c>
      <c r="H58" s="20">
        <f t="shared" si="26"/>
        <v>8.8481761006289419E-3</v>
      </c>
      <c r="I58" s="331">
        <f t="shared" si="65"/>
        <v>12.634554716981112</v>
      </c>
      <c r="J58" s="332">
        <f t="shared" si="1"/>
        <v>35.171500000000044</v>
      </c>
      <c r="K58" s="333">
        <f t="shared" si="27"/>
        <v>1055.145</v>
      </c>
      <c r="L58" s="330">
        <f t="shared" si="2"/>
        <v>4.5999999999999999E-2</v>
      </c>
      <c r="M58" s="20">
        <f t="shared" si="28"/>
        <v>4.4727044025157292E-3</v>
      </c>
      <c r="N58" s="331">
        <f t="shared" si="29"/>
        <v>799.86581886792578</v>
      </c>
      <c r="O58" s="332">
        <f t="shared" si="3"/>
        <v>17.779000000000025</v>
      </c>
      <c r="P58" s="333">
        <f t="shared" si="30"/>
        <v>533.36999999999989</v>
      </c>
      <c r="Q58" s="334">
        <f t="shared" si="4"/>
        <v>5.8</v>
      </c>
      <c r="R58" s="331">
        <f t="shared" si="31"/>
        <v>0.5639496855345919</v>
      </c>
      <c r="S58" s="331">
        <f t="shared" si="32"/>
        <v>484.08150943396299</v>
      </c>
      <c r="T58" s="335">
        <f t="shared" si="5"/>
        <v>2241.700000000003</v>
      </c>
      <c r="U58" s="336">
        <f t="shared" si="33"/>
        <v>67251.000000000015</v>
      </c>
      <c r="V58" s="334">
        <f t="shared" si="6"/>
        <v>2.6776611300395068</v>
      </c>
      <c r="W58" s="331">
        <f t="shared" si="34"/>
        <v>0.26035623314723794</v>
      </c>
      <c r="X58" s="331">
        <f t="shared" si="35"/>
        <v>306.36562790395146</v>
      </c>
      <c r="Y58" s="335">
        <f t="shared" si="7"/>
        <v>1034.9160267602708</v>
      </c>
      <c r="Z58" s="336">
        <f t="shared" si="36"/>
        <v>670321.62908179127</v>
      </c>
      <c r="AA58" s="337">
        <f t="shared" si="8"/>
        <v>2.5000000000000001E-4</v>
      </c>
      <c r="AB58" s="331">
        <f t="shared" si="37"/>
        <v>2.4308176100628964E-5</v>
      </c>
      <c r="AC58" s="331">
        <f t="shared" si="38"/>
        <v>21.899270754716959</v>
      </c>
      <c r="AD58" s="375">
        <f t="shared" si="9"/>
        <v>9.6625000000000141E-2</v>
      </c>
      <c r="AE58" s="376">
        <f t="shared" si="39"/>
        <v>2.8987499999999997</v>
      </c>
      <c r="AF58" s="334">
        <f t="shared" si="10"/>
        <v>1.42</v>
      </c>
      <c r="AG58" s="331">
        <f t="shared" si="40"/>
        <v>0.1380704402515725</v>
      </c>
      <c r="AH58" s="14">
        <f t="shared" si="41"/>
        <v>11209.857886792473</v>
      </c>
      <c r="AI58" s="335">
        <f t="shared" si="11"/>
        <v>548.83000000000072</v>
      </c>
      <c r="AJ58" s="336">
        <f t="shared" si="42"/>
        <v>16464.899999999998</v>
      </c>
      <c r="AK58" s="338">
        <f t="shared" si="12"/>
        <v>2.59</v>
      </c>
      <c r="AL58" s="339">
        <f t="shared" si="43"/>
        <v>0.25183270440251604</v>
      </c>
      <c r="AM58" s="339">
        <f t="shared" si="44"/>
        <v>20.04501886792449</v>
      </c>
      <c r="AN58" s="340">
        <f t="shared" si="13"/>
        <v>1001.0350000000013</v>
      </c>
      <c r="AO58" s="372">
        <f t="shared" si="45"/>
        <v>30031.049999999996</v>
      </c>
      <c r="AP58" s="334">
        <f t="shared" si="14"/>
        <v>1.27</v>
      </c>
      <c r="AQ58" s="331">
        <f t="shared" si="46"/>
        <v>0.12348553459119514</v>
      </c>
      <c r="AR58" s="331">
        <f t="shared" si="47"/>
        <v>122.39543396226409</v>
      </c>
      <c r="AS58" s="335">
        <f t="shared" si="15"/>
        <v>490.85500000000064</v>
      </c>
      <c r="AT58" s="336">
        <f t="shared" si="48"/>
        <v>14725.650000000011</v>
      </c>
      <c r="AU58" s="334">
        <v>0</v>
      </c>
      <c r="AV58" s="339">
        <f t="shared" si="49"/>
        <v>0</v>
      </c>
      <c r="AW58" s="339">
        <f t="shared" si="50"/>
        <v>4.6922771768574366E-3</v>
      </c>
      <c r="AX58" s="340">
        <f t="shared" si="17"/>
        <v>0</v>
      </c>
      <c r="AY58" s="372">
        <f t="shared" si="51"/>
        <v>107703.84819822203</v>
      </c>
      <c r="AZ58" s="334">
        <f t="shared" si="18"/>
        <v>1.9610962483078625E-2</v>
      </c>
      <c r="BA58" s="20">
        <f t="shared" si="52"/>
        <v>1.9068269181660123E-3</v>
      </c>
      <c r="BB58" s="331">
        <f t="shared" si="53"/>
        <v>4.3731231509451902</v>
      </c>
      <c r="BC58" s="335">
        <f t="shared" si="19"/>
        <v>7.5796369997098987</v>
      </c>
      <c r="BD58" s="336">
        <f t="shared" si="54"/>
        <v>2213.5854749928662</v>
      </c>
      <c r="BE58" s="334">
        <f t="shared" si="20"/>
        <v>1889.1933173346054</v>
      </c>
      <c r="BF58" s="14">
        <f t="shared" si="55"/>
        <v>183.69137538360403</v>
      </c>
      <c r="BG58" s="14">
        <f t="shared" si="56"/>
        <v>36252.734360536146</v>
      </c>
      <c r="BH58" s="335">
        <f t="shared" si="21"/>
        <v>730173.217149826</v>
      </c>
      <c r="BI58" s="336">
        <f t="shared" si="57"/>
        <v>33915755.916868843</v>
      </c>
      <c r="BJ58" s="334">
        <f t="shared" si="22"/>
        <v>0.40600000000000003</v>
      </c>
      <c r="BK58" s="331">
        <f t="shared" si="58"/>
        <v>3.9476477987421439E-2</v>
      </c>
      <c r="BL58" s="331">
        <f t="shared" si="59"/>
        <v>14.815705660377375</v>
      </c>
      <c r="BM58" s="335">
        <f t="shared" si="23"/>
        <v>156.91900000000021</v>
      </c>
      <c r="BN58" s="336">
        <f t="shared" si="60"/>
        <v>4707.5700000000006</v>
      </c>
      <c r="BO58" s="341">
        <f t="shared" si="24"/>
        <v>29.3</v>
      </c>
      <c r="BP58" s="19">
        <f t="shared" si="61"/>
        <v>2.8489182389937149</v>
      </c>
      <c r="BQ58" s="19">
        <f t="shared" si="62"/>
        <v>1595.5324528301876</v>
      </c>
      <c r="BR58" s="335">
        <f t="shared" si="25"/>
        <v>11324.450000000017</v>
      </c>
      <c r="BS58" s="336">
        <f t="shared" si="63"/>
        <v>339733.49999999994</v>
      </c>
    </row>
    <row r="59" spans="2:73" s="6" customFormat="1" ht="15.75" customHeight="1" x14ac:dyDescent="0.25">
      <c r="F59" s="29" t="s">
        <v>68</v>
      </c>
      <c r="H59" s="30"/>
      <c r="I59" s="30">
        <f>I58/G17</f>
        <v>0.97942284627760556</v>
      </c>
      <c r="J59" s="30"/>
      <c r="K59" s="30"/>
      <c r="M59" s="30"/>
      <c r="N59" s="30">
        <f>N58/L17</f>
        <v>0.99983227358490723</v>
      </c>
      <c r="O59" s="30"/>
      <c r="P59" s="30"/>
      <c r="R59" s="30"/>
      <c r="S59" s="30">
        <f>S58/Q17</f>
        <v>0.96623055775242117</v>
      </c>
      <c r="T59" s="30"/>
      <c r="U59" s="30"/>
      <c r="W59" s="30"/>
      <c r="X59" s="30">
        <f>X58/V17</f>
        <v>0.64498026927147678</v>
      </c>
      <c r="Y59" s="30"/>
      <c r="Z59" s="30"/>
      <c r="AB59" s="30"/>
      <c r="AC59" s="30">
        <f>AC58/AA17</f>
        <v>0.99996670112862829</v>
      </c>
      <c r="AD59" s="30"/>
      <c r="AE59" s="30"/>
      <c r="AG59" s="30"/>
      <c r="AH59" s="30">
        <f>AH58/AF17</f>
        <v>0.99963063017589382</v>
      </c>
      <c r="AI59" s="30"/>
      <c r="AJ59" s="30"/>
      <c r="AL59" s="30"/>
      <c r="AM59" s="30">
        <f>AM58/AK17</f>
        <v>0.72626879956248147</v>
      </c>
      <c r="AN59" s="30"/>
      <c r="AO59" s="30"/>
      <c r="AQ59" s="30"/>
      <c r="AR59" s="30">
        <f>AR58/AP17</f>
        <v>0.9706219981147034</v>
      </c>
      <c r="AS59" s="30"/>
      <c r="AT59" s="30"/>
      <c r="AV59" s="30"/>
      <c r="AW59" s="30">
        <f>AW58/AU17</f>
        <v>1.7314675929363233E-4</v>
      </c>
      <c r="AX59" s="30"/>
      <c r="AY59" s="30"/>
      <c r="BA59" s="30"/>
      <c r="BB59" s="30">
        <f>BB58/AZ17</f>
        <v>0.88704323548583985</v>
      </c>
      <c r="BC59" s="30"/>
      <c r="BD59" s="30"/>
      <c r="BF59" s="30"/>
      <c r="BG59" s="30">
        <f>BG58/BE17</f>
        <v>0.80948385308777815</v>
      </c>
      <c r="BH59" s="30"/>
      <c r="BI59" s="30"/>
      <c r="BK59" s="30"/>
      <c r="BL59" s="30">
        <f>BL58/BJ17</f>
        <v>0.92598160377358596</v>
      </c>
      <c r="BM59" s="30"/>
      <c r="BN59" s="30"/>
      <c r="BP59" s="30"/>
      <c r="BQ59" s="30">
        <f>BQ58/BO17</f>
        <v>0.94915672387280647</v>
      </c>
      <c r="BR59" s="30"/>
      <c r="BS59" s="30"/>
      <c r="BT59" s="30"/>
      <c r="BU59" s="30"/>
    </row>
    <row r="60" spans="2:73" ht="15.75" customHeight="1" x14ac:dyDescent="0.25"/>
    <row r="61" spans="2:73" ht="15.75" customHeight="1" x14ac:dyDescent="0.25"/>
    <row r="62" spans="2:73" s="6" customFormat="1" ht="15.75" customHeight="1" x14ac:dyDescent="0.25">
      <c r="B62" s="9" t="s">
        <v>270</v>
      </c>
      <c r="G62" s="352"/>
      <c r="H62" s="353"/>
      <c r="I62" s="354" t="str">
        <f>I13</f>
        <v>Antimony</v>
      </c>
      <c r="J62" s="353"/>
      <c r="K62" s="355"/>
      <c r="L62" s="352"/>
      <c r="M62" s="353"/>
      <c r="N62" s="354" t="str">
        <f>N13</f>
        <v>Arsenic</v>
      </c>
      <c r="O62" s="353"/>
      <c r="P62" s="353"/>
      <c r="Q62" s="352"/>
      <c r="R62" s="353"/>
      <c r="S62" s="354" t="str">
        <f>S13</f>
        <v>Cadmium</v>
      </c>
      <c r="T62" s="353"/>
      <c r="U62" s="355"/>
      <c r="V62" s="356"/>
      <c r="W62" s="357"/>
      <c r="X62" s="358" t="str">
        <f>X13</f>
        <v>Chloride</v>
      </c>
      <c r="Y62" s="357"/>
      <c r="Z62" s="357"/>
      <c r="AA62" s="352"/>
      <c r="AB62" s="353"/>
      <c r="AC62" s="354" t="str">
        <f>AC13</f>
        <v>Chromium</v>
      </c>
      <c r="AD62" s="353"/>
      <c r="AE62" s="355"/>
      <c r="AF62" s="352"/>
      <c r="AG62" s="353"/>
      <c r="AH62" s="354" t="str">
        <f>AH13</f>
        <v>Copper</v>
      </c>
      <c r="AI62" s="353"/>
      <c r="AJ62" s="353"/>
      <c r="AK62" s="352"/>
      <c r="AL62" s="353"/>
      <c r="AM62" s="354" t="str">
        <f>AM13</f>
        <v>Fluoride</v>
      </c>
      <c r="AN62" s="353"/>
      <c r="AO62" s="353"/>
      <c r="AP62" s="352"/>
      <c r="AQ62" s="353"/>
      <c r="AR62" s="354" t="str">
        <f>AR13</f>
        <v>Lead</v>
      </c>
      <c r="AS62" s="353"/>
      <c r="AT62" s="353"/>
      <c r="AU62" s="356"/>
      <c r="AV62" s="357"/>
      <c r="AW62" s="358" t="str">
        <f>AW13</f>
        <v>Nitrate</v>
      </c>
      <c r="AX62" s="357"/>
      <c r="AY62" s="357"/>
      <c r="AZ62" s="356"/>
      <c r="BA62" s="357"/>
      <c r="BB62" s="358" t="str">
        <f>BB13</f>
        <v>Selenium</v>
      </c>
      <c r="BC62" s="357"/>
      <c r="BD62" s="357"/>
      <c r="BE62" s="356"/>
      <c r="BF62" s="357"/>
      <c r="BG62" s="358" t="str">
        <f>BG13</f>
        <v>Sulfate</v>
      </c>
      <c r="BH62" s="357"/>
      <c r="BI62" s="357"/>
      <c r="BJ62" s="352"/>
      <c r="BK62" s="353"/>
      <c r="BL62" s="354" t="str">
        <f>BL13</f>
        <v>Thallium</v>
      </c>
      <c r="BM62" s="353"/>
      <c r="BN62" s="355"/>
      <c r="BO62" s="352"/>
      <c r="BP62" s="353"/>
      <c r="BQ62" s="354" t="str">
        <f>BQ13</f>
        <v>Zinc</v>
      </c>
      <c r="BR62" s="353"/>
      <c r="BS62" s="355"/>
    </row>
    <row r="63" spans="2:73" ht="15.75" customHeight="1" x14ac:dyDescent="0.25">
      <c r="G63" s="359"/>
      <c r="H63" s="360"/>
      <c r="I63" s="361" t="str">
        <f>I14</f>
        <v>Solubility</v>
      </c>
      <c r="J63" s="360"/>
      <c r="K63" s="362"/>
      <c r="L63" s="359"/>
      <c r="M63" s="360"/>
      <c r="N63" s="361" t="str">
        <f>N14</f>
        <v>Solubility</v>
      </c>
      <c r="O63" s="360"/>
      <c r="P63" s="360"/>
      <c r="Q63" s="359"/>
      <c r="R63" s="360"/>
      <c r="S63" s="361" t="str">
        <f>S14</f>
        <v>Solubility</v>
      </c>
      <c r="T63" s="360"/>
      <c r="U63" s="362"/>
      <c r="V63" s="363"/>
      <c r="W63" s="364"/>
      <c r="X63" s="365" t="str">
        <f>X14</f>
        <v>Available Content</v>
      </c>
      <c r="Y63" s="364"/>
      <c r="Z63" s="364"/>
      <c r="AA63" s="359"/>
      <c r="AB63" s="360"/>
      <c r="AC63" s="361" t="str">
        <f>AC14</f>
        <v>Solubility</v>
      </c>
      <c r="AD63" s="360"/>
      <c r="AE63" s="362"/>
      <c r="AF63" s="359"/>
      <c r="AG63" s="360"/>
      <c r="AH63" s="361" t="str">
        <f>AH14</f>
        <v>Solubility</v>
      </c>
      <c r="AI63" s="360"/>
      <c r="AJ63" s="360"/>
      <c r="AK63" s="359"/>
      <c r="AL63" s="360"/>
      <c r="AM63" s="361" t="str">
        <f>AM14</f>
        <v>Solubility</v>
      </c>
      <c r="AN63" s="360"/>
      <c r="AO63" s="360"/>
      <c r="AP63" s="359"/>
      <c r="AQ63" s="360"/>
      <c r="AR63" s="361" t="str">
        <f>AR14</f>
        <v>Solubility</v>
      </c>
      <c r="AS63" s="360"/>
      <c r="AT63" s="360"/>
      <c r="AU63" s="363"/>
      <c r="AV63" s="364"/>
      <c r="AW63" s="365" t="str">
        <f>AW14</f>
        <v>Available Content</v>
      </c>
      <c r="AX63" s="364"/>
      <c r="AY63" s="364"/>
      <c r="AZ63" s="363"/>
      <c r="BA63" s="364"/>
      <c r="BB63" s="365" t="str">
        <f>BB14</f>
        <v>Available Content</v>
      </c>
      <c r="BC63" s="364"/>
      <c r="BD63" s="364"/>
      <c r="BE63" s="363"/>
      <c r="BF63" s="364"/>
      <c r="BG63" s="365" t="str">
        <f>BG14</f>
        <v>Available Content</v>
      </c>
      <c r="BH63" s="364"/>
      <c r="BI63" s="364"/>
      <c r="BJ63" s="359"/>
      <c r="BK63" s="360"/>
      <c r="BL63" s="361" t="str">
        <f>BL14</f>
        <v>Solubility</v>
      </c>
      <c r="BM63" s="360"/>
      <c r="BN63" s="362"/>
      <c r="BO63" s="359"/>
      <c r="BP63" s="360"/>
      <c r="BQ63" s="361" t="str">
        <f>BQ14</f>
        <v>Solubility</v>
      </c>
      <c r="BR63" s="360"/>
      <c r="BS63" s="362"/>
    </row>
    <row r="64" spans="2:73" s="22" customFormat="1" ht="15.75" customHeight="1" x14ac:dyDescent="0.25">
      <c r="F64" s="23" t="s">
        <v>69</v>
      </c>
      <c r="G64" s="367">
        <f>G15</f>
        <v>6.0000000000000001E-3</v>
      </c>
      <c r="H64" s="368" t="s">
        <v>66</v>
      </c>
      <c r="I64" s="369"/>
      <c r="J64" s="369"/>
      <c r="K64" s="370"/>
      <c r="L64" s="367">
        <f>L15</f>
        <v>0.01</v>
      </c>
      <c r="M64" s="368" t="s">
        <v>66</v>
      </c>
      <c r="N64" s="369"/>
      <c r="O64" s="369"/>
      <c r="P64" s="370"/>
      <c r="Q64" s="367">
        <f>Q15</f>
        <v>5.0000000000000001E-3</v>
      </c>
      <c r="R64" s="368" t="s">
        <v>66</v>
      </c>
      <c r="S64" s="369"/>
      <c r="T64" s="369"/>
      <c r="U64" s="370"/>
      <c r="V64" s="367">
        <f>V15</f>
        <v>250</v>
      </c>
      <c r="W64" s="368" t="s">
        <v>66</v>
      </c>
      <c r="X64" s="369"/>
      <c r="Y64" s="369"/>
      <c r="Z64" s="370"/>
      <c r="AA64" s="367">
        <f>Screening_Assessment!C23</f>
        <v>0.1</v>
      </c>
      <c r="AB64" s="368" t="s">
        <v>193</v>
      </c>
      <c r="AC64" s="369"/>
      <c r="AD64" s="369"/>
      <c r="AE64" s="370"/>
      <c r="AF64" s="27">
        <f>AF15</f>
        <v>1.3</v>
      </c>
      <c r="AG64" s="31" t="s">
        <v>66</v>
      </c>
      <c r="AH64" s="39"/>
      <c r="AI64" s="39"/>
      <c r="AJ64" s="39"/>
      <c r="AK64" s="27">
        <f>AK15</f>
        <v>4</v>
      </c>
      <c r="AL64" s="31" t="s">
        <v>66</v>
      </c>
      <c r="AM64" s="39"/>
      <c r="AN64" s="39"/>
      <c r="AO64" s="39"/>
      <c r="AP64" s="27">
        <f>AP15</f>
        <v>1.4999999999999999E-2</v>
      </c>
      <c r="AQ64" s="31" t="s">
        <v>66</v>
      </c>
      <c r="AR64" s="39"/>
      <c r="AS64" s="39"/>
      <c r="AT64" s="39"/>
      <c r="AU64" s="27">
        <f>AU15</f>
        <v>44</v>
      </c>
      <c r="AV64" s="31" t="s">
        <v>66</v>
      </c>
      <c r="AW64" s="39"/>
      <c r="AX64" s="39"/>
      <c r="AY64" s="39"/>
      <c r="AZ64" s="27">
        <f>AZ15</f>
        <v>0.05</v>
      </c>
      <c r="BA64" s="31" t="s">
        <v>66</v>
      </c>
      <c r="BB64" s="39"/>
      <c r="BC64" s="39"/>
      <c r="BD64" s="39"/>
      <c r="BE64" s="27">
        <f>BE15</f>
        <v>250</v>
      </c>
      <c r="BF64" s="31" t="s">
        <v>66</v>
      </c>
      <c r="BG64" s="39"/>
      <c r="BH64" s="39"/>
      <c r="BI64" s="39"/>
      <c r="BJ64" s="27">
        <f>BJ15</f>
        <v>2E-3</v>
      </c>
      <c r="BK64" s="31" t="s">
        <v>66</v>
      </c>
      <c r="BL64" s="39"/>
      <c r="BM64" s="39"/>
      <c r="BN64" s="28"/>
      <c r="BO64" s="27">
        <f>BO15</f>
        <v>5</v>
      </c>
      <c r="BP64" s="31" t="s">
        <v>66</v>
      </c>
      <c r="BQ64" s="39"/>
      <c r="BR64" s="39"/>
      <c r="BS64" s="28"/>
    </row>
    <row r="65" spans="2:71" s="22" customFormat="1" ht="15.75" customHeight="1" x14ac:dyDescent="0.25">
      <c r="F65" s="23" t="s">
        <v>99</v>
      </c>
      <c r="G65" s="80">
        <f>G16</f>
        <v>9.0999999999999998E-2</v>
      </c>
      <c r="H65" s="31" t="s">
        <v>66</v>
      </c>
      <c r="I65" s="39"/>
      <c r="J65" s="39"/>
      <c r="K65" s="28"/>
      <c r="L65" s="80">
        <f>L16</f>
        <v>4.5999999999999999E-2</v>
      </c>
      <c r="M65" s="31" t="s">
        <v>66</v>
      </c>
      <c r="N65" s="39"/>
      <c r="O65" s="39"/>
      <c r="P65" s="28"/>
      <c r="Q65" s="80">
        <f>Q16</f>
        <v>5.8</v>
      </c>
      <c r="R65" s="31" t="s">
        <v>66</v>
      </c>
      <c r="S65" s="39"/>
      <c r="T65" s="39"/>
      <c r="U65" s="28"/>
      <c r="V65" s="80">
        <f>V16</f>
        <v>13.8</v>
      </c>
      <c r="W65" s="31" t="s">
        <v>66</v>
      </c>
      <c r="X65" s="39"/>
      <c r="Y65" s="39"/>
      <c r="Z65" s="28"/>
      <c r="AA65" s="27">
        <v>2.5000000000000001E-4</v>
      </c>
      <c r="AB65" s="31" t="s">
        <v>193</v>
      </c>
      <c r="AC65" s="39"/>
      <c r="AD65" s="39"/>
      <c r="AE65" s="28"/>
      <c r="AF65" s="80">
        <f>AF16</f>
        <v>1.42</v>
      </c>
      <c r="AG65" s="31" t="s">
        <v>66</v>
      </c>
      <c r="AH65" s="39"/>
      <c r="AI65" s="39"/>
      <c r="AJ65" s="39"/>
      <c r="AK65" s="80">
        <f>AK16</f>
        <v>2.59</v>
      </c>
      <c r="AL65" s="31" t="s">
        <v>66</v>
      </c>
      <c r="AM65" s="39"/>
      <c r="AN65" s="39"/>
      <c r="AO65" s="39"/>
      <c r="AP65" s="80">
        <f>AP16</f>
        <v>1.27</v>
      </c>
      <c r="AQ65" s="31" t="s">
        <v>66</v>
      </c>
      <c r="AR65" s="39"/>
      <c r="AS65" s="39"/>
      <c r="AT65" s="39"/>
      <c r="AU65" s="80">
        <f>AU16</f>
        <v>3.75</v>
      </c>
      <c r="AV65" s="31" t="s">
        <v>66</v>
      </c>
      <c r="AW65" s="39"/>
      <c r="AX65" s="39"/>
      <c r="AY65" s="39"/>
      <c r="AZ65" s="80">
        <f>AZ16</f>
        <v>7.6999999999999999E-2</v>
      </c>
      <c r="BA65" s="31" t="s">
        <v>66</v>
      </c>
      <c r="BB65" s="39"/>
      <c r="BC65" s="39"/>
      <c r="BD65" s="39"/>
      <c r="BE65" s="80">
        <f>BE16</f>
        <v>1904</v>
      </c>
      <c r="BF65" s="31" t="s">
        <v>66</v>
      </c>
      <c r="BG65" s="39"/>
      <c r="BH65" s="39"/>
      <c r="BI65" s="39"/>
      <c r="BJ65" s="80">
        <f>BJ16</f>
        <v>0.40600000000000003</v>
      </c>
      <c r="BK65" s="31" t="s">
        <v>66</v>
      </c>
      <c r="BL65" s="39"/>
      <c r="BM65" s="39"/>
      <c r="BN65" s="28"/>
      <c r="BO65" s="80">
        <f>BO16</f>
        <v>29.3</v>
      </c>
      <c r="BP65" s="31" t="s">
        <v>66</v>
      </c>
      <c r="BQ65" s="39"/>
      <c r="BR65" s="39"/>
      <c r="BS65" s="28"/>
    </row>
    <row r="66" spans="2:71" s="22" customFormat="1" ht="15.75" customHeight="1" x14ac:dyDescent="0.25">
      <c r="F66" s="23" t="s">
        <v>84</v>
      </c>
      <c r="G66" s="74">
        <f>G17</f>
        <v>12.9</v>
      </c>
      <c r="H66" s="31" t="s">
        <v>67</v>
      </c>
      <c r="I66" s="304" t="s">
        <v>226</v>
      </c>
      <c r="J66" s="51">
        <f>G66*$D$7/$D$8</f>
        <v>51277.5</v>
      </c>
      <c r="K66" s="351" t="s">
        <v>225</v>
      </c>
      <c r="L66" s="74">
        <f>L17</f>
        <v>800</v>
      </c>
      <c r="M66" s="31" t="s">
        <v>67</v>
      </c>
      <c r="N66" s="304" t="s">
        <v>226</v>
      </c>
      <c r="O66" s="51">
        <f>L66*$D$7/$D$8</f>
        <v>3180000</v>
      </c>
      <c r="P66" s="351" t="s">
        <v>225</v>
      </c>
      <c r="Q66" s="68">
        <f>Q17</f>
        <v>501</v>
      </c>
      <c r="R66" s="31" t="s">
        <v>67</v>
      </c>
      <c r="S66" s="304" t="s">
        <v>226</v>
      </c>
      <c r="T66" s="51">
        <f>Q66*$D$7/$D$8</f>
        <v>1991475</v>
      </c>
      <c r="U66" s="351" t="s">
        <v>225</v>
      </c>
      <c r="V66" s="33">
        <f>Screening_Assessment!G22</f>
        <v>475</v>
      </c>
      <c r="W66" s="31" t="s">
        <v>67</v>
      </c>
      <c r="X66" s="304" t="s">
        <v>226</v>
      </c>
      <c r="Y66" s="51">
        <f>V66*$D$7/$D$8</f>
        <v>1888125</v>
      </c>
      <c r="Z66" s="351" t="s">
        <v>225</v>
      </c>
      <c r="AA66" s="393">
        <f>Screening_Assessment!L22</f>
        <v>965.92499999999995</v>
      </c>
      <c r="AB66" s="31" t="s">
        <v>194</v>
      </c>
      <c r="AC66" s="304" t="s">
        <v>226</v>
      </c>
      <c r="AD66" s="51">
        <f>AA66*$D$7/$D$8</f>
        <v>3839551.875</v>
      </c>
      <c r="AE66" s="351" t="s">
        <v>225</v>
      </c>
      <c r="AF66" s="70">
        <f>AF17</f>
        <v>11214</v>
      </c>
      <c r="AG66" s="31" t="s">
        <v>67</v>
      </c>
      <c r="AH66" s="304" t="s">
        <v>226</v>
      </c>
      <c r="AI66" s="51">
        <f>AF66*$D$7/$D$8</f>
        <v>44575650</v>
      </c>
      <c r="AJ66" s="351" t="s">
        <v>225</v>
      </c>
      <c r="AK66" s="72">
        <f>AK17</f>
        <v>27.6</v>
      </c>
      <c r="AL66" s="31" t="s">
        <v>67</v>
      </c>
      <c r="AM66" s="304" t="s">
        <v>226</v>
      </c>
      <c r="AN66" s="51">
        <f>AK66*$D$7/$D$8</f>
        <v>109710</v>
      </c>
      <c r="AO66" s="351" t="s">
        <v>225</v>
      </c>
      <c r="AP66" s="68">
        <f>AP17</f>
        <v>126.1</v>
      </c>
      <c r="AQ66" s="31" t="s">
        <v>67</v>
      </c>
      <c r="AR66" s="304" t="s">
        <v>226</v>
      </c>
      <c r="AS66" s="51">
        <f>AP66*$D$7/$D$8</f>
        <v>501247.5</v>
      </c>
      <c r="AT66" s="351" t="s">
        <v>225</v>
      </c>
      <c r="AU66" s="72">
        <f>AU17</f>
        <v>27.1</v>
      </c>
      <c r="AV66" s="31" t="s">
        <v>67</v>
      </c>
      <c r="AW66" s="304" t="s">
        <v>226</v>
      </c>
      <c r="AX66" s="51">
        <f>AU66*$D$7/$D$8</f>
        <v>107722.5</v>
      </c>
      <c r="AY66" s="351" t="s">
        <v>225</v>
      </c>
      <c r="AZ66" s="68">
        <f>AZ17</f>
        <v>4.93</v>
      </c>
      <c r="BA66" s="31" t="s">
        <v>67</v>
      </c>
      <c r="BB66" s="304" t="s">
        <v>226</v>
      </c>
      <c r="BC66" s="51">
        <f>AZ66*$D$7/$D$8</f>
        <v>19596.75</v>
      </c>
      <c r="BD66" s="351" t="s">
        <v>225</v>
      </c>
      <c r="BE66" s="70">
        <f>BE17</f>
        <v>44785</v>
      </c>
      <c r="BF66" s="31" t="s">
        <v>67</v>
      </c>
      <c r="BG66" s="304" t="s">
        <v>226</v>
      </c>
      <c r="BH66" s="51">
        <f>BE66*$D$7/$D$8</f>
        <v>178020375</v>
      </c>
      <c r="BI66" s="351" t="s">
        <v>225</v>
      </c>
      <c r="BJ66" s="68">
        <f>BJ17</f>
        <v>16</v>
      </c>
      <c r="BK66" s="31" t="s">
        <v>67</v>
      </c>
      <c r="BL66" s="304" t="s">
        <v>226</v>
      </c>
      <c r="BM66" s="51">
        <f>BJ66*$D$7/$D$8</f>
        <v>63600</v>
      </c>
      <c r="BN66" s="351" t="s">
        <v>225</v>
      </c>
      <c r="BO66" s="33">
        <v>1681</v>
      </c>
      <c r="BP66" s="31" t="s">
        <v>67</v>
      </c>
      <c r="BQ66" s="304" t="s">
        <v>226</v>
      </c>
      <c r="BR66" s="51">
        <f>BO66*$D$7/$D$8</f>
        <v>6681975</v>
      </c>
      <c r="BS66" s="351" t="s">
        <v>225</v>
      </c>
    </row>
    <row r="67" spans="2:71" s="22" customFormat="1" ht="15.75" customHeight="1" x14ac:dyDescent="0.25">
      <c r="F67" s="322" t="s">
        <v>242</v>
      </c>
      <c r="G67" s="68">
        <f>G18</f>
        <v>458</v>
      </c>
      <c r="H67" s="31" t="s">
        <v>194</v>
      </c>
      <c r="I67" s="304" t="s">
        <v>226</v>
      </c>
      <c r="J67" s="51">
        <f>G67*$D$7/$D$8</f>
        <v>1820550</v>
      </c>
      <c r="K67" s="351" t="s">
        <v>225</v>
      </c>
      <c r="L67" s="68">
        <f>L18</f>
        <v>355</v>
      </c>
      <c r="M67" s="31" t="s">
        <v>194</v>
      </c>
      <c r="N67" s="304" t="s">
        <v>226</v>
      </c>
      <c r="O67" s="51">
        <f>L67*$D$7/$D$8</f>
        <v>1411125</v>
      </c>
      <c r="P67" s="351" t="s">
        <v>225</v>
      </c>
      <c r="Q67" s="68">
        <f>Q18</f>
        <v>14000</v>
      </c>
      <c r="R67" s="31" t="s">
        <v>194</v>
      </c>
      <c r="S67" s="304" t="s">
        <v>226</v>
      </c>
      <c r="T67" s="51">
        <f>Q67*$D$7/$D$8</f>
        <v>55650000</v>
      </c>
      <c r="U67" s="351" t="s">
        <v>225</v>
      </c>
      <c r="V67" s="68" t="str">
        <f>V18</f>
        <v>NA</v>
      </c>
      <c r="W67" s="31" t="s">
        <v>194</v>
      </c>
      <c r="X67" s="304" t="s">
        <v>226</v>
      </c>
      <c r="Y67" s="51" t="s">
        <v>44</v>
      </c>
      <c r="Z67" s="351" t="s">
        <v>225</v>
      </c>
      <c r="AA67" s="68">
        <f>AA18</f>
        <v>1174</v>
      </c>
      <c r="AB67" s="31" t="s">
        <v>194</v>
      </c>
      <c r="AC67" s="304" t="s">
        <v>226</v>
      </c>
      <c r="AD67" s="51">
        <f>AA67*$D$7/$D$8</f>
        <v>4666650</v>
      </c>
      <c r="AE67" s="351" t="s">
        <v>225</v>
      </c>
      <c r="AF67" s="68">
        <f>AF18</f>
        <v>14666</v>
      </c>
      <c r="AG67" s="31" t="s">
        <v>194</v>
      </c>
      <c r="AH67" s="304" t="s">
        <v>226</v>
      </c>
      <c r="AI67" s="51">
        <f>AF67*$D$7/$D$8</f>
        <v>58297350</v>
      </c>
      <c r="AJ67" s="351" t="s">
        <v>225</v>
      </c>
      <c r="AK67" s="68" t="str">
        <f>AK18</f>
        <v>NA</v>
      </c>
      <c r="AL67" s="31" t="s">
        <v>194</v>
      </c>
      <c r="AM67" s="304" t="s">
        <v>226</v>
      </c>
      <c r="AN67" s="51" t="s">
        <v>44</v>
      </c>
      <c r="AO67" s="351" t="s">
        <v>225</v>
      </c>
      <c r="AP67" s="68">
        <f>AP18</f>
        <v>3371</v>
      </c>
      <c r="AQ67" s="31" t="s">
        <v>194</v>
      </c>
      <c r="AR67" s="304" t="s">
        <v>226</v>
      </c>
      <c r="AS67" s="51">
        <f>AP67*$D$7/$D$8</f>
        <v>13399725</v>
      </c>
      <c r="AT67" s="351" t="s">
        <v>225</v>
      </c>
      <c r="AU67" s="68" t="str">
        <f>AU18</f>
        <v>NA</v>
      </c>
      <c r="AV67" s="31" t="s">
        <v>194</v>
      </c>
      <c r="AW67" s="304" t="s">
        <v>226</v>
      </c>
      <c r="AX67" s="51" t="s">
        <v>44</v>
      </c>
      <c r="AY67" s="351" t="s">
        <v>225</v>
      </c>
      <c r="AZ67" s="68">
        <f>AZ18</f>
        <v>31.7</v>
      </c>
      <c r="BA67" s="31" t="s">
        <v>194</v>
      </c>
      <c r="BB67" s="304" t="s">
        <v>226</v>
      </c>
      <c r="BC67" s="51">
        <f>AZ67*$D$7/$D$8</f>
        <v>126007.5</v>
      </c>
      <c r="BD67" s="351" t="s">
        <v>225</v>
      </c>
      <c r="BE67" s="68" t="str">
        <f>BE18</f>
        <v>NA</v>
      </c>
      <c r="BF67" s="31" t="s">
        <v>194</v>
      </c>
      <c r="BG67" s="304" t="s">
        <v>226</v>
      </c>
      <c r="BH67" s="51" t="s">
        <v>44</v>
      </c>
      <c r="BI67" s="351" t="s">
        <v>225</v>
      </c>
      <c r="BJ67" s="68">
        <f>BJ18</f>
        <v>34.9</v>
      </c>
      <c r="BK67" s="31" t="s">
        <v>194</v>
      </c>
      <c r="BL67" s="304" t="s">
        <v>226</v>
      </c>
      <c r="BM67" s="51">
        <f>BJ67*$D$7/$D$8</f>
        <v>138727.5</v>
      </c>
      <c r="BN67" s="351" t="s">
        <v>225</v>
      </c>
      <c r="BO67" s="68">
        <f>BO18</f>
        <v>11595</v>
      </c>
      <c r="BP67" s="31" t="s">
        <v>194</v>
      </c>
      <c r="BQ67" s="304" t="s">
        <v>226</v>
      </c>
      <c r="BR67" s="51">
        <f>BO67*$D$7/$D$8</f>
        <v>46090125</v>
      </c>
      <c r="BS67" s="351" t="s">
        <v>225</v>
      </c>
    </row>
    <row r="68" spans="2:71" s="22" customFormat="1" ht="15.75" customHeight="1" x14ac:dyDescent="0.25">
      <c r="F68" s="23"/>
      <c r="G68" s="74"/>
      <c r="H68" s="31"/>
      <c r="I68" s="71"/>
      <c r="J68" s="51"/>
      <c r="K68" s="351"/>
      <c r="L68" s="68"/>
      <c r="M68" s="31"/>
      <c r="N68" s="71"/>
      <c r="O68" s="51"/>
      <c r="P68" s="351"/>
      <c r="Q68" s="68"/>
      <c r="R68" s="31"/>
      <c r="S68" s="71"/>
      <c r="T68" s="51"/>
      <c r="U68" s="351"/>
      <c r="V68" s="33"/>
      <c r="W68" s="31"/>
      <c r="X68" s="71"/>
      <c r="Y68" s="51"/>
      <c r="Z68" s="351"/>
      <c r="AA68" s="70"/>
      <c r="AB68" s="31"/>
      <c r="AC68" s="71"/>
      <c r="AD68" s="39"/>
      <c r="AE68" s="28"/>
      <c r="AF68" s="70"/>
      <c r="AG68" s="31"/>
      <c r="AH68" s="71"/>
      <c r="AI68" s="51"/>
      <c r="AJ68" s="323"/>
      <c r="AK68" s="72"/>
      <c r="AL68" s="31"/>
      <c r="AM68" s="71"/>
      <c r="AN68" s="56"/>
      <c r="AO68" s="323"/>
      <c r="AP68" s="68"/>
      <c r="AQ68" s="31"/>
      <c r="AR68" s="71"/>
      <c r="AS68" s="51"/>
      <c r="AT68" s="323"/>
      <c r="AU68" s="72"/>
      <c r="AV68" s="31"/>
      <c r="AW68" s="71"/>
      <c r="AX68" s="56"/>
      <c r="AY68" s="323"/>
      <c r="AZ68" s="68"/>
      <c r="BA68" s="31"/>
      <c r="BB68" s="71"/>
      <c r="BC68" s="51"/>
      <c r="BD68" s="323"/>
      <c r="BE68" s="70"/>
      <c r="BF68" s="31"/>
      <c r="BG68" s="71"/>
      <c r="BH68" s="51"/>
      <c r="BI68" s="323"/>
      <c r="BJ68" s="68"/>
      <c r="BK68" s="31"/>
      <c r="BL68" s="71"/>
      <c r="BM68" s="51"/>
      <c r="BN68" s="351"/>
      <c r="BO68" s="33"/>
      <c r="BP68" s="31"/>
      <c r="BQ68" s="71"/>
      <c r="BR68" s="51"/>
      <c r="BS68" s="351"/>
    </row>
    <row r="69" spans="2:71" s="22" customFormat="1" ht="15.75" customHeight="1" x14ac:dyDescent="0.25">
      <c r="F69" s="317" t="s">
        <v>227</v>
      </c>
      <c r="G69" s="325" t="s">
        <v>228</v>
      </c>
      <c r="H69" s="31"/>
      <c r="I69" s="71" t="s">
        <v>38</v>
      </c>
      <c r="J69" s="51"/>
      <c r="K69" s="351"/>
      <c r="L69" s="325" t="s">
        <v>228</v>
      </c>
      <c r="M69" s="31"/>
      <c r="N69" s="71" t="s">
        <v>38</v>
      </c>
      <c r="O69" s="51"/>
      <c r="P69" s="351"/>
      <c r="Q69" s="325" t="s">
        <v>228</v>
      </c>
      <c r="R69" s="31"/>
      <c r="S69" s="71" t="s">
        <v>38</v>
      </c>
      <c r="T69" s="51"/>
      <c r="U69" s="351"/>
      <c r="V69" s="325" t="s">
        <v>228</v>
      </c>
      <c r="W69" s="31"/>
      <c r="X69" s="71" t="s">
        <v>38</v>
      </c>
      <c r="Y69" s="51"/>
      <c r="Z69" s="351"/>
      <c r="AA69" s="325" t="s">
        <v>228</v>
      </c>
      <c r="AB69" s="31"/>
      <c r="AC69" s="71" t="s">
        <v>38</v>
      </c>
      <c r="AD69" s="39"/>
      <c r="AE69" s="28"/>
      <c r="AF69" s="325" t="s">
        <v>228</v>
      </c>
      <c r="AG69" s="31"/>
      <c r="AH69" s="71" t="s">
        <v>38</v>
      </c>
      <c r="AI69" s="51"/>
      <c r="AJ69" s="323"/>
      <c r="AK69" s="325" t="s">
        <v>228</v>
      </c>
      <c r="AL69" s="31"/>
      <c r="AM69" s="71" t="s">
        <v>38</v>
      </c>
      <c r="AN69" s="56"/>
      <c r="AO69" s="323"/>
      <c r="AP69" s="325" t="s">
        <v>228</v>
      </c>
      <c r="AQ69" s="31"/>
      <c r="AR69" s="71" t="s">
        <v>38</v>
      </c>
      <c r="AS69" s="51"/>
      <c r="AT69" s="323"/>
      <c r="AU69" s="325" t="s">
        <v>228</v>
      </c>
      <c r="AV69" s="31"/>
      <c r="AW69" s="71" t="s">
        <v>38</v>
      </c>
      <c r="AX69" s="56"/>
      <c r="AY69" s="323"/>
      <c r="AZ69" s="325" t="s">
        <v>228</v>
      </c>
      <c r="BA69" s="31"/>
      <c r="BB69" s="71" t="s">
        <v>38</v>
      </c>
      <c r="BC69" s="51"/>
      <c r="BD69" s="323"/>
      <c r="BE69" s="325" t="s">
        <v>228</v>
      </c>
      <c r="BF69" s="31"/>
      <c r="BG69" s="71" t="s">
        <v>38</v>
      </c>
      <c r="BH69" s="51"/>
      <c r="BI69" s="323"/>
      <c r="BJ69" s="325" t="s">
        <v>228</v>
      </c>
      <c r="BK69" s="31"/>
      <c r="BL69" s="71" t="s">
        <v>38</v>
      </c>
      <c r="BM69" s="51"/>
      <c r="BN69" s="351"/>
      <c r="BO69" s="325" t="s">
        <v>228</v>
      </c>
      <c r="BP69" s="31"/>
      <c r="BQ69" s="71" t="s">
        <v>38</v>
      </c>
      <c r="BR69" s="51"/>
      <c r="BS69" s="351"/>
    </row>
    <row r="70" spans="2:71" s="22" customFormat="1" ht="15.75" customHeight="1" x14ac:dyDescent="0.25">
      <c r="F70" s="322" t="s">
        <v>85</v>
      </c>
      <c r="G70" s="76">
        <f>G78</f>
        <v>9.0999999999999998E-2</v>
      </c>
      <c r="H70" s="31" t="s">
        <v>66</v>
      </c>
      <c r="I70" s="301">
        <f>G70/G$64</f>
        <v>15.166666666666666</v>
      </c>
      <c r="J70" s="39"/>
      <c r="K70" s="28"/>
      <c r="L70" s="76">
        <f>L78</f>
        <v>4.5999999999999999E-2</v>
      </c>
      <c r="M70" s="31" t="s">
        <v>66</v>
      </c>
      <c r="N70" s="300">
        <f>L70/L$64</f>
        <v>4.5999999999999996</v>
      </c>
      <c r="O70" s="39"/>
      <c r="P70" s="28"/>
      <c r="Q70" s="78">
        <f>Q78</f>
        <v>5.8</v>
      </c>
      <c r="R70" s="31" t="s">
        <v>66</v>
      </c>
      <c r="S70" s="301">
        <f>Q70/Q$64</f>
        <v>1160</v>
      </c>
      <c r="T70" s="39"/>
      <c r="U70" s="28"/>
      <c r="V70" s="33">
        <f>V78</f>
        <v>743.53385039766806</v>
      </c>
      <c r="W70" s="31" t="s">
        <v>66</v>
      </c>
      <c r="X70" s="300">
        <f>V70/V$64</f>
        <v>2.9741354015906722</v>
      </c>
      <c r="Y70" s="39"/>
      <c r="Z70" s="28"/>
      <c r="AA70" s="82">
        <f>AA78</f>
        <v>2.5000000000000001E-4</v>
      </c>
      <c r="AB70" s="31" t="s">
        <v>193</v>
      </c>
      <c r="AC70" s="302">
        <f>AA70/AA$15</f>
        <v>2.5000000000000001E-3</v>
      </c>
      <c r="AD70" s="39"/>
      <c r="AE70" s="28"/>
      <c r="AF70" s="78">
        <f>AF78</f>
        <v>1.42</v>
      </c>
      <c r="AG70" s="31" t="s">
        <v>66</v>
      </c>
      <c r="AH70" s="300">
        <f>AF70/AF$64</f>
        <v>1.0923076923076922</v>
      </c>
      <c r="AI70" s="39"/>
      <c r="AJ70" s="39"/>
      <c r="AK70" s="78">
        <f>AK78</f>
        <v>2.59</v>
      </c>
      <c r="AL70" s="31" t="s">
        <v>66</v>
      </c>
      <c r="AM70" s="300">
        <f>AK70/AK$64</f>
        <v>0.64749999999999996</v>
      </c>
      <c r="AN70" s="39"/>
      <c r="AO70" s="39"/>
      <c r="AP70" s="78">
        <f>AP78</f>
        <v>1.27</v>
      </c>
      <c r="AQ70" s="31" t="s">
        <v>66</v>
      </c>
      <c r="AR70" s="301">
        <f>AP70/AP$64</f>
        <v>84.666666666666671</v>
      </c>
      <c r="AS70" s="39"/>
      <c r="AT70" s="39"/>
      <c r="AU70" s="33">
        <f>AU78</f>
        <v>136.53961780758002</v>
      </c>
      <c r="AV70" s="31" t="s">
        <v>66</v>
      </c>
      <c r="AW70" s="300">
        <f>AU70/AU$64</f>
        <v>3.103173131990455</v>
      </c>
      <c r="AX70" s="39"/>
      <c r="AY70" s="39"/>
      <c r="AZ70" s="78">
        <f>AZ78</f>
        <v>1.8199917709704083</v>
      </c>
      <c r="BA70" s="31" t="s">
        <v>66</v>
      </c>
      <c r="BB70" s="301">
        <f>AZ70/AZ$64</f>
        <v>36.399835419408163</v>
      </c>
      <c r="BC70" s="39"/>
      <c r="BD70" s="39"/>
      <c r="BE70" s="33">
        <f>BE78</f>
        <v>12147.446357004566</v>
      </c>
      <c r="BF70" s="31" t="s">
        <v>66</v>
      </c>
      <c r="BG70" s="301">
        <f>BE70/BE$64</f>
        <v>48.589785428018267</v>
      </c>
      <c r="BH70" s="39"/>
      <c r="BI70" s="39"/>
      <c r="BJ70" s="32">
        <f>BJ78</f>
        <v>0.40600000000000003</v>
      </c>
      <c r="BK70" s="31" t="s">
        <v>66</v>
      </c>
      <c r="BL70" s="301">
        <f>BJ70/BJ$64</f>
        <v>203</v>
      </c>
      <c r="BM70" s="39"/>
      <c r="BN70" s="28"/>
      <c r="BO70" s="33">
        <f>BO78</f>
        <v>29.3</v>
      </c>
      <c r="BP70" s="31" t="s">
        <v>66</v>
      </c>
      <c r="BQ70" s="300">
        <f>BO70/BO$64</f>
        <v>5.86</v>
      </c>
      <c r="BR70" s="39"/>
      <c r="BS70" s="28"/>
    </row>
    <row r="71" spans="2:71" s="22" customFormat="1" ht="15.75" customHeight="1" x14ac:dyDescent="0.25">
      <c r="F71" s="322" t="s">
        <v>86</v>
      </c>
      <c r="G71" s="76">
        <f>AVERAGE(G78:G82)</f>
        <v>9.0999999999999998E-2</v>
      </c>
      <c r="H71" s="31" t="s">
        <v>66</v>
      </c>
      <c r="I71" s="301">
        <f>G71/G$64</f>
        <v>15.166666666666666</v>
      </c>
      <c r="J71" s="39"/>
      <c r="K71" s="28"/>
      <c r="L71" s="76">
        <f>AVERAGE(L78:L82)</f>
        <v>4.5999999999999999E-2</v>
      </c>
      <c r="M71" s="31" t="s">
        <v>66</v>
      </c>
      <c r="N71" s="300">
        <f>L71/L$64</f>
        <v>4.5999999999999996</v>
      </c>
      <c r="O71" s="39"/>
      <c r="P71" s="28"/>
      <c r="Q71" s="78">
        <f>AVERAGE(Q78:Q82)</f>
        <v>5.8</v>
      </c>
      <c r="R71" s="31" t="s">
        <v>66</v>
      </c>
      <c r="S71" s="301">
        <f>Q71/Q$64</f>
        <v>1160</v>
      </c>
      <c r="T71" s="39"/>
      <c r="U71" s="28"/>
      <c r="V71" s="33">
        <f>AVERAGE(V78:V82)</f>
        <v>743.53385039766806</v>
      </c>
      <c r="W71" s="31" t="s">
        <v>66</v>
      </c>
      <c r="X71" s="300">
        <f>V71/V$64</f>
        <v>2.9741354015906722</v>
      </c>
      <c r="Y71" s="39"/>
      <c r="Z71" s="28"/>
      <c r="AA71" s="82">
        <f>AVERAGE(AA78:AA82)</f>
        <v>2.5000000000000001E-4</v>
      </c>
      <c r="AB71" s="31" t="s">
        <v>193</v>
      </c>
      <c r="AC71" s="302">
        <f>AA71/AA$15</f>
        <v>2.5000000000000001E-3</v>
      </c>
      <c r="AD71" s="39"/>
      <c r="AE71" s="28"/>
      <c r="AF71" s="78">
        <f>AVERAGE(AF78:AF82)</f>
        <v>1.42</v>
      </c>
      <c r="AG71" s="31" t="s">
        <v>66</v>
      </c>
      <c r="AH71" s="300">
        <f>AF71/AF$64</f>
        <v>1.0923076923076922</v>
      </c>
      <c r="AI71" s="39"/>
      <c r="AJ71" s="39"/>
      <c r="AK71" s="78">
        <f>AVERAGE(AK78:AK82)</f>
        <v>2.59</v>
      </c>
      <c r="AL71" s="31" t="s">
        <v>66</v>
      </c>
      <c r="AM71" s="300">
        <f>AK71/AK$64</f>
        <v>0.64749999999999996</v>
      </c>
      <c r="AN71" s="39"/>
      <c r="AO71" s="39"/>
      <c r="AP71" s="78">
        <f>AVERAGE(AP78:AP82)</f>
        <v>1.27</v>
      </c>
      <c r="AQ71" s="31" t="s">
        <v>66</v>
      </c>
      <c r="AR71" s="301">
        <f>AP71/AP$64</f>
        <v>84.666666666666671</v>
      </c>
      <c r="AS71" s="39"/>
      <c r="AT71" s="39"/>
      <c r="AU71" s="33">
        <f>AVERAGE(AU78:AU82)</f>
        <v>136.53961780758002</v>
      </c>
      <c r="AV71" s="31" t="s">
        <v>66</v>
      </c>
      <c r="AW71" s="300">
        <f>AU71/AU$64</f>
        <v>3.103173131990455</v>
      </c>
      <c r="AX71" s="39"/>
      <c r="AY71" s="39"/>
      <c r="AZ71" s="78">
        <f>AVERAGE(AZ78:AZ82)</f>
        <v>1.8199917709704081</v>
      </c>
      <c r="BA71" s="31" t="s">
        <v>66</v>
      </c>
      <c r="BB71" s="301">
        <f>AZ71/AZ$64</f>
        <v>36.399835419408163</v>
      </c>
      <c r="BC71" s="39"/>
      <c r="BD71" s="39"/>
      <c r="BE71" s="33">
        <f>AVERAGE(BE78:BE82)</f>
        <v>12147.446357004566</v>
      </c>
      <c r="BF71" s="31" t="s">
        <v>66</v>
      </c>
      <c r="BG71" s="301">
        <f>BE71/BE$64</f>
        <v>48.589785428018267</v>
      </c>
      <c r="BH71" s="39"/>
      <c r="BI71" s="39"/>
      <c r="BJ71" s="32">
        <f>AVERAGE(BJ78:BJ82)</f>
        <v>0.40600000000000003</v>
      </c>
      <c r="BK71" s="31" t="s">
        <v>66</v>
      </c>
      <c r="BL71" s="301">
        <f>BJ71/BJ$64</f>
        <v>203</v>
      </c>
      <c r="BM71" s="39"/>
      <c r="BN71" s="28"/>
      <c r="BO71" s="33">
        <f>AVERAGE(BO78:BO82)</f>
        <v>29.3</v>
      </c>
      <c r="BP71" s="31" t="s">
        <v>66</v>
      </c>
      <c r="BQ71" s="300">
        <f>BO71/BO$64</f>
        <v>5.86</v>
      </c>
      <c r="BR71" s="39"/>
      <c r="BS71" s="28"/>
    </row>
    <row r="72" spans="2:71" s="22" customFormat="1" ht="15.75" customHeight="1" x14ac:dyDescent="0.25">
      <c r="F72" s="322" t="s">
        <v>87</v>
      </c>
      <c r="G72" s="76">
        <f>AVERAGE(G78:G107)</f>
        <v>9.1000000000000039E-2</v>
      </c>
      <c r="H72" s="31" t="s">
        <v>66</v>
      </c>
      <c r="I72" s="301">
        <f>G72/G$64</f>
        <v>15.166666666666673</v>
      </c>
      <c r="J72" s="39"/>
      <c r="K72" s="28"/>
      <c r="L72" s="76">
        <f>AVERAGE(L78:L107)</f>
        <v>4.600000000000002E-2</v>
      </c>
      <c r="M72" s="31" t="s">
        <v>66</v>
      </c>
      <c r="N72" s="300">
        <f>L72/L$64</f>
        <v>4.6000000000000023</v>
      </c>
      <c r="O72" s="39"/>
      <c r="P72" s="28"/>
      <c r="Q72" s="78">
        <f>AVERAGE(Q78:Q107)</f>
        <v>5.8000000000000007</v>
      </c>
      <c r="R72" s="31" t="s">
        <v>66</v>
      </c>
      <c r="S72" s="301">
        <f>Q72/Q$64</f>
        <v>1160.0000000000002</v>
      </c>
      <c r="T72" s="39"/>
      <c r="U72" s="28"/>
      <c r="V72" s="33">
        <f>AVERAGE(V78:V107)</f>
        <v>343.14672860349503</v>
      </c>
      <c r="W72" s="31" t="s">
        <v>66</v>
      </c>
      <c r="X72" s="300">
        <f>V72/V$64</f>
        <v>1.3725869144139802</v>
      </c>
      <c r="Y72" s="39"/>
      <c r="Z72" s="28"/>
      <c r="AA72" s="82">
        <f>AVERAGE(AA78:AA107)</f>
        <v>2.5000000000000017E-4</v>
      </c>
      <c r="AB72" s="31" t="s">
        <v>195</v>
      </c>
      <c r="AC72" s="302">
        <f>AA72/AA$15</f>
        <v>2.5000000000000014E-3</v>
      </c>
      <c r="AD72" s="39"/>
      <c r="AE72" s="28"/>
      <c r="AF72" s="78">
        <f>AVERAGE(AF78:AF107)</f>
        <v>1.420000000000001</v>
      </c>
      <c r="AG72" s="31" t="s">
        <v>66</v>
      </c>
      <c r="AH72" s="300">
        <f>AF72/AF$64</f>
        <v>1.0923076923076931</v>
      </c>
      <c r="AI72" s="39"/>
      <c r="AJ72" s="39"/>
      <c r="AK72" s="78">
        <f>AVERAGE(AK78:AK107)</f>
        <v>2.5900000000000021</v>
      </c>
      <c r="AL72" s="31" t="s">
        <v>66</v>
      </c>
      <c r="AM72" s="300">
        <f>AK72/AK$64</f>
        <v>0.64750000000000052</v>
      </c>
      <c r="AN72" s="39"/>
      <c r="AO72" s="39"/>
      <c r="AP72" s="78">
        <f>AVERAGE(AP78:AP107)</f>
        <v>1.2700000000000002</v>
      </c>
      <c r="AQ72" s="31" t="s">
        <v>66</v>
      </c>
      <c r="AR72" s="301">
        <f>AP72/AP$64</f>
        <v>84.666666666666686</v>
      </c>
      <c r="AS72" s="39"/>
      <c r="AT72" s="39"/>
      <c r="AU72" s="33">
        <f>AVERAGE(AU78:AU107)</f>
        <v>59.984012831864568</v>
      </c>
      <c r="AV72" s="31" t="s">
        <v>66</v>
      </c>
      <c r="AW72" s="300">
        <f>AU72/AU$64</f>
        <v>1.3632730189060129</v>
      </c>
      <c r="AX72" s="39"/>
      <c r="AY72" s="39"/>
      <c r="AZ72" s="78">
        <f>AVERAGE(AZ78:AZ107)</f>
        <v>0.98774815135131033</v>
      </c>
      <c r="BA72" s="31" t="s">
        <v>66</v>
      </c>
      <c r="BB72" s="301">
        <f>AZ72/AZ$64</f>
        <v>19.754963027026207</v>
      </c>
      <c r="BC72" s="39"/>
      <c r="BD72" s="39"/>
      <c r="BE72" s="33">
        <f>AVERAGE(BE78:BE107)</f>
        <v>7513.5968244263322</v>
      </c>
      <c r="BF72" s="31" t="s">
        <v>66</v>
      </c>
      <c r="BG72" s="301">
        <f>BE72/BE$64</f>
        <v>30.054387297705329</v>
      </c>
      <c r="BH72" s="39"/>
      <c r="BI72" s="39"/>
      <c r="BJ72" s="32">
        <f>AVERAGE(BJ78:BJ107)</f>
        <v>0.40600000000000008</v>
      </c>
      <c r="BK72" s="31" t="s">
        <v>66</v>
      </c>
      <c r="BL72" s="301">
        <f>BJ72/BJ$64</f>
        <v>203.00000000000003</v>
      </c>
      <c r="BM72" s="39"/>
      <c r="BN72" s="28"/>
      <c r="BO72" s="33">
        <f>AVERAGE(BO78:BO107)</f>
        <v>29.299999999999986</v>
      </c>
      <c r="BP72" s="31" t="s">
        <v>66</v>
      </c>
      <c r="BQ72" s="300">
        <f>BO72/BO$64</f>
        <v>5.8599999999999977</v>
      </c>
      <c r="BR72" s="39"/>
      <c r="BS72" s="28"/>
    </row>
    <row r="73" spans="2:71" s="22" customFormat="1" ht="15.75" customHeight="1" x14ac:dyDescent="0.25">
      <c r="F73" s="23"/>
      <c r="G73" s="27"/>
      <c r="H73" s="31"/>
      <c r="I73" s="39"/>
      <c r="J73" s="39"/>
      <c r="K73" s="28"/>
      <c r="L73" s="27"/>
      <c r="M73" s="31"/>
      <c r="N73" s="39"/>
      <c r="O73" s="39"/>
      <c r="P73" s="28"/>
      <c r="Q73" s="27"/>
      <c r="R73" s="31"/>
      <c r="S73" s="39"/>
      <c r="T73" s="39"/>
      <c r="U73" s="28"/>
      <c r="V73" s="27"/>
      <c r="W73" s="31"/>
      <c r="X73" s="39"/>
      <c r="Y73" s="39"/>
      <c r="Z73" s="28"/>
      <c r="AA73" s="27"/>
      <c r="AB73" s="39"/>
      <c r="AC73" s="39"/>
      <c r="AD73" s="39"/>
      <c r="AE73" s="28"/>
      <c r="AF73" s="27"/>
      <c r="AG73" s="31"/>
      <c r="AH73" s="39"/>
      <c r="AI73" s="39"/>
      <c r="AJ73" s="39"/>
      <c r="AK73" s="27"/>
      <c r="AL73" s="31"/>
      <c r="AM73" s="39"/>
      <c r="AN73" s="39"/>
      <c r="AO73" s="39"/>
      <c r="AP73" s="27"/>
      <c r="AQ73" s="31"/>
      <c r="AR73" s="39"/>
      <c r="AS73" s="39"/>
      <c r="AT73" s="39"/>
      <c r="AU73" s="27"/>
      <c r="AV73" s="31"/>
      <c r="AW73" s="39"/>
      <c r="AX73" s="39"/>
      <c r="AY73" s="39"/>
      <c r="AZ73" s="27"/>
      <c r="BA73" s="31"/>
      <c r="BB73" s="39"/>
      <c r="BC73" s="39"/>
      <c r="BD73" s="39"/>
      <c r="BE73" s="27"/>
      <c r="BF73" s="31"/>
      <c r="BG73" s="39"/>
      <c r="BH73" s="39"/>
      <c r="BI73" s="39"/>
      <c r="BJ73" s="27"/>
      <c r="BK73" s="31"/>
      <c r="BL73" s="39"/>
      <c r="BM73" s="39"/>
      <c r="BN73" s="28"/>
      <c r="BO73" s="27"/>
      <c r="BP73" s="31"/>
      <c r="BQ73" s="39"/>
      <c r="BR73" s="39"/>
      <c r="BS73" s="28"/>
    </row>
    <row r="74" spans="2:71" s="6" customFormat="1" ht="35.1" customHeight="1" x14ac:dyDescent="0.35">
      <c r="B74" s="315" t="s">
        <v>212</v>
      </c>
      <c r="C74" s="315" t="s">
        <v>231</v>
      </c>
      <c r="D74" s="315" t="s">
        <v>230</v>
      </c>
      <c r="E74" s="315" t="s">
        <v>214</v>
      </c>
      <c r="F74" s="318" t="s">
        <v>222</v>
      </c>
      <c r="G74" s="316" t="s">
        <v>229</v>
      </c>
      <c r="H74" s="315" t="s">
        <v>397</v>
      </c>
      <c r="I74" s="315" t="s">
        <v>36</v>
      </c>
      <c r="J74" s="319" t="s">
        <v>232</v>
      </c>
      <c r="K74" s="320" t="s">
        <v>233</v>
      </c>
      <c r="L74" s="316" t="s">
        <v>229</v>
      </c>
      <c r="M74" s="315" t="s">
        <v>397</v>
      </c>
      <c r="N74" s="315" t="s">
        <v>36</v>
      </c>
      <c r="O74" s="319" t="s">
        <v>232</v>
      </c>
      <c r="P74" s="320" t="s">
        <v>233</v>
      </c>
      <c r="Q74" s="316" t="s">
        <v>229</v>
      </c>
      <c r="R74" s="315" t="s">
        <v>397</v>
      </c>
      <c r="S74" s="315" t="s">
        <v>36</v>
      </c>
      <c r="T74" s="319" t="s">
        <v>232</v>
      </c>
      <c r="U74" s="320" t="s">
        <v>233</v>
      </c>
      <c r="V74" s="316" t="s">
        <v>229</v>
      </c>
      <c r="W74" s="315" t="s">
        <v>397</v>
      </c>
      <c r="X74" s="315" t="s">
        <v>36</v>
      </c>
      <c r="Y74" s="319" t="s">
        <v>232</v>
      </c>
      <c r="Z74" s="320" t="s">
        <v>233</v>
      </c>
      <c r="AA74" s="316" t="s">
        <v>229</v>
      </c>
      <c r="AB74" s="315" t="s">
        <v>397</v>
      </c>
      <c r="AC74" s="315" t="s">
        <v>36</v>
      </c>
      <c r="AD74" s="319" t="s">
        <v>232</v>
      </c>
      <c r="AE74" s="320" t="s">
        <v>233</v>
      </c>
      <c r="AF74" s="316" t="s">
        <v>229</v>
      </c>
      <c r="AG74" s="315" t="s">
        <v>397</v>
      </c>
      <c r="AH74" s="315" t="s">
        <v>36</v>
      </c>
      <c r="AI74" s="319" t="s">
        <v>232</v>
      </c>
      <c r="AJ74" s="320" t="s">
        <v>233</v>
      </c>
      <c r="AK74" s="316" t="s">
        <v>229</v>
      </c>
      <c r="AL74" s="315" t="s">
        <v>397</v>
      </c>
      <c r="AM74" s="315" t="s">
        <v>36</v>
      </c>
      <c r="AN74" s="319" t="s">
        <v>232</v>
      </c>
      <c r="AO74" s="320" t="s">
        <v>233</v>
      </c>
      <c r="AP74" s="316" t="s">
        <v>229</v>
      </c>
      <c r="AQ74" s="315" t="s">
        <v>397</v>
      </c>
      <c r="AR74" s="315" t="s">
        <v>36</v>
      </c>
      <c r="AS74" s="319" t="s">
        <v>232</v>
      </c>
      <c r="AT74" s="320" t="s">
        <v>233</v>
      </c>
      <c r="AU74" s="316" t="s">
        <v>229</v>
      </c>
      <c r="AV74" s="315" t="s">
        <v>397</v>
      </c>
      <c r="AW74" s="315" t="s">
        <v>36</v>
      </c>
      <c r="AX74" s="319" t="s">
        <v>232</v>
      </c>
      <c r="AY74" s="320" t="s">
        <v>233</v>
      </c>
      <c r="AZ74" s="316" t="s">
        <v>229</v>
      </c>
      <c r="BA74" s="315" t="s">
        <v>397</v>
      </c>
      <c r="BB74" s="315" t="s">
        <v>36</v>
      </c>
      <c r="BC74" s="319" t="s">
        <v>232</v>
      </c>
      <c r="BD74" s="320" t="s">
        <v>233</v>
      </c>
      <c r="BE74" s="316" t="s">
        <v>229</v>
      </c>
      <c r="BF74" s="315" t="s">
        <v>397</v>
      </c>
      <c r="BG74" s="315" t="s">
        <v>36</v>
      </c>
      <c r="BH74" s="319" t="s">
        <v>232</v>
      </c>
      <c r="BI74" s="320" t="s">
        <v>233</v>
      </c>
      <c r="BJ74" s="316" t="s">
        <v>229</v>
      </c>
      <c r="BK74" s="315" t="s">
        <v>397</v>
      </c>
      <c r="BL74" s="315" t="s">
        <v>36</v>
      </c>
      <c r="BM74" s="319" t="s">
        <v>232</v>
      </c>
      <c r="BN74" s="320" t="s">
        <v>233</v>
      </c>
      <c r="BO74" s="316" t="s">
        <v>229</v>
      </c>
      <c r="BP74" s="315" t="s">
        <v>397</v>
      </c>
      <c r="BQ74" s="315" t="s">
        <v>36</v>
      </c>
      <c r="BR74" s="319" t="s">
        <v>232</v>
      </c>
      <c r="BS74" s="320" t="s">
        <v>233</v>
      </c>
    </row>
    <row r="75" spans="2:71" s="6" customFormat="1" ht="15.75" customHeight="1" x14ac:dyDescent="0.25">
      <c r="B75" s="306"/>
      <c r="C75" s="306"/>
      <c r="D75" s="306" t="s">
        <v>208</v>
      </c>
      <c r="E75" s="306" t="s">
        <v>209</v>
      </c>
      <c r="F75" s="377" t="s">
        <v>210</v>
      </c>
      <c r="G75" s="305" t="s">
        <v>7</v>
      </c>
      <c r="H75" s="306" t="s">
        <v>8</v>
      </c>
      <c r="I75" s="306" t="s">
        <v>8</v>
      </c>
      <c r="J75" s="307" t="s">
        <v>211</v>
      </c>
      <c r="K75" s="308" t="s">
        <v>211</v>
      </c>
      <c r="L75" s="305" t="s">
        <v>7</v>
      </c>
      <c r="M75" s="306" t="s">
        <v>8</v>
      </c>
      <c r="N75" s="306" t="s">
        <v>8</v>
      </c>
      <c r="O75" s="307" t="s">
        <v>211</v>
      </c>
      <c r="P75" s="308" t="s">
        <v>211</v>
      </c>
      <c r="Q75" s="305" t="s">
        <v>7</v>
      </c>
      <c r="R75" s="306" t="s">
        <v>8</v>
      </c>
      <c r="S75" s="306" t="s">
        <v>8</v>
      </c>
      <c r="T75" s="307" t="s">
        <v>211</v>
      </c>
      <c r="U75" s="308" t="s">
        <v>211</v>
      </c>
      <c r="V75" s="305" t="s">
        <v>7</v>
      </c>
      <c r="W75" s="306" t="s">
        <v>8</v>
      </c>
      <c r="X75" s="306" t="s">
        <v>8</v>
      </c>
      <c r="Y75" s="307" t="s">
        <v>211</v>
      </c>
      <c r="Z75" s="308" t="s">
        <v>211</v>
      </c>
      <c r="AA75" s="305" t="s">
        <v>7</v>
      </c>
      <c r="AB75" s="306" t="s">
        <v>8</v>
      </c>
      <c r="AC75" s="306" t="s">
        <v>8</v>
      </c>
      <c r="AD75" s="307" t="s">
        <v>237</v>
      </c>
      <c r="AE75" s="308" t="s">
        <v>237</v>
      </c>
      <c r="AF75" s="305" t="s">
        <v>7</v>
      </c>
      <c r="AG75" s="306" t="s">
        <v>8</v>
      </c>
      <c r="AH75" s="306" t="s">
        <v>8</v>
      </c>
      <c r="AI75" s="307" t="s">
        <v>211</v>
      </c>
      <c r="AJ75" s="308" t="s">
        <v>211</v>
      </c>
      <c r="AK75" s="305" t="s">
        <v>7</v>
      </c>
      <c r="AL75" s="306" t="s">
        <v>8</v>
      </c>
      <c r="AM75" s="306" t="s">
        <v>8</v>
      </c>
      <c r="AN75" s="307" t="s">
        <v>211</v>
      </c>
      <c r="AO75" s="308" t="s">
        <v>211</v>
      </c>
      <c r="AP75" s="305" t="s">
        <v>7</v>
      </c>
      <c r="AQ75" s="306" t="s">
        <v>8</v>
      </c>
      <c r="AR75" s="306" t="s">
        <v>8</v>
      </c>
      <c r="AS75" s="307" t="s">
        <v>211</v>
      </c>
      <c r="AT75" s="308" t="s">
        <v>211</v>
      </c>
      <c r="AU75" s="305" t="s">
        <v>7</v>
      </c>
      <c r="AV75" s="306" t="s">
        <v>8</v>
      </c>
      <c r="AW75" s="306" t="s">
        <v>8</v>
      </c>
      <c r="AX75" s="307" t="s">
        <v>211</v>
      </c>
      <c r="AY75" s="308" t="s">
        <v>211</v>
      </c>
      <c r="AZ75" s="305" t="s">
        <v>7</v>
      </c>
      <c r="BA75" s="306" t="s">
        <v>8</v>
      </c>
      <c r="BB75" s="306" t="s">
        <v>8</v>
      </c>
      <c r="BC75" s="307" t="s">
        <v>211</v>
      </c>
      <c r="BD75" s="308" t="s">
        <v>211</v>
      </c>
      <c r="BE75" s="305" t="s">
        <v>7</v>
      </c>
      <c r="BF75" s="306" t="s">
        <v>8</v>
      </c>
      <c r="BG75" s="306" t="s">
        <v>8</v>
      </c>
      <c r="BH75" s="307" t="s">
        <v>211</v>
      </c>
      <c r="BI75" s="308" t="s">
        <v>211</v>
      </c>
      <c r="BJ75" s="305" t="s">
        <v>7</v>
      </c>
      <c r="BK75" s="306" t="s">
        <v>8</v>
      </c>
      <c r="BL75" s="306" t="s">
        <v>8</v>
      </c>
      <c r="BM75" s="307" t="s">
        <v>211</v>
      </c>
      <c r="BN75" s="308" t="s">
        <v>211</v>
      </c>
      <c r="BO75" s="305" t="s">
        <v>7</v>
      </c>
      <c r="BP75" s="306" t="s">
        <v>8</v>
      </c>
      <c r="BQ75" s="306" t="s">
        <v>8</v>
      </c>
      <c r="BR75" s="307" t="s">
        <v>211</v>
      </c>
      <c r="BS75" s="308" t="s">
        <v>211</v>
      </c>
    </row>
    <row r="76" spans="2:71" s="6" customFormat="1" ht="15.75" customHeight="1" thickBot="1" x14ac:dyDescent="0.3">
      <c r="B76" s="311" t="s">
        <v>160</v>
      </c>
      <c r="C76" s="311"/>
      <c r="D76" s="311"/>
      <c r="E76" s="311"/>
      <c r="F76" s="311"/>
      <c r="G76" s="312" t="s">
        <v>172</v>
      </c>
      <c r="H76" s="311" t="s">
        <v>235</v>
      </c>
      <c r="I76" s="311" t="s">
        <v>236</v>
      </c>
      <c r="J76" s="313"/>
      <c r="K76" s="314"/>
      <c r="L76" s="312" t="s">
        <v>172</v>
      </c>
      <c r="M76" s="311" t="s">
        <v>235</v>
      </c>
      <c r="N76" s="311" t="s">
        <v>236</v>
      </c>
      <c r="O76" s="313"/>
      <c r="P76" s="314"/>
      <c r="Q76" s="312" t="s">
        <v>172</v>
      </c>
      <c r="R76" s="311" t="s">
        <v>235</v>
      </c>
      <c r="S76" s="311" t="s">
        <v>236</v>
      </c>
      <c r="T76" s="313"/>
      <c r="U76" s="314"/>
      <c r="V76" s="312" t="s">
        <v>158</v>
      </c>
      <c r="W76" s="311" t="s">
        <v>235</v>
      </c>
      <c r="X76" s="311" t="s">
        <v>236</v>
      </c>
      <c r="Y76" s="313"/>
      <c r="Z76" s="314"/>
      <c r="AA76" s="312" t="s">
        <v>172</v>
      </c>
      <c r="AB76" s="311" t="s">
        <v>235</v>
      </c>
      <c r="AC76" s="311" t="s">
        <v>236</v>
      </c>
      <c r="AD76" s="313"/>
      <c r="AE76" s="314"/>
      <c r="AF76" s="312" t="s">
        <v>172</v>
      </c>
      <c r="AG76" s="311" t="s">
        <v>235</v>
      </c>
      <c r="AH76" s="311" t="s">
        <v>236</v>
      </c>
      <c r="AI76" s="313"/>
      <c r="AJ76" s="314"/>
      <c r="AK76" s="312" t="s">
        <v>172</v>
      </c>
      <c r="AL76" s="311" t="s">
        <v>235</v>
      </c>
      <c r="AM76" s="311" t="s">
        <v>236</v>
      </c>
      <c r="AN76" s="313"/>
      <c r="AO76" s="314"/>
      <c r="AP76" s="312" t="s">
        <v>172</v>
      </c>
      <c r="AQ76" s="311" t="s">
        <v>235</v>
      </c>
      <c r="AR76" s="311" t="s">
        <v>236</v>
      </c>
      <c r="AS76" s="313"/>
      <c r="AT76" s="314"/>
      <c r="AU76" s="312" t="s">
        <v>172</v>
      </c>
      <c r="AV76" s="311" t="s">
        <v>235</v>
      </c>
      <c r="AW76" s="311" t="s">
        <v>236</v>
      </c>
      <c r="AX76" s="313"/>
      <c r="AY76" s="314"/>
      <c r="AZ76" s="312" t="s">
        <v>172</v>
      </c>
      <c r="BA76" s="311" t="s">
        <v>235</v>
      </c>
      <c r="BB76" s="311" t="s">
        <v>236</v>
      </c>
      <c r="BC76" s="313"/>
      <c r="BD76" s="314"/>
      <c r="BE76" s="312" t="s">
        <v>172</v>
      </c>
      <c r="BF76" s="311" t="s">
        <v>235</v>
      </c>
      <c r="BG76" s="311" t="s">
        <v>236</v>
      </c>
      <c r="BH76" s="313"/>
      <c r="BI76" s="314"/>
      <c r="BJ76" s="312" t="s">
        <v>172</v>
      </c>
      <c r="BK76" s="311" t="s">
        <v>235</v>
      </c>
      <c r="BL76" s="311" t="s">
        <v>236</v>
      </c>
      <c r="BM76" s="313"/>
      <c r="BN76" s="314"/>
      <c r="BO76" s="312" t="s">
        <v>172</v>
      </c>
      <c r="BP76" s="311" t="s">
        <v>235</v>
      </c>
      <c r="BQ76" s="311" t="s">
        <v>236</v>
      </c>
      <c r="BR76" s="313"/>
      <c r="BS76" s="314"/>
    </row>
    <row r="77" spans="2:71" ht="15.75" customHeight="1" thickTop="1" x14ac:dyDescent="0.25">
      <c r="B77" s="1">
        <v>0</v>
      </c>
      <c r="C77" s="1" t="s">
        <v>46</v>
      </c>
      <c r="D77" s="1" t="s">
        <v>46</v>
      </c>
      <c r="E77" s="1" t="s">
        <v>46</v>
      </c>
      <c r="F77" s="1" t="s">
        <v>46</v>
      </c>
      <c r="G77" s="25" t="s">
        <v>46</v>
      </c>
      <c r="H77" s="26" t="s">
        <v>46</v>
      </c>
      <c r="I77" s="67" t="s">
        <v>46</v>
      </c>
      <c r="J77" s="111"/>
      <c r="K77" s="58">
        <v>0</v>
      </c>
      <c r="L77" s="25" t="s">
        <v>46</v>
      </c>
      <c r="M77" s="26" t="s">
        <v>46</v>
      </c>
      <c r="N77" s="26" t="s">
        <v>46</v>
      </c>
      <c r="O77" s="111"/>
      <c r="P77" s="58">
        <v>0</v>
      </c>
      <c r="Q77" s="25" t="s">
        <v>46</v>
      </c>
      <c r="R77" s="26" t="s">
        <v>46</v>
      </c>
      <c r="S77" s="26" t="s">
        <v>46</v>
      </c>
      <c r="T77" s="111"/>
      <c r="U77" s="58">
        <v>0</v>
      </c>
      <c r="V77" s="25" t="s">
        <v>46</v>
      </c>
      <c r="W77" s="26" t="s">
        <v>46</v>
      </c>
      <c r="X77" s="67" t="s">
        <v>46</v>
      </c>
      <c r="Y77" s="111"/>
      <c r="Z77" s="58">
        <v>0</v>
      </c>
      <c r="AA77" s="25" t="s">
        <v>46</v>
      </c>
      <c r="AB77" s="26" t="s">
        <v>46</v>
      </c>
      <c r="AC77" s="26" t="s">
        <v>46</v>
      </c>
      <c r="AE77" s="52">
        <v>0</v>
      </c>
      <c r="AF77" s="25" t="s">
        <v>46</v>
      </c>
      <c r="AG77" s="26" t="s">
        <v>46</v>
      </c>
      <c r="AH77" s="26" t="s">
        <v>46</v>
      </c>
      <c r="AJ77" s="52">
        <v>0</v>
      </c>
      <c r="AK77" s="73" t="s">
        <v>46</v>
      </c>
      <c r="AL77" s="67" t="s">
        <v>46</v>
      </c>
      <c r="AM77" s="67" t="s">
        <v>46</v>
      </c>
      <c r="AO77" s="57">
        <v>0</v>
      </c>
      <c r="AP77" s="25" t="s">
        <v>46</v>
      </c>
      <c r="AQ77" s="26" t="s">
        <v>46</v>
      </c>
      <c r="AR77" s="26" t="s">
        <v>46</v>
      </c>
      <c r="AT77" s="52">
        <v>0</v>
      </c>
      <c r="AU77" s="73" t="s">
        <v>46</v>
      </c>
      <c r="AV77" s="67" t="s">
        <v>46</v>
      </c>
      <c r="AW77" s="67" t="s">
        <v>46</v>
      </c>
      <c r="AY77" s="57">
        <v>0</v>
      </c>
      <c r="AZ77" s="25" t="s">
        <v>46</v>
      </c>
      <c r="BA77" s="26" t="s">
        <v>46</v>
      </c>
      <c r="BB77" s="26" t="s">
        <v>46</v>
      </c>
      <c r="BD77" s="52">
        <v>0</v>
      </c>
      <c r="BE77" s="25" t="s">
        <v>46</v>
      </c>
      <c r="BF77" s="26" t="s">
        <v>46</v>
      </c>
      <c r="BG77" s="26" t="s">
        <v>46</v>
      </c>
      <c r="BI77" s="52">
        <v>0</v>
      </c>
      <c r="BJ77" s="25" t="s">
        <v>46</v>
      </c>
      <c r="BK77" s="26" t="s">
        <v>46</v>
      </c>
      <c r="BL77" s="26" t="s">
        <v>46</v>
      </c>
      <c r="BN77" s="58">
        <v>0</v>
      </c>
      <c r="BO77" s="25" t="s">
        <v>46</v>
      </c>
      <c r="BP77" s="26" t="s">
        <v>46</v>
      </c>
      <c r="BQ77" s="66" t="s">
        <v>46</v>
      </c>
      <c r="BS77" s="58">
        <v>0</v>
      </c>
    </row>
    <row r="78" spans="2:71" ht="15.75" customHeight="1" x14ac:dyDescent="0.25">
      <c r="B78" s="1">
        <v>1</v>
      </c>
      <c r="C78" s="1">
        <f>Scenario_Info!O$10</f>
        <v>21</v>
      </c>
      <c r="D78" s="75">
        <f>Scenario_Info!O$14</f>
        <v>11.6</v>
      </c>
      <c r="E78" s="36">
        <f>Scenario_Info!O$18</f>
        <v>46400</v>
      </c>
      <c r="F78" s="38">
        <f>E78/$D$7</f>
        <v>1.459119496855346E-2</v>
      </c>
      <c r="G78" s="11">
        <f>G$65</f>
        <v>9.0999999999999998E-2</v>
      </c>
      <c r="H78" s="10">
        <f>G78*($F78-0)</f>
        <v>1.3277987421383647E-3</v>
      </c>
      <c r="I78" s="12">
        <f>G66-H78</f>
        <v>12.898672201257861</v>
      </c>
      <c r="J78" s="53">
        <f>H78*$D$7/$D$8</f>
        <v>5.2779999999999996</v>
      </c>
      <c r="K78" s="69">
        <f>J78</f>
        <v>5.2779999999999996</v>
      </c>
      <c r="L78" s="11">
        <f>L$65</f>
        <v>4.5999999999999999E-2</v>
      </c>
      <c r="M78" s="10">
        <f>L78*($F78-0)</f>
        <v>6.7119496855345918E-4</v>
      </c>
      <c r="N78" s="12">
        <f>L66-M78</f>
        <v>799.9993288050315</v>
      </c>
      <c r="O78" s="53">
        <f>M78*$D$7/$D$8</f>
        <v>2.6680000000000001</v>
      </c>
      <c r="P78" s="69">
        <f>O78</f>
        <v>2.6680000000000001</v>
      </c>
      <c r="Q78" s="15">
        <f>Q$65</f>
        <v>5.8</v>
      </c>
      <c r="R78" s="12">
        <f>Q78*($F78-0)</f>
        <v>8.4628930817610068E-2</v>
      </c>
      <c r="S78" s="12">
        <f>Q66-R78</f>
        <v>500.91537106918241</v>
      </c>
      <c r="T78" s="54">
        <f>R78*$D$7/$D$8</f>
        <v>336.4</v>
      </c>
      <c r="U78" s="65">
        <f>T78</f>
        <v>336.4</v>
      </c>
      <c r="V78" s="15">
        <f>IF($F78&lt;=V$3, W$3, IF(AND($F78&lt;=V$4, $F78&gt;V$3), W$4, IF(AND($F78&lt;=V$5, $F78&gt;V$4), W$5, IF(AND($F78&lt;=V$6, $F78&gt;V$5), W$6, IF(AND($F78&lt;=V$7, $F78&gt;V$6), W$7, IF(AND($F78&lt;=V$8, $F78&gt;V$7), W$8, ""))))))</f>
        <v>743.53385039766806</v>
      </c>
      <c r="W78" s="12">
        <f>V78*($F78-0)</f>
        <v>10.849047376871635</v>
      </c>
      <c r="X78" s="12">
        <f>V66-W78</f>
        <v>464.15095262312838</v>
      </c>
      <c r="Y78" s="54">
        <f>W78*$D$7/$D$8</f>
        <v>43124.963323064745</v>
      </c>
      <c r="Z78" s="65">
        <f>Y78</f>
        <v>43124.963323064745</v>
      </c>
      <c r="AA78" s="81">
        <f>AA$65</f>
        <v>2.5000000000000001E-4</v>
      </c>
      <c r="AB78" s="394">
        <f>AA78*($F78-0)</f>
        <v>3.6477987421383649E-6</v>
      </c>
      <c r="AC78" s="18">
        <f>AA66-AB78</f>
        <v>965.92499635220122</v>
      </c>
      <c r="AD78" s="390">
        <f>AB78*$D$7/$D$8</f>
        <v>1.4499999999999999E-2</v>
      </c>
      <c r="AE78" s="390">
        <f>AD78</f>
        <v>1.4499999999999999E-2</v>
      </c>
      <c r="AF78" s="15">
        <f>AF$65</f>
        <v>1.42</v>
      </c>
      <c r="AG78" s="12">
        <f>AF78*($F78-0)</f>
        <v>2.0719496855345913E-2</v>
      </c>
      <c r="AH78" s="13">
        <f>AF66-AG78</f>
        <v>11213.979280503145</v>
      </c>
      <c r="AI78" s="54">
        <f>AG78*$D$7/$D$8</f>
        <v>82.36</v>
      </c>
      <c r="AJ78" s="54">
        <f>AI78</f>
        <v>82.36</v>
      </c>
      <c r="AK78" s="32">
        <f>AK$65</f>
        <v>2.59</v>
      </c>
      <c r="AL78" s="34">
        <f>AK78*($F78-0)</f>
        <v>3.779119496855346E-2</v>
      </c>
      <c r="AM78" s="34">
        <f>AK66-AL78</f>
        <v>27.56220880503145</v>
      </c>
      <c r="AN78" s="55">
        <f>AL78*$D$7/$D$8</f>
        <v>150.22</v>
      </c>
      <c r="AO78" s="55">
        <f>AN78</f>
        <v>150.22</v>
      </c>
      <c r="AP78" s="15">
        <f>AP$65</f>
        <v>1.27</v>
      </c>
      <c r="AQ78" s="12">
        <f>AP78*($F78-0)</f>
        <v>1.8530817610062894E-2</v>
      </c>
      <c r="AR78" s="12">
        <f>AP66-AQ78</f>
        <v>126.08146918238994</v>
      </c>
      <c r="AS78" s="54">
        <f>AQ78*$D$7/$D$8</f>
        <v>73.66</v>
      </c>
      <c r="AT78" s="54">
        <f>AS78</f>
        <v>73.66</v>
      </c>
      <c r="AU78" s="15">
        <f>IF($F78&lt;=AU$3, AV$3, IF(AND($F78&lt;=AU$4, $F78&gt;AU$3), AV$4, IF(AND($F78&lt;=AU$5, $F78&gt;AU$4), AV$5, IF(AND($F78&lt;=AU$6, $F78&gt;AU$5), AV$6, IF(AND($F78&lt;=AU$7, $F78&gt;AU$6), AV$7, IF(AND($F78&lt;=AU$8, $F78&gt;AU$7), AV$8, ""))))))</f>
        <v>136.53961780758002</v>
      </c>
      <c r="AV78" s="34">
        <f>AU78*($F78-0)</f>
        <v>1.9922761843621739</v>
      </c>
      <c r="AW78" s="34">
        <f>AU66-AV78</f>
        <v>25.107723815637826</v>
      </c>
      <c r="AX78" s="55">
        <f>AV78*$D$7/$D$8</f>
        <v>7919.2978328396412</v>
      </c>
      <c r="AY78" s="55">
        <f>AX78</f>
        <v>7919.2978328396412</v>
      </c>
      <c r="AZ78" s="15">
        <f>IF($F78&lt;=AZ$3, BA$3, IF(AND($F78&lt;=AZ$4, $F78&gt;AZ$3), BA$4, IF(AND($F78&lt;=AZ$5, $F78&gt;AZ$4), BA$5, IF(AND($F78&lt;=AZ$6, $F78&gt;AZ$5), BA$6, IF(AND($F78&lt;=AZ$7, $F78&gt;AZ$6), BA$7, IF(AND($F78&lt;=AZ$8, $F78&gt;AZ$7), BA$8, ""))))))</f>
        <v>1.8199917709704083</v>
      </c>
      <c r="BA78" s="10">
        <f>AZ78*($F78-0)</f>
        <v>2.6555854771392124E-2</v>
      </c>
      <c r="BB78" s="12">
        <f>AZ66-BA78</f>
        <v>4.9034441452286073</v>
      </c>
      <c r="BC78" s="54">
        <f>BA78*$D$7/$D$8</f>
        <v>105.55952271628369</v>
      </c>
      <c r="BD78" s="54">
        <f>BC78</f>
        <v>105.55952271628369</v>
      </c>
      <c r="BE78" s="15">
        <f>IF($F78&lt;=BE$3, BF$3, IF(AND($F78&lt;=BE$4, $F78&gt;BE$3), BF$4, IF(AND($F78&lt;=BE$5, $F78&gt;BE$4), BF$5, IF(AND($F78&lt;=BE$6, $F78&gt;BE$5), BF$6, IF(AND($F78&lt;=BE$7, $F78&gt;BE$6), BF$7, IF(AND($F78&lt;=BE$8, $F78&gt;BE$7), BF$8, ""))))))</f>
        <v>12147.446357004566</v>
      </c>
      <c r="BF78" s="13">
        <f>BE78*($F78-0)</f>
        <v>177.2457581650981</v>
      </c>
      <c r="BG78" s="13">
        <f>BE66-BF78</f>
        <v>44607.754241834904</v>
      </c>
      <c r="BH78" s="54">
        <f>BF78*$D$7/$D$8</f>
        <v>704551.8887062649</v>
      </c>
      <c r="BI78" s="54">
        <f>BH78</f>
        <v>704551.8887062649</v>
      </c>
      <c r="BJ78" s="15">
        <f>BJ$65</f>
        <v>0.40600000000000003</v>
      </c>
      <c r="BK78" s="12">
        <f>BJ78*($F78-0)</f>
        <v>5.9240251572327055E-3</v>
      </c>
      <c r="BL78" s="12">
        <f>BJ66-BK78</f>
        <v>15.994075974842767</v>
      </c>
      <c r="BM78" s="54">
        <f>BK78*$D$7/$D$8</f>
        <v>23.548000000000005</v>
      </c>
      <c r="BN78" s="65">
        <f>BM78</f>
        <v>23.548000000000005</v>
      </c>
      <c r="BO78" s="16">
        <f>BO$65</f>
        <v>29.3</v>
      </c>
      <c r="BP78" s="18">
        <f>BO78*($F78-0)</f>
        <v>0.42752201257861638</v>
      </c>
      <c r="BQ78" s="18">
        <f>BO66-BP78</f>
        <v>1680.5724779874213</v>
      </c>
      <c r="BR78" s="54">
        <f>BP78*$D$7/$D$8</f>
        <v>1699.4</v>
      </c>
      <c r="BS78" s="65">
        <f>BR78</f>
        <v>1699.4</v>
      </c>
    </row>
    <row r="79" spans="2:71" ht="15.75" customHeight="1" x14ac:dyDescent="0.25">
      <c r="B79" s="1">
        <v>2</v>
      </c>
      <c r="C79" s="1">
        <f>Scenario_Info!O$10</f>
        <v>21</v>
      </c>
      <c r="D79" s="75">
        <f>Scenario_Info!O$14</f>
        <v>11.6</v>
      </c>
      <c r="E79" s="36">
        <f>Scenario_Info!O$18</f>
        <v>46400</v>
      </c>
      <c r="F79" s="38">
        <f>F78+Percolation!E79/$D$7</f>
        <v>2.9182389937106919E-2</v>
      </c>
      <c r="G79" s="11">
        <f t="shared" ref="G79:G107" si="66">G$65</f>
        <v>9.0999999999999998E-2</v>
      </c>
      <c r="H79" s="10">
        <f>G79*($F79-$F78)</f>
        <v>1.3277987421383647E-3</v>
      </c>
      <c r="I79" s="12">
        <f t="shared" ref="I79:I107" si="67">I78-H79</f>
        <v>12.897344402515722</v>
      </c>
      <c r="J79" s="53">
        <f t="shared" ref="J79:J107" si="68">H79*$D$7/$D$8</f>
        <v>5.2779999999999996</v>
      </c>
      <c r="K79" s="69">
        <f>J79+K78</f>
        <v>10.555999999999999</v>
      </c>
      <c r="L79" s="11">
        <f t="shared" ref="L79:L107" si="69">L$65</f>
        <v>4.5999999999999999E-2</v>
      </c>
      <c r="M79" s="10">
        <f>L79*($F79-$F78)</f>
        <v>6.7119496855345918E-4</v>
      </c>
      <c r="N79" s="12">
        <f>N78-M79</f>
        <v>799.99865761006299</v>
      </c>
      <c r="O79" s="53">
        <f t="shared" ref="O79:O107" si="70">M79*$D$7/$D$8</f>
        <v>2.6680000000000001</v>
      </c>
      <c r="P79" s="69">
        <f>O79+P78</f>
        <v>5.3360000000000003</v>
      </c>
      <c r="Q79" s="15">
        <f t="shared" ref="Q79:Q107" si="71">Q$65</f>
        <v>5.8</v>
      </c>
      <c r="R79" s="12">
        <f>Q79*($F79-$F78)</f>
        <v>8.4628930817610068E-2</v>
      </c>
      <c r="S79" s="12">
        <f>S78-R79</f>
        <v>500.83074213836483</v>
      </c>
      <c r="T79" s="54">
        <f t="shared" ref="T79:T107" si="72">R79*$D$7/$D$8</f>
        <v>336.4</v>
      </c>
      <c r="U79" s="65">
        <f>T79+U78</f>
        <v>672.8</v>
      </c>
      <c r="V79" s="15">
        <f t="shared" ref="V79:V107" si="73">IF($F79&lt;=V$3, W$3, IF(AND($F79&lt;=V$4, $F79&gt;V$3), W$4, IF(AND($F79&lt;=V$5, $F79&gt;V$4), W$5, IF(AND($F79&lt;=V$6, $F79&gt;V$5), W$6, IF(AND($F79&lt;=V$7, $F79&gt;V$6), W$7, IF(AND($F79&lt;=V$8, $F79&gt;V$7), W$8, ""))))))</f>
        <v>743.53385039766806</v>
      </c>
      <c r="W79" s="12">
        <f>V79*($F79-$F78)</f>
        <v>10.849047376871635</v>
      </c>
      <c r="X79" s="12">
        <f>X78-W79</f>
        <v>453.30190524625675</v>
      </c>
      <c r="Y79" s="54">
        <f t="shared" ref="Y79:Y107" si="74">W79*$D$7/$D$8</f>
        <v>43124.963323064745</v>
      </c>
      <c r="Z79" s="65">
        <f>Y79+Z78</f>
        <v>86249.92664612949</v>
      </c>
      <c r="AA79" s="81">
        <f t="shared" ref="AA79:AA107" si="75">AA$65</f>
        <v>2.5000000000000001E-4</v>
      </c>
      <c r="AB79" s="394">
        <f>AA79*($F79-$F78)</f>
        <v>3.6477987421383649E-6</v>
      </c>
      <c r="AC79" s="18">
        <f>AC78-AB79</f>
        <v>965.92499270440248</v>
      </c>
      <c r="AD79" s="390">
        <f t="shared" ref="AD79:AD107" si="76">AB79*$D$7/$D$8</f>
        <v>1.4499999999999999E-2</v>
      </c>
      <c r="AE79" s="390">
        <f>AD79+AE78</f>
        <v>2.8999999999999998E-2</v>
      </c>
      <c r="AF79" s="15">
        <f t="shared" ref="AF79:AF107" si="77">AF$65</f>
        <v>1.42</v>
      </c>
      <c r="AG79" s="12">
        <f>AF79*($F79-$F78)</f>
        <v>2.0719496855345913E-2</v>
      </c>
      <c r="AH79" s="13">
        <f>AH78-AG79</f>
        <v>11213.95856100629</v>
      </c>
      <c r="AI79" s="54">
        <f t="shared" ref="AI79:AI107" si="78">AG79*$D$7/$D$8</f>
        <v>82.36</v>
      </c>
      <c r="AJ79" s="54">
        <f>AI79+AJ78</f>
        <v>164.72</v>
      </c>
      <c r="AK79" s="32">
        <f t="shared" ref="AK79:AK107" si="79">AK$65</f>
        <v>2.59</v>
      </c>
      <c r="AL79" s="34">
        <f>AK79*($F79-$F78)</f>
        <v>3.779119496855346E-2</v>
      </c>
      <c r="AM79" s="34">
        <f>AM78-AL79</f>
        <v>27.524417610062898</v>
      </c>
      <c r="AN79" s="55">
        <f t="shared" ref="AN79:AN107" si="80">AL79*$D$7/$D$8</f>
        <v>150.22</v>
      </c>
      <c r="AO79" s="55">
        <f>AN79+AO78</f>
        <v>300.44</v>
      </c>
      <c r="AP79" s="15">
        <f t="shared" ref="AP79:AP107" si="81">AP$65</f>
        <v>1.27</v>
      </c>
      <c r="AQ79" s="12">
        <f>AP79*($F79-$F78)</f>
        <v>1.8530817610062894E-2</v>
      </c>
      <c r="AR79" s="12">
        <f>AR78-AQ79</f>
        <v>126.06293836477988</v>
      </c>
      <c r="AS79" s="54">
        <f t="shared" ref="AS79:AS107" si="82">AQ79*$D$7/$D$8</f>
        <v>73.66</v>
      </c>
      <c r="AT79" s="54">
        <f>AS79+AT78</f>
        <v>147.32</v>
      </c>
      <c r="AU79" s="15">
        <f t="shared" ref="AU79:AU107" si="83">IF($F79&lt;=AU$3, AV$3, IF(AND($F79&lt;=AU$4, $F79&gt;AU$3), AV$4, IF(AND($F79&lt;=AU$5, $F79&gt;AU$4), AV$5, IF(AND($F79&lt;=AU$6, $F79&gt;AU$5), AV$6, IF(AND($F79&lt;=AU$7, $F79&gt;AU$6), AV$7, IF(AND($F79&lt;=AU$8, $F79&gt;AU$7), AV$8, ""))))))</f>
        <v>136.53961780758002</v>
      </c>
      <c r="AV79" s="34">
        <f>AU79*($F79-$F78)</f>
        <v>1.9922761843621739</v>
      </c>
      <c r="AW79" s="34">
        <f>AW78-AV79</f>
        <v>23.11544763127565</v>
      </c>
      <c r="AX79" s="55">
        <f t="shared" ref="AX79:AX107" si="84">AV79*$D$7/$D$8</f>
        <v>7919.2978328396412</v>
      </c>
      <c r="AY79" s="55">
        <f>AX79+AY78</f>
        <v>15838.595665679282</v>
      </c>
      <c r="AZ79" s="15">
        <f t="shared" ref="AZ79:AZ107" si="85">IF($F79&lt;=AZ$3, BA$3, IF(AND($F79&lt;=AZ$4, $F79&gt;AZ$3), BA$4, IF(AND($F79&lt;=AZ$5, $F79&gt;AZ$4), BA$5, IF(AND($F79&lt;=AZ$6, $F79&gt;AZ$5), BA$6, IF(AND($F79&lt;=AZ$7, $F79&gt;AZ$6), BA$7, IF(AND($F79&lt;=AZ$8, $F79&gt;AZ$7), BA$8, ""))))))</f>
        <v>1.8199917709704083</v>
      </c>
      <c r="BA79" s="10">
        <f>AZ79*($F79-$F78)</f>
        <v>2.6555854771392124E-2</v>
      </c>
      <c r="BB79" s="12">
        <f>BB78-BA79</f>
        <v>4.8768882904572148</v>
      </c>
      <c r="BC79" s="54">
        <f t="shared" ref="BC79:BC107" si="86">BA79*$D$7/$D$8</f>
        <v>105.55952271628369</v>
      </c>
      <c r="BD79" s="54">
        <f>BC79+BD78</f>
        <v>211.11904543256739</v>
      </c>
      <c r="BE79" s="15">
        <f t="shared" ref="BE79:BE107" si="87">IF($F79&lt;=BE$3, BF$3, IF(AND($F79&lt;=BE$4, $F79&gt;BE$3), BF$4, IF(AND($F79&lt;=BE$5, $F79&gt;BE$4), BF$5, IF(AND($F79&lt;=BE$6, $F79&gt;BE$5), BF$6, IF(AND($F79&lt;=BE$7, $F79&gt;BE$6), BF$7, IF(AND($F79&lt;=BE$8, $F79&gt;BE$7), BF$8, ""))))))</f>
        <v>12147.446357004566</v>
      </c>
      <c r="BF79" s="13">
        <f>BE79*($F79-$F78)</f>
        <v>177.2457581650981</v>
      </c>
      <c r="BG79" s="13">
        <f>BG78-BF79</f>
        <v>44430.508483669808</v>
      </c>
      <c r="BH79" s="54">
        <f t="shared" ref="BH79:BH107" si="88">BF79*$D$7/$D$8</f>
        <v>704551.8887062649</v>
      </c>
      <c r="BI79" s="54">
        <f>BH79+BI78</f>
        <v>1409103.7774125298</v>
      </c>
      <c r="BJ79" s="15">
        <f t="shared" ref="BJ79:BJ107" si="89">BJ$65</f>
        <v>0.40600000000000003</v>
      </c>
      <c r="BK79" s="12">
        <f>BJ79*($F79-$F78)</f>
        <v>5.9240251572327055E-3</v>
      </c>
      <c r="BL79" s="12">
        <f>BL78-BK79</f>
        <v>15.988151949685534</v>
      </c>
      <c r="BM79" s="54">
        <f t="shared" ref="BM79:BM107" si="90">BK79*$D$7/$D$8</f>
        <v>23.548000000000005</v>
      </c>
      <c r="BN79" s="65">
        <f>BM79+BN78</f>
        <v>47.096000000000011</v>
      </c>
      <c r="BO79" s="16">
        <f t="shared" ref="BO79:BO107" si="91">BO$65</f>
        <v>29.3</v>
      </c>
      <c r="BP79" s="18">
        <f>BO79*($F79-$F78)</f>
        <v>0.42752201257861638</v>
      </c>
      <c r="BQ79" s="18">
        <f>BQ78-BP79</f>
        <v>1680.1449559748426</v>
      </c>
      <c r="BR79" s="54">
        <f t="shared" ref="BR79:BR107" si="92">BP79*$D$7/$D$8</f>
        <v>1699.4</v>
      </c>
      <c r="BS79" s="65">
        <f>BR79+BS78</f>
        <v>3398.8</v>
      </c>
    </row>
    <row r="80" spans="2:71" ht="15.75" customHeight="1" x14ac:dyDescent="0.25">
      <c r="B80" s="1">
        <v>3</v>
      </c>
      <c r="C80" s="1">
        <f>Scenario_Info!O$10</f>
        <v>21</v>
      </c>
      <c r="D80" s="75">
        <f>Scenario_Info!O$14</f>
        <v>11.6</v>
      </c>
      <c r="E80" s="36">
        <f>Scenario_Info!O$18</f>
        <v>46400</v>
      </c>
      <c r="F80" s="38">
        <f>F79+Percolation!E80/$D$7</f>
        <v>4.3773584905660377E-2</v>
      </c>
      <c r="G80" s="11">
        <f t="shared" si="66"/>
        <v>9.0999999999999998E-2</v>
      </c>
      <c r="H80" s="10">
        <f t="shared" ref="H80:H107" si="93">G80*($F80-$F79)</f>
        <v>1.3277987421383647E-3</v>
      </c>
      <c r="I80" s="12">
        <f t="shared" si="67"/>
        <v>12.896016603773583</v>
      </c>
      <c r="J80" s="53">
        <f t="shared" si="68"/>
        <v>5.2779999999999996</v>
      </c>
      <c r="K80" s="69">
        <f t="shared" ref="K80:K107" si="94">J80+K79</f>
        <v>15.834</v>
      </c>
      <c r="L80" s="11">
        <f t="shared" si="69"/>
        <v>4.5999999999999999E-2</v>
      </c>
      <c r="M80" s="10">
        <f t="shared" ref="M80:M107" si="95">L80*($F80-$F79)</f>
        <v>6.7119496855345907E-4</v>
      </c>
      <c r="N80" s="12">
        <f t="shared" ref="N80:N107" si="96">N79-M80</f>
        <v>799.99798641509449</v>
      </c>
      <c r="O80" s="53">
        <f t="shared" si="70"/>
        <v>2.6679999999999997</v>
      </c>
      <c r="P80" s="69">
        <f t="shared" ref="P80:P107" si="97">O80+P79</f>
        <v>8.0039999999999996</v>
      </c>
      <c r="Q80" s="15">
        <f t="shared" si="71"/>
        <v>5.8</v>
      </c>
      <c r="R80" s="12">
        <f t="shared" ref="R80:R107" si="98">Q80*($F80-$F79)</f>
        <v>8.4628930817610054E-2</v>
      </c>
      <c r="S80" s="12">
        <f t="shared" ref="S80:S107" si="99">S79-R80</f>
        <v>500.74611320754724</v>
      </c>
      <c r="T80" s="54">
        <f t="shared" si="72"/>
        <v>336.4</v>
      </c>
      <c r="U80" s="65">
        <f t="shared" ref="U80:U107" si="100">T80+U79</f>
        <v>1009.1999999999999</v>
      </c>
      <c r="V80" s="15">
        <f t="shared" si="73"/>
        <v>743.53385039766806</v>
      </c>
      <c r="W80" s="12">
        <f t="shared" ref="W80:W107" si="101">V80*($F80-$F79)</f>
        <v>10.849047376871633</v>
      </c>
      <c r="X80" s="12">
        <f t="shared" ref="X80:X107" si="102">X79-W80</f>
        <v>442.45285786938513</v>
      </c>
      <c r="Y80" s="54">
        <f t="shared" si="74"/>
        <v>43124.963323064745</v>
      </c>
      <c r="Z80" s="65">
        <f t="shared" ref="Z80:Z107" si="103">Y80+Z79</f>
        <v>129374.88996919424</v>
      </c>
      <c r="AA80" s="81">
        <f t="shared" si="75"/>
        <v>2.5000000000000001E-4</v>
      </c>
      <c r="AB80" s="394">
        <f t="shared" ref="AB80:AB107" si="104">AA80*($F80-$F79)</f>
        <v>3.6477987421383644E-6</v>
      </c>
      <c r="AC80" s="18">
        <f t="shared" ref="AC80:AC107" si="105">AC79-AB80</f>
        <v>965.92498905660375</v>
      </c>
      <c r="AD80" s="390">
        <f t="shared" si="76"/>
        <v>1.4499999999999999E-2</v>
      </c>
      <c r="AE80" s="390">
        <f t="shared" ref="AE80:AE107" si="106">AD80+AE79</f>
        <v>4.3499999999999997E-2</v>
      </c>
      <c r="AF80" s="15">
        <f t="shared" si="77"/>
        <v>1.42</v>
      </c>
      <c r="AG80" s="12">
        <f t="shared" ref="AG80:AG107" si="107">AF80*($F80-$F79)</f>
        <v>2.0719496855345909E-2</v>
      </c>
      <c r="AH80" s="13">
        <f t="shared" ref="AH80:AH107" si="108">AH79-AG80</f>
        <v>11213.937841509434</v>
      </c>
      <c r="AI80" s="54">
        <f t="shared" si="78"/>
        <v>82.359999999999985</v>
      </c>
      <c r="AJ80" s="54">
        <f t="shared" ref="AJ80:AJ107" si="109">AI80+AJ79</f>
        <v>247.07999999999998</v>
      </c>
      <c r="AK80" s="32">
        <f t="shared" si="79"/>
        <v>2.59</v>
      </c>
      <c r="AL80" s="34">
        <f t="shared" ref="AL80:AL107" si="110">AK80*($F80-$F79)</f>
        <v>3.7791194968553453E-2</v>
      </c>
      <c r="AM80" s="34">
        <f t="shared" ref="AM80:AM107" si="111">AM79-AL80</f>
        <v>27.486626415094346</v>
      </c>
      <c r="AN80" s="55">
        <f t="shared" si="80"/>
        <v>150.21999999999997</v>
      </c>
      <c r="AO80" s="55">
        <f t="shared" ref="AO80:AO107" si="112">AN80+AO79</f>
        <v>450.65999999999997</v>
      </c>
      <c r="AP80" s="15">
        <f t="shared" si="81"/>
        <v>1.27</v>
      </c>
      <c r="AQ80" s="12">
        <f t="shared" ref="AQ80:AQ107" si="113">AP80*($F80-$F79)</f>
        <v>1.8530817610062891E-2</v>
      </c>
      <c r="AR80" s="12">
        <f t="shared" ref="AR80:AR107" si="114">AR79-AQ80</f>
        <v>126.04440754716983</v>
      </c>
      <c r="AS80" s="54">
        <f t="shared" si="82"/>
        <v>73.66</v>
      </c>
      <c r="AT80" s="54">
        <f t="shared" ref="AT80:AT107" si="115">AS80+AT79</f>
        <v>220.98</v>
      </c>
      <c r="AU80" s="15">
        <f t="shared" si="83"/>
        <v>136.53961780758002</v>
      </c>
      <c r="AV80" s="34">
        <f t="shared" ref="AV80:AV107" si="116">AU80*($F80-$F79)</f>
        <v>1.9922761843621737</v>
      </c>
      <c r="AW80" s="34">
        <f t="shared" ref="AW80:AW107" si="117">AW79-AV80</f>
        <v>21.123171446913478</v>
      </c>
      <c r="AX80" s="55">
        <f t="shared" si="84"/>
        <v>7919.2978328396403</v>
      </c>
      <c r="AY80" s="55">
        <f t="shared" ref="AY80:AY107" si="118">AX80+AY79</f>
        <v>23757.893498518923</v>
      </c>
      <c r="AZ80" s="15">
        <f t="shared" si="85"/>
        <v>1.8199917709704083</v>
      </c>
      <c r="BA80" s="10">
        <f t="shared" ref="BA80:BA107" si="119">AZ80*($F80-$F79)</f>
        <v>2.6555854771392121E-2</v>
      </c>
      <c r="BB80" s="12">
        <f t="shared" ref="BB80:BB107" si="120">BB79-BA80</f>
        <v>4.8503324356858224</v>
      </c>
      <c r="BC80" s="54">
        <f t="shared" si="86"/>
        <v>105.55952271628368</v>
      </c>
      <c r="BD80" s="54">
        <f t="shared" ref="BD80:BD107" si="121">BC80+BD79</f>
        <v>316.67856814885107</v>
      </c>
      <c r="BE80" s="15">
        <f t="shared" si="87"/>
        <v>12147.446357004566</v>
      </c>
      <c r="BF80" s="13">
        <f t="shared" ref="BF80:BF107" si="122">BE80*($F80-$F79)</f>
        <v>177.24575816509807</v>
      </c>
      <c r="BG80" s="13">
        <f t="shared" ref="BG80:BG107" si="123">BG79-BF80</f>
        <v>44253.262725504712</v>
      </c>
      <c r="BH80" s="54">
        <f t="shared" si="88"/>
        <v>704551.88870626478</v>
      </c>
      <c r="BI80" s="54">
        <f t="shared" ref="BI80:BI107" si="124">BH80+BI79</f>
        <v>2113655.6661187946</v>
      </c>
      <c r="BJ80" s="15">
        <f t="shared" si="89"/>
        <v>0.40600000000000003</v>
      </c>
      <c r="BK80" s="12">
        <f t="shared" ref="BK80:BK107" si="125">BJ80*($F80-$F79)</f>
        <v>5.9240251572327046E-3</v>
      </c>
      <c r="BL80" s="12">
        <f t="shared" ref="BL80:BL107" si="126">BL79-BK80</f>
        <v>15.982227924528301</v>
      </c>
      <c r="BM80" s="54">
        <f t="shared" si="90"/>
        <v>23.548000000000002</v>
      </c>
      <c r="BN80" s="65">
        <f t="shared" ref="BN80:BN107" si="127">BM80+BN79</f>
        <v>70.644000000000005</v>
      </c>
      <c r="BO80" s="16">
        <f t="shared" si="91"/>
        <v>29.3</v>
      </c>
      <c r="BP80" s="18">
        <f t="shared" ref="BP80:BP107" si="128">BO80*($F80-$F79)</f>
        <v>0.42752201257861633</v>
      </c>
      <c r="BQ80" s="18">
        <f t="shared" ref="BQ80:BQ107" si="129">BQ79-BP80</f>
        <v>1679.7174339622638</v>
      </c>
      <c r="BR80" s="54">
        <f t="shared" si="92"/>
        <v>1699.4</v>
      </c>
      <c r="BS80" s="65">
        <f t="shared" ref="BS80:BS107" si="130">BR80+BS79</f>
        <v>5098.2000000000007</v>
      </c>
    </row>
    <row r="81" spans="2:71" ht="15.75" customHeight="1" x14ac:dyDescent="0.25">
      <c r="B81" s="1">
        <v>4</v>
      </c>
      <c r="C81" s="1">
        <f>Scenario_Info!O$10</f>
        <v>21</v>
      </c>
      <c r="D81" s="75">
        <f>Scenario_Info!O$14</f>
        <v>11.6</v>
      </c>
      <c r="E81" s="36">
        <f>Scenario_Info!O$18</f>
        <v>46400</v>
      </c>
      <c r="F81" s="38">
        <f>F80+Percolation!E81/$D$7</f>
        <v>5.8364779874213839E-2</v>
      </c>
      <c r="G81" s="11">
        <f t="shared" si="66"/>
        <v>9.0999999999999998E-2</v>
      </c>
      <c r="H81" s="10">
        <f t="shared" si="93"/>
        <v>1.3277987421383649E-3</v>
      </c>
      <c r="I81" s="12">
        <f t="shared" si="67"/>
        <v>12.894688805031445</v>
      </c>
      <c r="J81" s="53">
        <f t="shared" si="68"/>
        <v>5.2780000000000005</v>
      </c>
      <c r="K81" s="69">
        <f t="shared" si="94"/>
        <v>21.112000000000002</v>
      </c>
      <c r="L81" s="11">
        <f t="shared" si="69"/>
        <v>4.5999999999999999E-2</v>
      </c>
      <c r="M81" s="10">
        <f t="shared" si="95"/>
        <v>6.7119496855345918E-4</v>
      </c>
      <c r="N81" s="12">
        <f t="shared" si="96"/>
        <v>799.99731522012598</v>
      </c>
      <c r="O81" s="53">
        <f t="shared" si="70"/>
        <v>2.6680000000000001</v>
      </c>
      <c r="P81" s="69">
        <f t="shared" si="97"/>
        <v>10.672000000000001</v>
      </c>
      <c r="Q81" s="15">
        <f t="shared" si="71"/>
        <v>5.8</v>
      </c>
      <c r="R81" s="12">
        <f t="shared" si="98"/>
        <v>8.4628930817610068E-2</v>
      </c>
      <c r="S81" s="12">
        <f t="shared" si="99"/>
        <v>500.66148427672965</v>
      </c>
      <c r="T81" s="54">
        <f t="shared" si="72"/>
        <v>336.4</v>
      </c>
      <c r="U81" s="65">
        <f t="shared" si="100"/>
        <v>1345.6</v>
      </c>
      <c r="V81" s="15">
        <f t="shared" si="73"/>
        <v>743.53385039766806</v>
      </c>
      <c r="W81" s="12">
        <f t="shared" si="101"/>
        <v>10.849047376871637</v>
      </c>
      <c r="X81" s="12">
        <f t="shared" si="102"/>
        <v>431.6038104925135</v>
      </c>
      <c r="Y81" s="54">
        <f t="shared" si="74"/>
        <v>43124.963323064752</v>
      </c>
      <c r="Z81" s="65">
        <f t="shared" si="103"/>
        <v>172499.85329225898</v>
      </c>
      <c r="AA81" s="81">
        <f t="shared" si="75"/>
        <v>2.5000000000000001E-4</v>
      </c>
      <c r="AB81" s="394">
        <f t="shared" si="104"/>
        <v>3.6477987421383653E-6</v>
      </c>
      <c r="AC81" s="18">
        <f t="shared" si="105"/>
        <v>965.92498540880501</v>
      </c>
      <c r="AD81" s="390">
        <f t="shared" si="76"/>
        <v>1.4500000000000002E-2</v>
      </c>
      <c r="AE81" s="390">
        <f t="shared" si="106"/>
        <v>5.7999999999999996E-2</v>
      </c>
      <c r="AF81" s="15">
        <f t="shared" si="77"/>
        <v>1.42</v>
      </c>
      <c r="AG81" s="12">
        <f t="shared" si="107"/>
        <v>2.0719496855345913E-2</v>
      </c>
      <c r="AH81" s="13">
        <f t="shared" si="108"/>
        <v>11213.917122012579</v>
      </c>
      <c r="AI81" s="54">
        <f t="shared" si="78"/>
        <v>82.36</v>
      </c>
      <c r="AJ81" s="54">
        <f t="shared" si="109"/>
        <v>329.44</v>
      </c>
      <c r="AK81" s="32">
        <f t="shared" si="79"/>
        <v>2.59</v>
      </c>
      <c r="AL81" s="34">
        <f t="shared" si="110"/>
        <v>3.779119496855346E-2</v>
      </c>
      <c r="AM81" s="34">
        <f t="shared" si="111"/>
        <v>27.448835220125794</v>
      </c>
      <c r="AN81" s="55">
        <f t="shared" si="80"/>
        <v>150.22</v>
      </c>
      <c r="AO81" s="55">
        <f t="shared" si="112"/>
        <v>600.88</v>
      </c>
      <c r="AP81" s="15">
        <f t="shared" si="81"/>
        <v>1.27</v>
      </c>
      <c r="AQ81" s="12">
        <f t="shared" si="113"/>
        <v>1.8530817610062898E-2</v>
      </c>
      <c r="AR81" s="12">
        <f t="shared" si="114"/>
        <v>126.02587672955977</v>
      </c>
      <c r="AS81" s="54">
        <f t="shared" si="82"/>
        <v>73.660000000000025</v>
      </c>
      <c r="AT81" s="54">
        <f t="shared" si="115"/>
        <v>294.64</v>
      </c>
      <c r="AU81" s="15">
        <f t="shared" si="83"/>
        <v>136.53961780758002</v>
      </c>
      <c r="AV81" s="34">
        <f t="shared" si="116"/>
        <v>1.9922761843621741</v>
      </c>
      <c r="AW81" s="34">
        <f t="shared" si="117"/>
        <v>19.130895262551302</v>
      </c>
      <c r="AX81" s="55">
        <f t="shared" si="84"/>
        <v>7919.297832839643</v>
      </c>
      <c r="AY81" s="55">
        <f t="shared" si="118"/>
        <v>31677.191331358565</v>
      </c>
      <c r="AZ81" s="15">
        <f t="shared" si="85"/>
        <v>1.8199917709704083</v>
      </c>
      <c r="BA81" s="10">
        <f t="shared" si="119"/>
        <v>2.6555854771392124E-2</v>
      </c>
      <c r="BB81" s="12">
        <f t="shared" si="120"/>
        <v>4.82377658091443</v>
      </c>
      <c r="BC81" s="54">
        <f t="shared" si="86"/>
        <v>105.55952271628369</v>
      </c>
      <c r="BD81" s="54">
        <f t="shared" si="121"/>
        <v>422.23809086513478</v>
      </c>
      <c r="BE81" s="15">
        <f t="shared" si="87"/>
        <v>12147.446357004566</v>
      </c>
      <c r="BF81" s="13">
        <f t="shared" si="122"/>
        <v>177.2457581650981</v>
      </c>
      <c r="BG81" s="13">
        <f t="shared" si="123"/>
        <v>44076.016967339616</v>
      </c>
      <c r="BH81" s="54">
        <f t="shared" si="88"/>
        <v>704551.8887062649</v>
      </c>
      <c r="BI81" s="54">
        <f t="shared" si="124"/>
        <v>2818207.5548250596</v>
      </c>
      <c r="BJ81" s="15">
        <f t="shared" si="89"/>
        <v>0.40600000000000003</v>
      </c>
      <c r="BK81" s="12">
        <f t="shared" si="125"/>
        <v>5.9240251572327055E-3</v>
      </c>
      <c r="BL81" s="12">
        <f t="shared" si="126"/>
        <v>15.976303899371068</v>
      </c>
      <c r="BM81" s="54">
        <f t="shared" si="90"/>
        <v>23.548000000000005</v>
      </c>
      <c r="BN81" s="65">
        <f t="shared" si="127"/>
        <v>94.192000000000007</v>
      </c>
      <c r="BO81" s="16">
        <f t="shared" si="91"/>
        <v>29.3</v>
      </c>
      <c r="BP81" s="18">
        <f t="shared" si="128"/>
        <v>0.42752201257861644</v>
      </c>
      <c r="BQ81" s="18">
        <f t="shared" si="129"/>
        <v>1679.2899119496851</v>
      </c>
      <c r="BR81" s="54">
        <f t="shared" si="92"/>
        <v>1699.4000000000003</v>
      </c>
      <c r="BS81" s="65">
        <f t="shared" si="130"/>
        <v>6797.6000000000013</v>
      </c>
    </row>
    <row r="82" spans="2:71" ht="15.75" customHeight="1" x14ac:dyDescent="0.25">
      <c r="B82" s="1">
        <v>5</v>
      </c>
      <c r="C82" s="1">
        <f>Scenario_Info!O$10</f>
        <v>21</v>
      </c>
      <c r="D82" s="75">
        <f>Scenario_Info!O$14</f>
        <v>11.6</v>
      </c>
      <c r="E82" s="36">
        <f>Scenario_Info!O$18</f>
        <v>46400</v>
      </c>
      <c r="F82" s="38">
        <f>F81+Percolation!E82/$D$7</f>
        <v>7.2955974842767293E-2</v>
      </c>
      <c r="G82" s="11">
        <f t="shared" si="66"/>
        <v>9.0999999999999998E-2</v>
      </c>
      <c r="H82" s="10">
        <f t="shared" si="93"/>
        <v>1.3277987421383643E-3</v>
      </c>
      <c r="I82" s="12">
        <f t="shared" si="67"/>
        <v>12.893361006289306</v>
      </c>
      <c r="J82" s="53">
        <f t="shared" si="68"/>
        <v>5.2779999999999987</v>
      </c>
      <c r="K82" s="69">
        <f t="shared" si="94"/>
        <v>26.39</v>
      </c>
      <c r="L82" s="11">
        <f t="shared" si="69"/>
        <v>4.5999999999999999E-2</v>
      </c>
      <c r="M82" s="10">
        <f t="shared" si="95"/>
        <v>6.7119496855345886E-4</v>
      </c>
      <c r="N82" s="12">
        <f t="shared" si="96"/>
        <v>799.99664402515748</v>
      </c>
      <c r="O82" s="53">
        <f t="shared" si="70"/>
        <v>2.6679999999999988</v>
      </c>
      <c r="P82" s="69">
        <f t="shared" si="97"/>
        <v>13.34</v>
      </c>
      <c r="Q82" s="15">
        <f t="shared" si="71"/>
        <v>5.8</v>
      </c>
      <c r="R82" s="12">
        <f t="shared" si="98"/>
        <v>8.462893081761004E-2</v>
      </c>
      <c r="S82" s="12">
        <f t="shared" si="99"/>
        <v>500.57685534591207</v>
      </c>
      <c r="T82" s="54">
        <f t="shared" si="72"/>
        <v>336.39999999999992</v>
      </c>
      <c r="U82" s="65">
        <f t="shared" si="100"/>
        <v>1681.9999999999998</v>
      </c>
      <c r="V82" s="15">
        <f t="shared" si="73"/>
        <v>743.53385039766806</v>
      </c>
      <c r="W82" s="12">
        <f t="shared" si="101"/>
        <v>10.849047376871631</v>
      </c>
      <c r="X82" s="12">
        <f t="shared" si="102"/>
        <v>420.75476311564188</v>
      </c>
      <c r="Y82" s="54">
        <f t="shared" si="74"/>
        <v>43124.963323064738</v>
      </c>
      <c r="Z82" s="65">
        <f t="shared" si="103"/>
        <v>215624.81661532371</v>
      </c>
      <c r="AA82" s="81">
        <f t="shared" si="75"/>
        <v>2.5000000000000001E-4</v>
      </c>
      <c r="AB82" s="394">
        <f t="shared" si="104"/>
        <v>3.6477987421383636E-6</v>
      </c>
      <c r="AC82" s="18">
        <f t="shared" si="105"/>
        <v>965.92498176100628</v>
      </c>
      <c r="AD82" s="390">
        <f t="shared" si="76"/>
        <v>1.4499999999999996E-2</v>
      </c>
      <c r="AE82" s="390">
        <f t="shared" si="106"/>
        <v>7.2499999999999995E-2</v>
      </c>
      <c r="AF82" s="15">
        <f t="shared" si="77"/>
        <v>1.42</v>
      </c>
      <c r="AG82" s="12">
        <f t="shared" si="107"/>
        <v>2.0719496855345906E-2</v>
      </c>
      <c r="AH82" s="13">
        <f t="shared" si="108"/>
        <v>11213.896402515724</v>
      </c>
      <c r="AI82" s="54">
        <f t="shared" si="78"/>
        <v>82.359999999999985</v>
      </c>
      <c r="AJ82" s="54">
        <f t="shared" si="109"/>
        <v>411.79999999999995</v>
      </c>
      <c r="AK82" s="32">
        <f t="shared" si="79"/>
        <v>2.59</v>
      </c>
      <c r="AL82" s="34">
        <f t="shared" si="110"/>
        <v>3.7791194968553446E-2</v>
      </c>
      <c r="AM82" s="34">
        <f t="shared" si="111"/>
        <v>27.411044025157242</v>
      </c>
      <c r="AN82" s="55">
        <f t="shared" si="80"/>
        <v>150.21999999999994</v>
      </c>
      <c r="AO82" s="55">
        <f t="shared" si="112"/>
        <v>751.09999999999991</v>
      </c>
      <c r="AP82" s="15">
        <f t="shared" si="81"/>
        <v>1.27</v>
      </c>
      <c r="AQ82" s="12">
        <f t="shared" si="113"/>
        <v>1.8530817610062887E-2</v>
      </c>
      <c r="AR82" s="12">
        <f t="shared" si="114"/>
        <v>126.00734591194971</v>
      </c>
      <c r="AS82" s="54">
        <f t="shared" si="82"/>
        <v>73.659999999999968</v>
      </c>
      <c r="AT82" s="54">
        <f t="shared" si="115"/>
        <v>368.29999999999995</v>
      </c>
      <c r="AU82" s="15">
        <f t="shared" si="83"/>
        <v>136.53961780758002</v>
      </c>
      <c r="AV82" s="34">
        <f t="shared" si="116"/>
        <v>1.9922761843621732</v>
      </c>
      <c r="AW82" s="34">
        <f t="shared" si="117"/>
        <v>17.13861907818913</v>
      </c>
      <c r="AX82" s="55">
        <f t="shared" si="84"/>
        <v>7919.2978328396393</v>
      </c>
      <c r="AY82" s="55">
        <f t="shared" si="118"/>
        <v>39596.489164198203</v>
      </c>
      <c r="AZ82" s="15">
        <f t="shared" si="85"/>
        <v>1.8199917709704083</v>
      </c>
      <c r="BA82" s="10">
        <f t="shared" si="119"/>
        <v>2.6555854771392114E-2</v>
      </c>
      <c r="BB82" s="12">
        <f t="shared" si="120"/>
        <v>4.7972207261430375</v>
      </c>
      <c r="BC82" s="54">
        <f t="shared" si="86"/>
        <v>105.55952271628365</v>
      </c>
      <c r="BD82" s="54">
        <f t="shared" si="121"/>
        <v>527.79761358141843</v>
      </c>
      <c r="BE82" s="15">
        <f t="shared" si="87"/>
        <v>12147.446357004566</v>
      </c>
      <c r="BF82" s="13">
        <f t="shared" si="122"/>
        <v>177.24575816509801</v>
      </c>
      <c r="BG82" s="13">
        <f t="shared" si="123"/>
        <v>43898.77120917452</v>
      </c>
      <c r="BH82" s="54">
        <f t="shared" si="88"/>
        <v>704551.88870626467</v>
      </c>
      <c r="BI82" s="54">
        <f t="shared" si="124"/>
        <v>3522759.4435313242</v>
      </c>
      <c r="BJ82" s="15">
        <f t="shared" si="89"/>
        <v>0.40600000000000003</v>
      </c>
      <c r="BK82" s="12">
        <f t="shared" si="125"/>
        <v>5.9240251572327028E-3</v>
      </c>
      <c r="BL82" s="12">
        <f t="shared" si="126"/>
        <v>15.970379874213835</v>
      </c>
      <c r="BM82" s="54">
        <f t="shared" si="90"/>
        <v>23.547999999999991</v>
      </c>
      <c r="BN82" s="65">
        <f t="shared" si="127"/>
        <v>117.74</v>
      </c>
      <c r="BO82" s="16">
        <f t="shared" si="91"/>
        <v>29.3</v>
      </c>
      <c r="BP82" s="18">
        <f t="shared" si="128"/>
        <v>0.42752201257861622</v>
      </c>
      <c r="BQ82" s="18">
        <f t="shared" si="129"/>
        <v>1678.8623899371064</v>
      </c>
      <c r="BR82" s="54">
        <f t="shared" si="92"/>
        <v>1699.3999999999994</v>
      </c>
      <c r="BS82" s="65">
        <f t="shared" si="130"/>
        <v>8497</v>
      </c>
    </row>
    <row r="83" spans="2:71" ht="15.75" customHeight="1" x14ac:dyDescent="0.25">
      <c r="B83" s="1">
        <v>6</v>
      </c>
      <c r="C83" s="1">
        <f>Scenario_Info!O$10</f>
        <v>21</v>
      </c>
      <c r="D83" s="75">
        <f>Scenario_Info!O$14</f>
        <v>11.6</v>
      </c>
      <c r="E83" s="36">
        <f>Scenario_Info!O$18</f>
        <v>46400</v>
      </c>
      <c r="F83" s="38">
        <f>F82+Percolation!E83/$D$7</f>
        <v>8.7547169811320755E-2</v>
      </c>
      <c r="G83" s="11">
        <f t="shared" si="66"/>
        <v>9.0999999999999998E-2</v>
      </c>
      <c r="H83" s="10">
        <f t="shared" si="93"/>
        <v>1.3277987421383649E-3</v>
      </c>
      <c r="I83" s="12">
        <f t="shared" si="67"/>
        <v>12.892033207547167</v>
      </c>
      <c r="J83" s="53">
        <f t="shared" si="68"/>
        <v>5.2780000000000005</v>
      </c>
      <c r="K83" s="69">
        <f t="shared" si="94"/>
        <v>31.667999999999999</v>
      </c>
      <c r="L83" s="11">
        <f t="shared" si="69"/>
        <v>4.5999999999999999E-2</v>
      </c>
      <c r="M83" s="10">
        <f t="shared" si="95"/>
        <v>6.7119496855345918E-4</v>
      </c>
      <c r="N83" s="12">
        <f t="shared" si="96"/>
        <v>799.99597283018898</v>
      </c>
      <c r="O83" s="53">
        <f t="shared" si="70"/>
        <v>2.6680000000000001</v>
      </c>
      <c r="P83" s="69">
        <f t="shared" si="97"/>
        <v>16.007999999999999</v>
      </c>
      <c r="Q83" s="15">
        <f t="shared" si="71"/>
        <v>5.8</v>
      </c>
      <c r="R83" s="12">
        <f t="shared" si="98"/>
        <v>8.4628930817610068E-2</v>
      </c>
      <c r="S83" s="12">
        <f t="shared" si="99"/>
        <v>500.49222641509448</v>
      </c>
      <c r="T83" s="54">
        <f t="shared" si="72"/>
        <v>336.4</v>
      </c>
      <c r="U83" s="65">
        <f t="shared" si="100"/>
        <v>2018.3999999999996</v>
      </c>
      <c r="V83" s="15">
        <f t="shared" si="73"/>
        <v>743.53385039766806</v>
      </c>
      <c r="W83" s="12">
        <f t="shared" si="101"/>
        <v>10.849047376871637</v>
      </c>
      <c r="X83" s="12">
        <f t="shared" si="102"/>
        <v>409.90571573877025</v>
      </c>
      <c r="Y83" s="54">
        <f t="shared" si="74"/>
        <v>43124.963323064752</v>
      </c>
      <c r="Z83" s="65">
        <f t="shared" si="103"/>
        <v>258749.77993838847</v>
      </c>
      <c r="AA83" s="81">
        <f t="shared" si="75"/>
        <v>2.5000000000000001E-4</v>
      </c>
      <c r="AB83" s="394">
        <f t="shared" si="104"/>
        <v>3.6477987421383653E-6</v>
      </c>
      <c r="AC83" s="18">
        <f t="shared" si="105"/>
        <v>965.92497811320754</v>
      </c>
      <c r="AD83" s="390">
        <f t="shared" si="76"/>
        <v>1.4500000000000002E-2</v>
      </c>
      <c r="AE83" s="390">
        <f t="shared" si="106"/>
        <v>8.6999999999999994E-2</v>
      </c>
      <c r="AF83" s="15">
        <f t="shared" si="77"/>
        <v>1.42</v>
      </c>
      <c r="AG83" s="12">
        <f t="shared" si="107"/>
        <v>2.0719496855345913E-2</v>
      </c>
      <c r="AH83" s="13">
        <f t="shared" si="108"/>
        <v>11213.875683018869</v>
      </c>
      <c r="AI83" s="54">
        <f t="shared" si="78"/>
        <v>82.36</v>
      </c>
      <c r="AJ83" s="54">
        <f t="shared" si="109"/>
        <v>494.15999999999997</v>
      </c>
      <c r="AK83" s="32">
        <f t="shared" si="79"/>
        <v>2.59</v>
      </c>
      <c r="AL83" s="34">
        <f t="shared" si="110"/>
        <v>3.779119496855346E-2</v>
      </c>
      <c r="AM83" s="34">
        <f t="shared" si="111"/>
        <v>27.37325283018869</v>
      </c>
      <c r="AN83" s="55">
        <f t="shared" si="80"/>
        <v>150.22</v>
      </c>
      <c r="AO83" s="55">
        <f t="shared" si="112"/>
        <v>901.31999999999994</v>
      </c>
      <c r="AP83" s="15">
        <f t="shared" si="81"/>
        <v>1.27</v>
      </c>
      <c r="AQ83" s="12">
        <f t="shared" si="113"/>
        <v>1.8530817610062898E-2</v>
      </c>
      <c r="AR83" s="12">
        <f t="shared" si="114"/>
        <v>125.98881509433966</v>
      </c>
      <c r="AS83" s="54">
        <f t="shared" si="82"/>
        <v>73.660000000000025</v>
      </c>
      <c r="AT83" s="54">
        <f t="shared" si="115"/>
        <v>441.96</v>
      </c>
      <c r="AU83" s="15">
        <f t="shared" si="83"/>
        <v>136.53961780758002</v>
      </c>
      <c r="AV83" s="34">
        <f t="shared" si="116"/>
        <v>1.9922761843621741</v>
      </c>
      <c r="AW83" s="34">
        <f t="shared" si="117"/>
        <v>15.146342893826956</v>
      </c>
      <c r="AX83" s="55">
        <f t="shared" si="84"/>
        <v>7919.297832839643</v>
      </c>
      <c r="AY83" s="55">
        <f t="shared" si="118"/>
        <v>47515.786997037845</v>
      </c>
      <c r="AZ83" s="15">
        <f t="shared" si="85"/>
        <v>1.8199917709704083</v>
      </c>
      <c r="BA83" s="10">
        <f t="shared" si="119"/>
        <v>2.6555854771392124E-2</v>
      </c>
      <c r="BB83" s="12">
        <f t="shared" si="120"/>
        <v>4.7706648713716451</v>
      </c>
      <c r="BC83" s="54">
        <f t="shared" si="86"/>
        <v>105.55952271628369</v>
      </c>
      <c r="BD83" s="54">
        <f t="shared" si="121"/>
        <v>633.35713629770214</v>
      </c>
      <c r="BE83" s="15">
        <f t="shared" si="87"/>
        <v>12147.446357004566</v>
      </c>
      <c r="BF83" s="13">
        <f t="shared" si="122"/>
        <v>177.2457581650981</v>
      </c>
      <c r="BG83" s="13">
        <f t="shared" si="123"/>
        <v>43721.525451009424</v>
      </c>
      <c r="BH83" s="54">
        <f t="shared" si="88"/>
        <v>704551.8887062649</v>
      </c>
      <c r="BI83" s="54">
        <f t="shared" si="124"/>
        <v>4227311.3322375892</v>
      </c>
      <c r="BJ83" s="15">
        <f t="shared" si="89"/>
        <v>0.40600000000000003</v>
      </c>
      <c r="BK83" s="12">
        <f t="shared" si="125"/>
        <v>5.9240251572327055E-3</v>
      </c>
      <c r="BL83" s="12">
        <f t="shared" si="126"/>
        <v>15.964455849056602</v>
      </c>
      <c r="BM83" s="54">
        <f t="shared" si="90"/>
        <v>23.548000000000005</v>
      </c>
      <c r="BN83" s="65">
        <f t="shared" si="127"/>
        <v>141.28800000000001</v>
      </c>
      <c r="BO83" s="16">
        <f t="shared" si="91"/>
        <v>29.3</v>
      </c>
      <c r="BP83" s="18">
        <f t="shared" si="128"/>
        <v>0.42752201257861644</v>
      </c>
      <c r="BQ83" s="18">
        <f t="shared" si="129"/>
        <v>1678.4348679245277</v>
      </c>
      <c r="BR83" s="54">
        <f t="shared" si="92"/>
        <v>1699.4000000000003</v>
      </c>
      <c r="BS83" s="65">
        <f t="shared" si="130"/>
        <v>10196.4</v>
      </c>
    </row>
    <row r="84" spans="2:71" ht="15.75" customHeight="1" x14ac:dyDescent="0.25">
      <c r="B84" s="1">
        <v>7</v>
      </c>
      <c r="C84" s="1">
        <f>Scenario_Info!O$10</f>
        <v>21</v>
      </c>
      <c r="D84" s="75">
        <f>Scenario_Info!O$14</f>
        <v>11.6</v>
      </c>
      <c r="E84" s="36">
        <f>Scenario_Info!O$18</f>
        <v>46400</v>
      </c>
      <c r="F84" s="38">
        <f>F83+Percolation!E84/$D$7</f>
        <v>0.10213836477987422</v>
      </c>
      <c r="G84" s="11">
        <f t="shared" si="66"/>
        <v>9.0999999999999998E-2</v>
      </c>
      <c r="H84" s="10">
        <f t="shared" si="93"/>
        <v>1.3277987421383649E-3</v>
      </c>
      <c r="I84" s="12">
        <f t="shared" si="67"/>
        <v>12.890705408805028</v>
      </c>
      <c r="J84" s="53">
        <f t="shared" si="68"/>
        <v>5.2780000000000005</v>
      </c>
      <c r="K84" s="69">
        <f t="shared" si="94"/>
        <v>36.945999999999998</v>
      </c>
      <c r="L84" s="11">
        <f t="shared" si="69"/>
        <v>4.5999999999999999E-2</v>
      </c>
      <c r="M84" s="10">
        <f t="shared" si="95"/>
        <v>6.7119496855345918E-4</v>
      </c>
      <c r="N84" s="12">
        <f t="shared" si="96"/>
        <v>799.99530163522047</v>
      </c>
      <c r="O84" s="53">
        <f t="shared" si="70"/>
        <v>2.6680000000000001</v>
      </c>
      <c r="P84" s="69">
        <f t="shared" si="97"/>
        <v>18.675999999999998</v>
      </c>
      <c r="Q84" s="15">
        <f t="shared" si="71"/>
        <v>5.8</v>
      </c>
      <c r="R84" s="12">
        <f t="shared" si="98"/>
        <v>8.4628930817610068E-2</v>
      </c>
      <c r="S84" s="12">
        <f t="shared" si="99"/>
        <v>500.40759748427689</v>
      </c>
      <c r="T84" s="54">
        <f t="shared" si="72"/>
        <v>336.4</v>
      </c>
      <c r="U84" s="65">
        <f t="shared" si="100"/>
        <v>2354.7999999999997</v>
      </c>
      <c r="V84" s="15">
        <f t="shared" si="73"/>
        <v>743.53385039766806</v>
      </c>
      <c r="W84" s="12">
        <f t="shared" si="101"/>
        <v>10.849047376871637</v>
      </c>
      <c r="X84" s="12">
        <f t="shared" si="102"/>
        <v>399.05666836189863</v>
      </c>
      <c r="Y84" s="54">
        <f t="shared" si="74"/>
        <v>43124.963323064752</v>
      </c>
      <c r="Z84" s="65">
        <f t="shared" si="103"/>
        <v>301874.74326145323</v>
      </c>
      <c r="AA84" s="81">
        <f t="shared" si="75"/>
        <v>2.5000000000000001E-4</v>
      </c>
      <c r="AB84" s="394">
        <f t="shared" si="104"/>
        <v>3.6477987421383653E-6</v>
      </c>
      <c r="AC84" s="18">
        <f t="shared" si="105"/>
        <v>965.92497446540881</v>
      </c>
      <c r="AD84" s="390">
        <f t="shared" si="76"/>
        <v>1.4500000000000002E-2</v>
      </c>
      <c r="AE84" s="390">
        <f t="shared" si="106"/>
        <v>0.10149999999999999</v>
      </c>
      <c r="AF84" s="15">
        <f t="shared" si="77"/>
        <v>1.42</v>
      </c>
      <c r="AG84" s="12">
        <f t="shared" si="107"/>
        <v>2.0719496855345913E-2</v>
      </c>
      <c r="AH84" s="13">
        <f t="shared" si="108"/>
        <v>11213.854963522013</v>
      </c>
      <c r="AI84" s="54">
        <f t="shared" si="78"/>
        <v>82.36</v>
      </c>
      <c r="AJ84" s="54">
        <f t="shared" si="109"/>
        <v>576.52</v>
      </c>
      <c r="AK84" s="32">
        <f t="shared" si="79"/>
        <v>2.59</v>
      </c>
      <c r="AL84" s="34">
        <f t="shared" si="110"/>
        <v>3.779119496855346E-2</v>
      </c>
      <c r="AM84" s="34">
        <f t="shared" si="111"/>
        <v>27.335461635220138</v>
      </c>
      <c r="AN84" s="55">
        <f t="shared" si="80"/>
        <v>150.22</v>
      </c>
      <c r="AO84" s="55">
        <f t="shared" si="112"/>
        <v>1051.54</v>
      </c>
      <c r="AP84" s="15">
        <f t="shared" si="81"/>
        <v>1.27</v>
      </c>
      <c r="AQ84" s="12">
        <f t="shared" si="113"/>
        <v>1.8530817610062898E-2</v>
      </c>
      <c r="AR84" s="12">
        <f t="shared" si="114"/>
        <v>125.9702842767296</v>
      </c>
      <c r="AS84" s="54">
        <f t="shared" si="82"/>
        <v>73.660000000000025</v>
      </c>
      <c r="AT84" s="54">
        <f t="shared" si="115"/>
        <v>515.62</v>
      </c>
      <c r="AU84" s="15">
        <f t="shared" si="83"/>
        <v>136.53961780758002</v>
      </c>
      <c r="AV84" s="34">
        <f t="shared" si="116"/>
        <v>1.9922761843621741</v>
      </c>
      <c r="AW84" s="34">
        <f t="shared" si="117"/>
        <v>13.154066709464782</v>
      </c>
      <c r="AX84" s="55">
        <f t="shared" si="84"/>
        <v>7919.297832839643</v>
      </c>
      <c r="AY84" s="55">
        <f t="shared" si="118"/>
        <v>55435.084829877487</v>
      </c>
      <c r="AZ84" s="15">
        <f t="shared" si="85"/>
        <v>1.8199917709704083</v>
      </c>
      <c r="BA84" s="10">
        <f t="shared" si="119"/>
        <v>2.6555854771392124E-2</v>
      </c>
      <c r="BB84" s="12">
        <f t="shared" si="120"/>
        <v>4.7441090166002526</v>
      </c>
      <c r="BC84" s="54">
        <f t="shared" si="86"/>
        <v>105.55952271628369</v>
      </c>
      <c r="BD84" s="54">
        <f t="shared" si="121"/>
        <v>738.91665901398585</v>
      </c>
      <c r="BE84" s="15">
        <f t="shared" si="87"/>
        <v>12147.446357004566</v>
      </c>
      <c r="BF84" s="13">
        <f t="shared" si="122"/>
        <v>177.2457581650981</v>
      </c>
      <c r="BG84" s="13">
        <f t="shared" si="123"/>
        <v>43544.279692844328</v>
      </c>
      <c r="BH84" s="54">
        <f t="shared" si="88"/>
        <v>704551.8887062649</v>
      </c>
      <c r="BI84" s="54">
        <f t="shared" si="124"/>
        <v>4931863.2209438542</v>
      </c>
      <c r="BJ84" s="15">
        <f t="shared" si="89"/>
        <v>0.40600000000000003</v>
      </c>
      <c r="BK84" s="12">
        <f t="shared" si="125"/>
        <v>5.9240251572327055E-3</v>
      </c>
      <c r="BL84" s="12">
        <f t="shared" si="126"/>
        <v>15.958531823899369</v>
      </c>
      <c r="BM84" s="54">
        <f t="shared" si="90"/>
        <v>23.548000000000005</v>
      </c>
      <c r="BN84" s="65">
        <f t="shared" si="127"/>
        <v>164.83600000000001</v>
      </c>
      <c r="BO84" s="16">
        <f t="shared" si="91"/>
        <v>29.3</v>
      </c>
      <c r="BP84" s="18">
        <f t="shared" si="128"/>
        <v>0.42752201257861644</v>
      </c>
      <c r="BQ84" s="18">
        <f t="shared" si="129"/>
        <v>1678.007345911949</v>
      </c>
      <c r="BR84" s="54">
        <f t="shared" si="92"/>
        <v>1699.4000000000003</v>
      </c>
      <c r="BS84" s="65">
        <f t="shared" si="130"/>
        <v>11895.8</v>
      </c>
    </row>
    <row r="85" spans="2:71" ht="15.75" customHeight="1" x14ac:dyDescent="0.25">
      <c r="B85" s="1">
        <v>8</v>
      </c>
      <c r="C85" s="1">
        <f>Scenario_Info!O$10</f>
        <v>21</v>
      </c>
      <c r="D85" s="75">
        <f>Scenario_Info!O$14</f>
        <v>11.6</v>
      </c>
      <c r="E85" s="36">
        <f>Scenario_Info!O$18</f>
        <v>46400</v>
      </c>
      <c r="F85" s="38">
        <f>F84+Percolation!E85/$D$7</f>
        <v>0.11672955974842768</v>
      </c>
      <c r="G85" s="11">
        <f t="shared" si="66"/>
        <v>9.0999999999999998E-2</v>
      </c>
      <c r="H85" s="10">
        <f t="shared" si="93"/>
        <v>1.3277987421383649E-3</v>
      </c>
      <c r="I85" s="12">
        <f t="shared" si="67"/>
        <v>12.889377610062889</v>
      </c>
      <c r="J85" s="53">
        <f t="shared" si="68"/>
        <v>5.2780000000000005</v>
      </c>
      <c r="K85" s="69">
        <f t="shared" si="94"/>
        <v>42.223999999999997</v>
      </c>
      <c r="L85" s="11">
        <f t="shared" si="69"/>
        <v>4.5999999999999999E-2</v>
      </c>
      <c r="M85" s="10">
        <f t="shared" si="95"/>
        <v>6.7119496855345918E-4</v>
      </c>
      <c r="N85" s="12">
        <f t="shared" si="96"/>
        <v>799.99463044025197</v>
      </c>
      <c r="O85" s="53">
        <f t="shared" si="70"/>
        <v>2.6680000000000001</v>
      </c>
      <c r="P85" s="69">
        <f t="shared" si="97"/>
        <v>21.343999999999998</v>
      </c>
      <c r="Q85" s="15">
        <f t="shared" si="71"/>
        <v>5.8</v>
      </c>
      <c r="R85" s="12">
        <f t="shared" si="98"/>
        <v>8.4628930817610068E-2</v>
      </c>
      <c r="S85" s="12">
        <f t="shared" si="99"/>
        <v>500.3229685534593</v>
      </c>
      <c r="T85" s="54">
        <f t="shared" si="72"/>
        <v>336.4</v>
      </c>
      <c r="U85" s="65">
        <f t="shared" si="100"/>
        <v>2691.2</v>
      </c>
      <c r="V85" s="15">
        <f t="shared" si="73"/>
        <v>743.53385039766806</v>
      </c>
      <c r="W85" s="12">
        <f t="shared" si="101"/>
        <v>10.849047376871637</v>
      </c>
      <c r="X85" s="12">
        <f t="shared" si="102"/>
        <v>388.20762098502701</v>
      </c>
      <c r="Y85" s="54">
        <f t="shared" si="74"/>
        <v>43124.963323064752</v>
      </c>
      <c r="Z85" s="65">
        <f t="shared" si="103"/>
        <v>344999.70658451796</v>
      </c>
      <c r="AA85" s="81">
        <f t="shared" si="75"/>
        <v>2.5000000000000001E-4</v>
      </c>
      <c r="AB85" s="394">
        <f t="shared" si="104"/>
        <v>3.6477987421383653E-6</v>
      </c>
      <c r="AC85" s="18">
        <f t="shared" si="105"/>
        <v>965.92497081761007</v>
      </c>
      <c r="AD85" s="390">
        <f t="shared" si="76"/>
        <v>1.4500000000000002E-2</v>
      </c>
      <c r="AE85" s="390">
        <f t="shared" si="106"/>
        <v>0.11599999999999999</v>
      </c>
      <c r="AF85" s="15">
        <f t="shared" si="77"/>
        <v>1.42</v>
      </c>
      <c r="AG85" s="12">
        <f t="shared" si="107"/>
        <v>2.0719496855345913E-2</v>
      </c>
      <c r="AH85" s="13">
        <f t="shared" si="108"/>
        <v>11213.834244025158</v>
      </c>
      <c r="AI85" s="54">
        <f t="shared" si="78"/>
        <v>82.36</v>
      </c>
      <c r="AJ85" s="54">
        <f t="shared" si="109"/>
        <v>658.88</v>
      </c>
      <c r="AK85" s="32">
        <f t="shared" si="79"/>
        <v>2.59</v>
      </c>
      <c r="AL85" s="34">
        <f t="shared" si="110"/>
        <v>3.779119496855346E-2</v>
      </c>
      <c r="AM85" s="34">
        <f t="shared" si="111"/>
        <v>27.297670440251586</v>
      </c>
      <c r="AN85" s="55">
        <f t="shared" si="80"/>
        <v>150.22</v>
      </c>
      <c r="AO85" s="55">
        <f t="shared" si="112"/>
        <v>1201.76</v>
      </c>
      <c r="AP85" s="15">
        <f t="shared" si="81"/>
        <v>1.27</v>
      </c>
      <c r="AQ85" s="12">
        <f t="shared" si="113"/>
        <v>1.8530817610062898E-2</v>
      </c>
      <c r="AR85" s="12">
        <f t="shared" si="114"/>
        <v>125.95175345911954</v>
      </c>
      <c r="AS85" s="54">
        <f t="shared" si="82"/>
        <v>73.660000000000025</v>
      </c>
      <c r="AT85" s="54">
        <f t="shared" si="115"/>
        <v>589.28</v>
      </c>
      <c r="AU85" s="15">
        <f t="shared" si="83"/>
        <v>136.53961780758002</v>
      </c>
      <c r="AV85" s="34">
        <f t="shared" si="116"/>
        <v>1.9922761843621741</v>
      </c>
      <c r="AW85" s="34">
        <f t="shared" si="117"/>
        <v>11.161790525102608</v>
      </c>
      <c r="AX85" s="55">
        <f t="shared" si="84"/>
        <v>7919.297832839643</v>
      </c>
      <c r="AY85" s="55">
        <f t="shared" si="118"/>
        <v>63354.382662717129</v>
      </c>
      <c r="AZ85" s="15">
        <f t="shared" si="85"/>
        <v>1.8199917709704083</v>
      </c>
      <c r="BA85" s="10">
        <f t="shared" si="119"/>
        <v>2.6555854771392124E-2</v>
      </c>
      <c r="BB85" s="12">
        <f t="shared" si="120"/>
        <v>4.7175531618288602</v>
      </c>
      <c r="BC85" s="54">
        <f t="shared" si="86"/>
        <v>105.55952271628369</v>
      </c>
      <c r="BD85" s="54">
        <f t="shared" si="121"/>
        <v>844.47618173026956</v>
      </c>
      <c r="BE85" s="15">
        <f t="shared" si="87"/>
        <v>12147.446357004566</v>
      </c>
      <c r="BF85" s="13">
        <f t="shared" si="122"/>
        <v>177.2457581650981</v>
      </c>
      <c r="BG85" s="13">
        <f t="shared" si="123"/>
        <v>43367.033934679232</v>
      </c>
      <c r="BH85" s="54">
        <f t="shared" si="88"/>
        <v>704551.8887062649</v>
      </c>
      <c r="BI85" s="54">
        <f t="shared" si="124"/>
        <v>5636415.1096501192</v>
      </c>
      <c r="BJ85" s="15">
        <f t="shared" si="89"/>
        <v>0.40600000000000003</v>
      </c>
      <c r="BK85" s="12">
        <f t="shared" si="125"/>
        <v>5.9240251572327055E-3</v>
      </c>
      <c r="BL85" s="12">
        <f t="shared" si="126"/>
        <v>15.952607798742136</v>
      </c>
      <c r="BM85" s="54">
        <f t="shared" si="90"/>
        <v>23.548000000000005</v>
      </c>
      <c r="BN85" s="65">
        <f t="shared" si="127"/>
        <v>188.38400000000001</v>
      </c>
      <c r="BO85" s="16">
        <f t="shared" si="91"/>
        <v>29.3</v>
      </c>
      <c r="BP85" s="18">
        <f t="shared" si="128"/>
        <v>0.42752201257861644</v>
      </c>
      <c r="BQ85" s="18">
        <f t="shared" si="129"/>
        <v>1677.5798238993702</v>
      </c>
      <c r="BR85" s="54">
        <f t="shared" si="92"/>
        <v>1699.4000000000003</v>
      </c>
      <c r="BS85" s="65">
        <f t="shared" si="130"/>
        <v>13595.199999999999</v>
      </c>
    </row>
    <row r="86" spans="2:71" ht="15.75" customHeight="1" x14ac:dyDescent="0.25">
      <c r="B86" s="1">
        <v>9</v>
      </c>
      <c r="C86" s="1">
        <f>Scenario_Info!O$10</f>
        <v>21</v>
      </c>
      <c r="D86" s="75">
        <f>Scenario_Info!O$14</f>
        <v>11.6</v>
      </c>
      <c r="E86" s="36">
        <f>Scenario_Info!O$18</f>
        <v>46400</v>
      </c>
      <c r="F86" s="38">
        <f>F85+Percolation!E86/$D$7</f>
        <v>0.13132075471698113</v>
      </c>
      <c r="G86" s="11">
        <f t="shared" si="66"/>
        <v>9.0999999999999998E-2</v>
      </c>
      <c r="H86" s="10">
        <f t="shared" si="93"/>
        <v>1.3277987421383636E-3</v>
      </c>
      <c r="I86" s="12">
        <f t="shared" si="67"/>
        <v>12.88804981132075</v>
      </c>
      <c r="J86" s="53">
        <f t="shared" si="68"/>
        <v>5.2779999999999951</v>
      </c>
      <c r="K86" s="69">
        <f t="shared" si="94"/>
        <v>47.501999999999995</v>
      </c>
      <c r="L86" s="11">
        <f t="shared" si="69"/>
        <v>4.5999999999999999E-2</v>
      </c>
      <c r="M86" s="10">
        <f t="shared" si="95"/>
        <v>6.7119496855345853E-4</v>
      </c>
      <c r="N86" s="12">
        <f t="shared" si="96"/>
        <v>799.99395924528346</v>
      </c>
      <c r="O86" s="53">
        <f t="shared" si="70"/>
        <v>2.6679999999999979</v>
      </c>
      <c r="P86" s="69">
        <f t="shared" si="97"/>
        <v>24.011999999999997</v>
      </c>
      <c r="Q86" s="15">
        <f t="shared" si="71"/>
        <v>5.8</v>
      </c>
      <c r="R86" s="12">
        <f t="shared" si="98"/>
        <v>8.4628930817609999E-2</v>
      </c>
      <c r="S86" s="12">
        <f t="shared" si="99"/>
        <v>500.23833962264172</v>
      </c>
      <c r="T86" s="54">
        <f t="shared" si="72"/>
        <v>336.39999999999969</v>
      </c>
      <c r="U86" s="65">
        <f t="shared" si="100"/>
        <v>3027.5999999999995</v>
      </c>
      <c r="V86" s="15">
        <f t="shared" si="73"/>
        <v>743.53385039766806</v>
      </c>
      <c r="W86" s="12">
        <f t="shared" si="101"/>
        <v>10.849047376871626</v>
      </c>
      <c r="X86" s="12">
        <f t="shared" si="102"/>
        <v>377.35857360815538</v>
      </c>
      <c r="Y86" s="54">
        <f t="shared" si="74"/>
        <v>43124.963323064716</v>
      </c>
      <c r="Z86" s="65">
        <f t="shared" si="103"/>
        <v>388124.66990758269</v>
      </c>
      <c r="AA86" s="81">
        <f t="shared" si="75"/>
        <v>2.5000000000000001E-4</v>
      </c>
      <c r="AB86" s="394">
        <f t="shared" si="104"/>
        <v>3.6477987421383619E-6</v>
      </c>
      <c r="AC86" s="18">
        <f t="shared" si="105"/>
        <v>965.92496716981134</v>
      </c>
      <c r="AD86" s="390">
        <f t="shared" si="76"/>
        <v>1.4499999999999989E-2</v>
      </c>
      <c r="AE86" s="390">
        <f t="shared" si="106"/>
        <v>0.13049999999999998</v>
      </c>
      <c r="AF86" s="15">
        <f t="shared" si="77"/>
        <v>1.42</v>
      </c>
      <c r="AG86" s="12">
        <f t="shared" si="107"/>
        <v>2.0719496855345895E-2</v>
      </c>
      <c r="AH86" s="13">
        <f t="shared" si="108"/>
        <v>11213.813524528303</v>
      </c>
      <c r="AI86" s="54">
        <f t="shared" si="78"/>
        <v>82.359999999999928</v>
      </c>
      <c r="AJ86" s="54">
        <f t="shared" si="109"/>
        <v>741.2399999999999</v>
      </c>
      <c r="AK86" s="32">
        <f t="shared" si="79"/>
        <v>2.59</v>
      </c>
      <c r="AL86" s="34">
        <f t="shared" si="110"/>
        <v>3.7791194968553425E-2</v>
      </c>
      <c r="AM86" s="34">
        <f t="shared" si="111"/>
        <v>27.259879245283035</v>
      </c>
      <c r="AN86" s="55">
        <f t="shared" si="80"/>
        <v>150.21999999999989</v>
      </c>
      <c r="AO86" s="55">
        <f t="shared" si="112"/>
        <v>1351.9799999999998</v>
      </c>
      <c r="AP86" s="15">
        <f t="shared" si="81"/>
        <v>1.27</v>
      </c>
      <c r="AQ86" s="12">
        <f t="shared" si="113"/>
        <v>1.853081761006288E-2</v>
      </c>
      <c r="AR86" s="12">
        <f t="shared" si="114"/>
        <v>125.93322264150949</v>
      </c>
      <c r="AS86" s="54">
        <f t="shared" si="82"/>
        <v>73.65999999999994</v>
      </c>
      <c r="AT86" s="54">
        <f t="shared" si="115"/>
        <v>662.93999999999994</v>
      </c>
      <c r="AU86" s="15">
        <f t="shared" si="83"/>
        <v>136.53961780758002</v>
      </c>
      <c r="AV86" s="34">
        <f t="shared" si="116"/>
        <v>1.9922761843621721</v>
      </c>
      <c r="AW86" s="34">
        <f t="shared" si="117"/>
        <v>9.1695143407404363</v>
      </c>
      <c r="AX86" s="55">
        <f t="shared" si="84"/>
        <v>7919.2978328396348</v>
      </c>
      <c r="AY86" s="55">
        <f t="shared" si="118"/>
        <v>71273.680495556764</v>
      </c>
      <c r="AZ86" s="15">
        <f t="shared" si="85"/>
        <v>1.8199917709704083</v>
      </c>
      <c r="BA86" s="10">
        <f t="shared" si="119"/>
        <v>2.65558547713921E-2</v>
      </c>
      <c r="BB86" s="12">
        <f t="shared" si="120"/>
        <v>4.6909973070574678</v>
      </c>
      <c r="BC86" s="54">
        <f t="shared" si="86"/>
        <v>105.5595227162836</v>
      </c>
      <c r="BD86" s="54">
        <f t="shared" si="121"/>
        <v>950.03570444655315</v>
      </c>
      <c r="BE86" s="15">
        <f t="shared" si="87"/>
        <v>12147.446357004566</v>
      </c>
      <c r="BF86" s="13">
        <f t="shared" si="122"/>
        <v>177.24575816509793</v>
      </c>
      <c r="BG86" s="13">
        <f t="shared" si="123"/>
        <v>43189.788176514136</v>
      </c>
      <c r="BH86" s="54">
        <f t="shared" si="88"/>
        <v>704551.8887062642</v>
      </c>
      <c r="BI86" s="54">
        <f t="shared" si="124"/>
        <v>6340966.9983563833</v>
      </c>
      <c r="BJ86" s="15">
        <f t="shared" si="89"/>
        <v>0.40600000000000003</v>
      </c>
      <c r="BK86" s="12">
        <f t="shared" si="125"/>
        <v>5.9240251572327002E-3</v>
      </c>
      <c r="BL86" s="12">
        <f t="shared" si="126"/>
        <v>15.946683773584903</v>
      </c>
      <c r="BM86" s="54">
        <f t="shared" si="90"/>
        <v>23.547999999999984</v>
      </c>
      <c r="BN86" s="65">
        <f t="shared" si="127"/>
        <v>211.93199999999999</v>
      </c>
      <c r="BO86" s="16">
        <f t="shared" si="91"/>
        <v>29.3</v>
      </c>
      <c r="BP86" s="18">
        <f t="shared" si="128"/>
        <v>0.42752201257861605</v>
      </c>
      <c r="BQ86" s="18">
        <f t="shared" si="129"/>
        <v>1677.1523018867915</v>
      </c>
      <c r="BR86" s="54">
        <f t="shared" si="92"/>
        <v>1699.3999999999987</v>
      </c>
      <c r="BS86" s="65">
        <f t="shared" si="130"/>
        <v>15294.599999999999</v>
      </c>
    </row>
    <row r="87" spans="2:71" ht="15.75" customHeight="1" x14ac:dyDescent="0.25">
      <c r="B87" s="1">
        <v>10</v>
      </c>
      <c r="C87" s="1">
        <f>Scenario_Info!O$10</f>
        <v>21</v>
      </c>
      <c r="D87" s="75">
        <f>Scenario_Info!O$14</f>
        <v>11.6</v>
      </c>
      <c r="E87" s="36">
        <f>Scenario_Info!O$18</f>
        <v>46400</v>
      </c>
      <c r="F87" s="38">
        <f>F86+Percolation!E87/$D$7</f>
        <v>0.14591194968553459</v>
      </c>
      <c r="G87" s="11">
        <f t="shared" si="66"/>
        <v>9.0999999999999998E-2</v>
      </c>
      <c r="H87" s="10">
        <f t="shared" si="93"/>
        <v>1.3277987421383649E-3</v>
      </c>
      <c r="I87" s="12">
        <f t="shared" si="67"/>
        <v>12.886722012578611</v>
      </c>
      <c r="J87" s="53">
        <f t="shared" si="68"/>
        <v>5.2780000000000005</v>
      </c>
      <c r="K87" s="69">
        <f t="shared" si="94"/>
        <v>52.779999999999994</v>
      </c>
      <c r="L87" s="11">
        <f t="shared" si="69"/>
        <v>4.5999999999999999E-2</v>
      </c>
      <c r="M87" s="10">
        <f t="shared" si="95"/>
        <v>6.7119496855345918E-4</v>
      </c>
      <c r="N87" s="12">
        <f t="shared" si="96"/>
        <v>799.99328805031496</v>
      </c>
      <c r="O87" s="53">
        <f t="shared" si="70"/>
        <v>2.6680000000000001</v>
      </c>
      <c r="P87" s="69">
        <f t="shared" si="97"/>
        <v>26.679999999999996</v>
      </c>
      <c r="Q87" s="15">
        <f t="shared" si="71"/>
        <v>5.8</v>
      </c>
      <c r="R87" s="12">
        <f t="shared" si="98"/>
        <v>8.4628930817610068E-2</v>
      </c>
      <c r="S87" s="12">
        <f t="shared" si="99"/>
        <v>500.15371069182413</v>
      </c>
      <c r="T87" s="54">
        <f t="shared" si="72"/>
        <v>336.4</v>
      </c>
      <c r="U87" s="65">
        <f t="shared" si="100"/>
        <v>3363.9999999999995</v>
      </c>
      <c r="V87" s="15">
        <f t="shared" si="73"/>
        <v>743.53385039766806</v>
      </c>
      <c r="W87" s="12">
        <f t="shared" si="101"/>
        <v>10.849047376871637</v>
      </c>
      <c r="X87" s="12">
        <f t="shared" si="102"/>
        <v>366.50952623128376</v>
      </c>
      <c r="Y87" s="54">
        <f t="shared" si="74"/>
        <v>43124.963323064752</v>
      </c>
      <c r="Z87" s="65">
        <f t="shared" si="103"/>
        <v>431249.63323064742</v>
      </c>
      <c r="AA87" s="81">
        <f t="shared" si="75"/>
        <v>2.5000000000000001E-4</v>
      </c>
      <c r="AB87" s="394">
        <f t="shared" si="104"/>
        <v>3.6477987421383653E-6</v>
      </c>
      <c r="AC87" s="18">
        <f t="shared" si="105"/>
        <v>965.9249635220126</v>
      </c>
      <c r="AD87" s="390">
        <f t="shared" si="76"/>
        <v>1.4500000000000002E-2</v>
      </c>
      <c r="AE87" s="390">
        <f t="shared" si="106"/>
        <v>0.14499999999999999</v>
      </c>
      <c r="AF87" s="15">
        <f t="shared" si="77"/>
        <v>1.42</v>
      </c>
      <c r="AG87" s="12">
        <f t="shared" si="107"/>
        <v>2.0719496855345913E-2</v>
      </c>
      <c r="AH87" s="13">
        <f t="shared" si="108"/>
        <v>11213.792805031448</v>
      </c>
      <c r="AI87" s="54">
        <f t="shared" si="78"/>
        <v>82.36</v>
      </c>
      <c r="AJ87" s="54">
        <f t="shared" si="109"/>
        <v>823.59999999999991</v>
      </c>
      <c r="AK87" s="32">
        <f t="shared" si="79"/>
        <v>2.59</v>
      </c>
      <c r="AL87" s="34">
        <f t="shared" si="110"/>
        <v>3.779119496855346E-2</v>
      </c>
      <c r="AM87" s="34">
        <f t="shared" si="111"/>
        <v>27.222088050314483</v>
      </c>
      <c r="AN87" s="55">
        <f t="shared" si="80"/>
        <v>150.22</v>
      </c>
      <c r="AO87" s="55">
        <f t="shared" si="112"/>
        <v>1502.1999999999998</v>
      </c>
      <c r="AP87" s="15">
        <f t="shared" si="81"/>
        <v>1.27</v>
      </c>
      <c r="AQ87" s="12">
        <f t="shared" si="113"/>
        <v>1.8530817610062898E-2</v>
      </c>
      <c r="AR87" s="12">
        <f t="shared" si="114"/>
        <v>125.91469182389943</v>
      </c>
      <c r="AS87" s="54">
        <f t="shared" si="82"/>
        <v>73.660000000000025</v>
      </c>
      <c r="AT87" s="54">
        <f t="shared" si="115"/>
        <v>736.59999999999991</v>
      </c>
      <c r="AU87" s="15">
        <f t="shared" si="83"/>
        <v>136.53961780758002</v>
      </c>
      <c r="AV87" s="34">
        <f t="shared" si="116"/>
        <v>1.9922761843621741</v>
      </c>
      <c r="AW87" s="34">
        <f t="shared" si="117"/>
        <v>7.1772381563782623</v>
      </c>
      <c r="AX87" s="55">
        <f t="shared" si="84"/>
        <v>7919.297832839643</v>
      </c>
      <c r="AY87" s="55">
        <f t="shared" si="118"/>
        <v>79192.978328396406</v>
      </c>
      <c r="AZ87" s="15">
        <f t="shared" si="85"/>
        <v>1.8199917709704083</v>
      </c>
      <c r="BA87" s="10">
        <f t="shared" si="119"/>
        <v>2.6555854771392124E-2</v>
      </c>
      <c r="BB87" s="12">
        <f t="shared" si="120"/>
        <v>4.6644414522860753</v>
      </c>
      <c r="BC87" s="54">
        <f t="shared" si="86"/>
        <v>105.55952271628369</v>
      </c>
      <c r="BD87" s="54">
        <f t="shared" si="121"/>
        <v>1055.5952271628369</v>
      </c>
      <c r="BE87" s="15">
        <f t="shared" si="87"/>
        <v>12147.446357004566</v>
      </c>
      <c r="BF87" s="13">
        <f t="shared" si="122"/>
        <v>177.2457581650981</v>
      </c>
      <c r="BG87" s="13">
        <f t="shared" si="123"/>
        <v>43012.54241834904</v>
      </c>
      <c r="BH87" s="54">
        <f t="shared" si="88"/>
        <v>704551.8887062649</v>
      </c>
      <c r="BI87" s="54">
        <f t="shared" si="124"/>
        <v>7045518.8870626483</v>
      </c>
      <c r="BJ87" s="15">
        <f t="shared" si="89"/>
        <v>0.40600000000000003</v>
      </c>
      <c r="BK87" s="12">
        <f t="shared" si="125"/>
        <v>5.9240251572327055E-3</v>
      </c>
      <c r="BL87" s="12">
        <f t="shared" si="126"/>
        <v>15.94075974842767</v>
      </c>
      <c r="BM87" s="54">
        <f t="shared" si="90"/>
        <v>23.548000000000005</v>
      </c>
      <c r="BN87" s="65">
        <f t="shared" si="127"/>
        <v>235.48</v>
      </c>
      <c r="BO87" s="16">
        <f t="shared" si="91"/>
        <v>29.3</v>
      </c>
      <c r="BP87" s="18">
        <f t="shared" si="128"/>
        <v>0.42752201257861644</v>
      </c>
      <c r="BQ87" s="18">
        <f t="shared" si="129"/>
        <v>1676.7247798742128</v>
      </c>
      <c r="BR87" s="54">
        <f t="shared" si="92"/>
        <v>1699.4000000000003</v>
      </c>
      <c r="BS87" s="65">
        <f t="shared" si="130"/>
        <v>16994</v>
      </c>
    </row>
    <row r="88" spans="2:71" ht="15.75" customHeight="1" x14ac:dyDescent="0.25">
      <c r="B88" s="1">
        <v>11</v>
      </c>
      <c r="C88" s="1">
        <f>Scenario_Info!O$10</f>
        <v>21</v>
      </c>
      <c r="D88" s="75">
        <f>Scenario_Info!O$14</f>
        <v>11.6</v>
      </c>
      <c r="E88" s="36">
        <f>Scenario_Info!O$18</f>
        <v>46400</v>
      </c>
      <c r="F88" s="38">
        <f>F87+Percolation!E88/$D$7</f>
        <v>0.16050314465408805</v>
      </c>
      <c r="G88" s="11">
        <f t="shared" si="66"/>
        <v>9.0999999999999998E-2</v>
      </c>
      <c r="H88" s="10">
        <f t="shared" si="93"/>
        <v>1.3277987421383649E-3</v>
      </c>
      <c r="I88" s="12">
        <f t="shared" si="67"/>
        <v>12.885394213836472</v>
      </c>
      <c r="J88" s="53">
        <f t="shared" si="68"/>
        <v>5.2780000000000005</v>
      </c>
      <c r="K88" s="69">
        <f t="shared" si="94"/>
        <v>58.057999999999993</v>
      </c>
      <c r="L88" s="11">
        <f t="shared" si="69"/>
        <v>4.5999999999999999E-2</v>
      </c>
      <c r="M88" s="10">
        <f t="shared" si="95"/>
        <v>6.7119496855345918E-4</v>
      </c>
      <c r="N88" s="12">
        <f t="shared" si="96"/>
        <v>799.99261685534645</v>
      </c>
      <c r="O88" s="53">
        <f t="shared" si="70"/>
        <v>2.6680000000000001</v>
      </c>
      <c r="P88" s="69">
        <f t="shared" si="97"/>
        <v>29.347999999999995</v>
      </c>
      <c r="Q88" s="15">
        <f t="shared" si="71"/>
        <v>5.8</v>
      </c>
      <c r="R88" s="12">
        <f t="shared" si="98"/>
        <v>8.4628930817610068E-2</v>
      </c>
      <c r="S88" s="12">
        <f t="shared" si="99"/>
        <v>500.06908176100654</v>
      </c>
      <c r="T88" s="54">
        <f t="shared" si="72"/>
        <v>336.4</v>
      </c>
      <c r="U88" s="65">
        <f t="shared" si="100"/>
        <v>3700.3999999999996</v>
      </c>
      <c r="V88" s="15">
        <f t="shared" si="73"/>
        <v>743.53385039766806</v>
      </c>
      <c r="W88" s="12">
        <f t="shared" si="101"/>
        <v>10.849047376871637</v>
      </c>
      <c r="X88" s="12">
        <f t="shared" si="102"/>
        <v>355.66047885441213</v>
      </c>
      <c r="Y88" s="54">
        <f t="shared" si="74"/>
        <v>43124.963323064752</v>
      </c>
      <c r="Z88" s="65">
        <f t="shared" si="103"/>
        <v>474374.59655371215</v>
      </c>
      <c r="AA88" s="81">
        <f t="shared" si="75"/>
        <v>2.5000000000000001E-4</v>
      </c>
      <c r="AB88" s="394">
        <f t="shared" si="104"/>
        <v>3.6477987421383653E-6</v>
      </c>
      <c r="AC88" s="18">
        <f t="shared" si="105"/>
        <v>965.92495987421387</v>
      </c>
      <c r="AD88" s="390">
        <f t="shared" si="76"/>
        <v>1.4500000000000002E-2</v>
      </c>
      <c r="AE88" s="390">
        <f t="shared" si="106"/>
        <v>0.1595</v>
      </c>
      <c r="AF88" s="15">
        <f t="shared" si="77"/>
        <v>1.42</v>
      </c>
      <c r="AG88" s="12">
        <f t="shared" si="107"/>
        <v>2.0719496855345913E-2</v>
      </c>
      <c r="AH88" s="13">
        <f t="shared" si="108"/>
        <v>11213.772085534592</v>
      </c>
      <c r="AI88" s="54">
        <f t="shared" si="78"/>
        <v>82.36</v>
      </c>
      <c r="AJ88" s="54">
        <f t="shared" si="109"/>
        <v>905.95999999999992</v>
      </c>
      <c r="AK88" s="32">
        <f t="shared" si="79"/>
        <v>2.59</v>
      </c>
      <c r="AL88" s="34">
        <f t="shared" si="110"/>
        <v>3.779119496855346E-2</v>
      </c>
      <c r="AM88" s="34">
        <f t="shared" si="111"/>
        <v>27.184296855345931</v>
      </c>
      <c r="AN88" s="55">
        <f t="shared" si="80"/>
        <v>150.22</v>
      </c>
      <c r="AO88" s="55">
        <f t="shared" si="112"/>
        <v>1652.4199999999998</v>
      </c>
      <c r="AP88" s="15">
        <f t="shared" si="81"/>
        <v>1.27</v>
      </c>
      <c r="AQ88" s="12">
        <f t="shared" si="113"/>
        <v>1.8530817610062898E-2</v>
      </c>
      <c r="AR88" s="12">
        <f t="shared" si="114"/>
        <v>125.89616100628938</v>
      </c>
      <c r="AS88" s="54">
        <f t="shared" si="82"/>
        <v>73.660000000000025</v>
      </c>
      <c r="AT88" s="54">
        <f t="shared" si="115"/>
        <v>810.26</v>
      </c>
      <c r="AU88" s="15">
        <f t="shared" si="83"/>
        <v>136.53961780758002</v>
      </c>
      <c r="AV88" s="34">
        <f t="shared" si="116"/>
        <v>1.9922761843621741</v>
      </c>
      <c r="AW88" s="34">
        <f t="shared" si="117"/>
        <v>5.1849619720160884</v>
      </c>
      <c r="AX88" s="55">
        <f t="shared" si="84"/>
        <v>7919.297832839643</v>
      </c>
      <c r="AY88" s="55">
        <f t="shared" si="118"/>
        <v>87112.276161236048</v>
      </c>
      <c r="AZ88" s="15">
        <f t="shared" si="85"/>
        <v>1.8199917709704083</v>
      </c>
      <c r="BA88" s="10">
        <f t="shared" si="119"/>
        <v>2.6555854771392124E-2</v>
      </c>
      <c r="BB88" s="12">
        <f t="shared" si="120"/>
        <v>4.6378855975146829</v>
      </c>
      <c r="BC88" s="54">
        <f t="shared" si="86"/>
        <v>105.55952271628369</v>
      </c>
      <c r="BD88" s="54">
        <f t="shared" si="121"/>
        <v>1161.1547498791206</v>
      </c>
      <c r="BE88" s="15">
        <f t="shared" si="87"/>
        <v>12147.446357004566</v>
      </c>
      <c r="BF88" s="13">
        <f t="shared" si="122"/>
        <v>177.2457581650981</v>
      </c>
      <c r="BG88" s="13">
        <f t="shared" si="123"/>
        <v>42835.296660183943</v>
      </c>
      <c r="BH88" s="54">
        <f t="shared" si="88"/>
        <v>704551.8887062649</v>
      </c>
      <c r="BI88" s="54">
        <f t="shared" si="124"/>
        <v>7750070.7757689133</v>
      </c>
      <c r="BJ88" s="15">
        <f t="shared" si="89"/>
        <v>0.40600000000000003</v>
      </c>
      <c r="BK88" s="12">
        <f t="shared" si="125"/>
        <v>5.9240251572327055E-3</v>
      </c>
      <c r="BL88" s="12">
        <f t="shared" si="126"/>
        <v>15.934835723270437</v>
      </c>
      <c r="BM88" s="54">
        <f t="shared" si="90"/>
        <v>23.548000000000005</v>
      </c>
      <c r="BN88" s="65">
        <f t="shared" si="127"/>
        <v>259.02800000000002</v>
      </c>
      <c r="BO88" s="16">
        <f t="shared" si="91"/>
        <v>29.3</v>
      </c>
      <c r="BP88" s="18">
        <f t="shared" si="128"/>
        <v>0.42752201257861644</v>
      </c>
      <c r="BQ88" s="18">
        <f t="shared" si="129"/>
        <v>1676.2972578616341</v>
      </c>
      <c r="BR88" s="54">
        <f t="shared" si="92"/>
        <v>1699.4000000000003</v>
      </c>
      <c r="BS88" s="65">
        <f t="shared" si="130"/>
        <v>18693.400000000001</v>
      </c>
    </row>
    <row r="89" spans="2:71" ht="15.75" customHeight="1" x14ac:dyDescent="0.25">
      <c r="B89" s="1">
        <v>12</v>
      </c>
      <c r="C89" s="1">
        <f>Scenario_Info!O$10</f>
        <v>21</v>
      </c>
      <c r="D89" s="75">
        <f>Scenario_Info!O$14</f>
        <v>11.6</v>
      </c>
      <c r="E89" s="36">
        <f>Scenario_Info!O$18</f>
        <v>46400</v>
      </c>
      <c r="F89" s="38">
        <f>F88+Percolation!E89/$D$7</f>
        <v>0.17509433962264151</v>
      </c>
      <c r="G89" s="11">
        <f t="shared" si="66"/>
        <v>9.0999999999999998E-2</v>
      </c>
      <c r="H89" s="10">
        <f t="shared" si="93"/>
        <v>1.3277987421383649E-3</v>
      </c>
      <c r="I89" s="12">
        <f t="shared" si="67"/>
        <v>12.884066415094333</v>
      </c>
      <c r="J89" s="53">
        <f t="shared" si="68"/>
        <v>5.2780000000000005</v>
      </c>
      <c r="K89" s="69">
        <f t="shared" si="94"/>
        <v>63.335999999999991</v>
      </c>
      <c r="L89" s="11">
        <f t="shared" si="69"/>
        <v>4.5999999999999999E-2</v>
      </c>
      <c r="M89" s="10">
        <f t="shared" si="95"/>
        <v>6.7119496855345918E-4</v>
      </c>
      <c r="N89" s="12">
        <f t="shared" si="96"/>
        <v>799.99194566037795</v>
      </c>
      <c r="O89" s="53">
        <f t="shared" si="70"/>
        <v>2.6680000000000001</v>
      </c>
      <c r="P89" s="69">
        <f t="shared" si="97"/>
        <v>32.015999999999998</v>
      </c>
      <c r="Q89" s="15">
        <f t="shared" si="71"/>
        <v>5.8</v>
      </c>
      <c r="R89" s="12">
        <f t="shared" si="98"/>
        <v>8.4628930817610068E-2</v>
      </c>
      <c r="S89" s="12">
        <f t="shared" si="99"/>
        <v>499.98445283018896</v>
      </c>
      <c r="T89" s="54">
        <f t="shared" si="72"/>
        <v>336.4</v>
      </c>
      <c r="U89" s="65">
        <f t="shared" si="100"/>
        <v>4036.7999999999997</v>
      </c>
      <c r="V89" s="15">
        <f t="shared" si="73"/>
        <v>743.53385039766806</v>
      </c>
      <c r="W89" s="12">
        <f t="shared" si="101"/>
        <v>10.849047376871637</v>
      </c>
      <c r="X89" s="12">
        <f t="shared" si="102"/>
        <v>344.81143147754051</v>
      </c>
      <c r="Y89" s="54">
        <f t="shared" si="74"/>
        <v>43124.963323064752</v>
      </c>
      <c r="Z89" s="65">
        <f t="shared" si="103"/>
        <v>517499.55987677688</v>
      </c>
      <c r="AA89" s="81">
        <f t="shared" si="75"/>
        <v>2.5000000000000001E-4</v>
      </c>
      <c r="AB89" s="394">
        <f t="shared" si="104"/>
        <v>3.6477987421383653E-6</v>
      </c>
      <c r="AC89" s="18">
        <f t="shared" si="105"/>
        <v>965.92495622641513</v>
      </c>
      <c r="AD89" s="390">
        <f t="shared" si="76"/>
        <v>1.4500000000000002E-2</v>
      </c>
      <c r="AE89" s="390">
        <f t="shared" si="106"/>
        <v>0.17400000000000002</v>
      </c>
      <c r="AF89" s="15">
        <f t="shared" si="77"/>
        <v>1.42</v>
      </c>
      <c r="AG89" s="12">
        <f t="shared" si="107"/>
        <v>2.0719496855345913E-2</v>
      </c>
      <c r="AH89" s="13">
        <f t="shared" si="108"/>
        <v>11213.751366037737</v>
      </c>
      <c r="AI89" s="54">
        <f t="shared" si="78"/>
        <v>82.36</v>
      </c>
      <c r="AJ89" s="54">
        <f t="shared" si="109"/>
        <v>988.31999999999994</v>
      </c>
      <c r="AK89" s="32">
        <f t="shared" si="79"/>
        <v>2.59</v>
      </c>
      <c r="AL89" s="34">
        <f t="shared" si="110"/>
        <v>3.779119496855346E-2</v>
      </c>
      <c r="AM89" s="34">
        <f t="shared" si="111"/>
        <v>27.146505660377379</v>
      </c>
      <c r="AN89" s="55">
        <f t="shared" si="80"/>
        <v>150.22</v>
      </c>
      <c r="AO89" s="55">
        <f t="shared" si="112"/>
        <v>1802.6399999999999</v>
      </c>
      <c r="AP89" s="15">
        <f t="shared" si="81"/>
        <v>1.27</v>
      </c>
      <c r="AQ89" s="12">
        <f t="shared" si="113"/>
        <v>1.8530817610062898E-2</v>
      </c>
      <c r="AR89" s="12">
        <f t="shared" si="114"/>
        <v>125.87763018867932</v>
      </c>
      <c r="AS89" s="54">
        <f t="shared" si="82"/>
        <v>73.660000000000025</v>
      </c>
      <c r="AT89" s="54">
        <f t="shared" si="115"/>
        <v>883.92000000000007</v>
      </c>
      <c r="AU89" s="15">
        <f t="shared" si="83"/>
        <v>136.53961780758002</v>
      </c>
      <c r="AV89" s="34">
        <f t="shared" si="116"/>
        <v>1.9922761843621741</v>
      </c>
      <c r="AW89" s="34">
        <f t="shared" si="117"/>
        <v>3.1926857876539145</v>
      </c>
      <c r="AX89" s="55">
        <f t="shared" si="84"/>
        <v>7919.297832839643</v>
      </c>
      <c r="AY89" s="55">
        <f t="shared" si="118"/>
        <v>95031.57399407569</v>
      </c>
      <c r="AZ89" s="15">
        <f t="shared" si="85"/>
        <v>1.8199917709704083</v>
      </c>
      <c r="BA89" s="10">
        <f t="shared" si="119"/>
        <v>2.6555854771392124E-2</v>
      </c>
      <c r="BB89" s="12">
        <f t="shared" si="120"/>
        <v>4.6113297427432904</v>
      </c>
      <c r="BC89" s="54">
        <f t="shared" si="86"/>
        <v>105.55952271628369</v>
      </c>
      <c r="BD89" s="54">
        <f t="shared" si="121"/>
        <v>1266.7142725954043</v>
      </c>
      <c r="BE89" s="15">
        <f t="shared" si="87"/>
        <v>12147.446357004566</v>
      </c>
      <c r="BF89" s="13">
        <f t="shared" si="122"/>
        <v>177.2457581650981</v>
      </c>
      <c r="BG89" s="13">
        <f t="shared" si="123"/>
        <v>42658.050902018847</v>
      </c>
      <c r="BH89" s="54">
        <f t="shared" si="88"/>
        <v>704551.8887062649</v>
      </c>
      <c r="BI89" s="54">
        <f t="shared" si="124"/>
        <v>8454622.6644751783</v>
      </c>
      <c r="BJ89" s="15">
        <f t="shared" si="89"/>
        <v>0.40600000000000003</v>
      </c>
      <c r="BK89" s="12">
        <f t="shared" si="125"/>
        <v>5.9240251572327055E-3</v>
      </c>
      <c r="BL89" s="12">
        <f t="shared" si="126"/>
        <v>15.928911698113204</v>
      </c>
      <c r="BM89" s="54">
        <f t="shared" si="90"/>
        <v>23.548000000000005</v>
      </c>
      <c r="BN89" s="65">
        <f t="shared" si="127"/>
        <v>282.57600000000002</v>
      </c>
      <c r="BO89" s="16">
        <f t="shared" si="91"/>
        <v>29.3</v>
      </c>
      <c r="BP89" s="18">
        <f t="shared" si="128"/>
        <v>0.42752201257861644</v>
      </c>
      <c r="BQ89" s="18">
        <f t="shared" si="129"/>
        <v>1675.8697358490554</v>
      </c>
      <c r="BR89" s="54">
        <f t="shared" si="92"/>
        <v>1699.4000000000003</v>
      </c>
      <c r="BS89" s="65">
        <f t="shared" si="130"/>
        <v>20392.800000000003</v>
      </c>
    </row>
    <row r="90" spans="2:71" ht="15.75" customHeight="1" x14ac:dyDescent="0.25">
      <c r="B90" s="1">
        <v>13</v>
      </c>
      <c r="C90" s="1">
        <f>Scenario_Info!O$10</f>
        <v>21</v>
      </c>
      <c r="D90" s="75">
        <f>Scenario_Info!O$14</f>
        <v>11.6</v>
      </c>
      <c r="E90" s="36">
        <f>Scenario_Info!O$18</f>
        <v>46400</v>
      </c>
      <c r="F90" s="38">
        <f>F89+Percolation!E90/$D$7</f>
        <v>0.18968553459119497</v>
      </c>
      <c r="G90" s="11">
        <f t="shared" si="66"/>
        <v>9.0999999999999998E-2</v>
      </c>
      <c r="H90" s="10">
        <f t="shared" si="93"/>
        <v>1.3277987421383649E-3</v>
      </c>
      <c r="I90" s="12">
        <f t="shared" si="67"/>
        <v>12.882738616352194</v>
      </c>
      <c r="J90" s="53">
        <f t="shared" si="68"/>
        <v>5.2780000000000005</v>
      </c>
      <c r="K90" s="69">
        <f t="shared" si="94"/>
        <v>68.61399999999999</v>
      </c>
      <c r="L90" s="11">
        <f t="shared" si="69"/>
        <v>4.5999999999999999E-2</v>
      </c>
      <c r="M90" s="10">
        <f t="shared" si="95"/>
        <v>6.7119496855345918E-4</v>
      </c>
      <c r="N90" s="12">
        <f t="shared" si="96"/>
        <v>799.99127446540945</v>
      </c>
      <c r="O90" s="53">
        <f t="shared" si="70"/>
        <v>2.6680000000000001</v>
      </c>
      <c r="P90" s="69">
        <f t="shared" si="97"/>
        <v>34.683999999999997</v>
      </c>
      <c r="Q90" s="15">
        <f t="shared" si="71"/>
        <v>5.8</v>
      </c>
      <c r="R90" s="12">
        <f t="shared" si="98"/>
        <v>8.4628930817610068E-2</v>
      </c>
      <c r="S90" s="12">
        <f t="shared" si="99"/>
        <v>499.89982389937137</v>
      </c>
      <c r="T90" s="54">
        <f t="shared" si="72"/>
        <v>336.4</v>
      </c>
      <c r="U90" s="65">
        <f t="shared" si="100"/>
        <v>4373.2</v>
      </c>
      <c r="V90" s="15">
        <f t="shared" si="73"/>
        <v>743.53385039766806</v>
      </c>
      <c r="W90" s="12">
        <f t="shared" si="101"/>
        <v>10.849047376871637</v>
      </c>
      <c r="X90" s="12">
        <f t="shared" si="102"/>
        <v>333.96238410066888</v>
      </c>
      <c r="Y90" s="54">
        <f t="shared" si="74"/>
        <v>43124.963323064752</v>
      </c>
      <c r="Z90" s="65">
        <f t="shared" si="103"/>
        <v>560624.52319984161</v>
      </c>
      <c r="AA90" s="81">
        <f t="shared" si="75"/>
        <v>2.5000000000000001E-4</v>
      </c>
      <c r="AB90" s="394">
        <f t="shared" si="104"/>
        <v>3.6477987421383653E-6</v>
      </c>
      <c r="AC90" s="18">
        <f t="shared" si="105"/>
        <v>965.9249525786164</v>
      </c>
      <c r="AD90" s="390">
        <f t="shared" si="76"/>
        <v>1.4500000000000002E-2</v>
      </c>
      <c r="AE90" s="390">
        <f t="shared" si="106"/>
        <v>0.18850000000000003</v>
      </c>
      <c r="AF90" s="15">
        <f t="shared" si="77"/>
        <v>1.42</v>
      </c>
      <c r="AG90" s="12">
        <f t="shared" si="107"/>
        <v>2.0719496855345913E-2</v>
      </c>
      <c r="AH90" s="13">
        <f t="shared" si="108"/>
        <v>11213.730646540882</v>
      </c>
      <c r="AI90" s="54">
        <f t="shared" si="78"/>
        <v>82.36</v>
      </c>
      <c r="AJ90" s="54">
        <f t="shared" si="109"/>
        <v>1070.6799999999998</v>
      </c>
      <c r="AK90" s="32">
        <f t="shared" si="79"/>
        <v>2.59</v>
      </c>
      <c r="AL90" s="34">
        <f t="shared" si="110"/>
        <v>3.779119496855346E-2</v>
      </c>
      <c r="AM90" s="34">
        <f t="shared" si="111"/>
        <v>27.108714465408827</v>
      </c>
      <c r="AN90" s="55">
        <f t="shared" si="80"/>
        <v>150.22</v>
      </c>
      <c r="AO90" s="55">
        <f t="shared" si="112"/>
        <v>1952.86</v>
      </c>
      <c r="AP90" s="15">
        <f t="shared" si="81"/>
        <v>1.27</v>
      </c>
      <c r="AQ90" s="12">
        <f t="shared" si="113"/>
        <v>1.8530817610062898E-2</v>
      </c>
      <c r="AR90" s="12">
        <f t="shared" si="114"/>
        <v>125.85909937106926</v>
      </c>
      <c r="AS90" s="54">
        <f t="shared" si="82"/>
        <v>73.660000000000025</v>
      </c>
      <c r="AT90" s="54">
        <f t="shared" si="115"/>
        <v>957.58000000000015</v>
      </c>
      <c r="AU90" s="15">
        <f t="shared" si="83"/>
        <v>136.53961780758002</v>
      </c>
      <c r="AV90" s="34">
        <f t="shared" si="116"/>
        <v>1.9922761843621741</v>
      </c>
      <c r="AW90" s="34">
        <f t="shared" si="117"/>
        <v>1.2004096032917404</v>
      </c>
      <c r="AX90" s="55">
        <f t="shared" si="84"/>
        <v>7919.297832839643</v>
      </c>
      <c r="AY90" s="55">
        <f t="shared" si="118"/>
        <v>102950.87182691533</v>
      </c>
      <c r="AZ90" s="15">
        <f t="shared" si="85"/>
        <v>1.8199917709704083</v>
      </c>
      <c r="BA90" s="10">
        <f t="shared" si="119"/>
        <v>2.6555854771392124E-2</v>
      </c>
      <c r="BB90" s="12">
        <f t="shared" si="120"/>
        <v>4.584773887971898</v>
      </c>
      <c r="BC90" s="54">
        <f t="shared" si="86"/>
        <v>105.55952271628369</v>
      </c>
      <c r="BD90" s="54">
        <f t="shared" si="121"/>
        <v>1372.273795311688</v>
      </c>
      <c r="BE90" s="15">
        <f t="shared" si="87"/>
        <v>12147.446357004566</v>
      </c>
      <c r="BF90" s="13">
        <f t="shared" si="122"/>
        <v>177.2457581650981</v>
      </c>
      <c r="BG90" s="13">
        <f t="shared" si="123"/>
        <v>42480.805143853751</v>
      </c>
      <c r="BH90" s="54">
        <f t="shared" si="88"/>
        <v>704551.8887062649</v>
      </c>
      <c r="BI90" s="54">
        <f t="shared" si="124"/>
        <v>9159174.5531814434</v>
      </c>
      <c r="BJ90" s="15">
        <f t="shared" si="89"/>
        <v>0.40600000000000003</v>
      </c>
      <c r="BK90" s="12">
        <f t="shared" si="125"/>
        <v>5.9240251572327055E-3</v>
      </c>
      <c r="BL90" s="12">
        <f t="shared" si="126"/>
        <v>15.922987672955971</v>
      </c>
      <c r="BM90" s="54">
        <f t="shared" si="90"/>
        <v>23.548000000000005</v>
      </c>
      <c r="BN90" s="65">
        <f t="shared" si="127"/>
        <v>306.12400000000002</v>
      </c>
      <c r="BO90" s="16">
        <f t="shared" si="91"/>
        <v>29.3</v>
      </c>
      <c r="BP90" s="18">
        <f t="shared" si="128"/>
        <v>0.42752201257861644</v>
      </c>
      <c r="BQ90" s="18">
        <f t="shared" si="129"/>
        <v>1675.4422138364766</v>
      </c>
      <c r="BR90" s="54">
        <f t="shared" si="92"/>
        <v>1699.4000000000003</v>
      </c>
      <c r="BS90" s="65">
        <f t="shared" si="130"/>
        <v>22092.200000000004</v>
      </c>
    </row>
    <row r="91" spans="2:71" ht="15.75" customHeight="1" x14ac:dyDescent="0.25">
      <c r="B91" s="1">
        <v>14</v>
      </c>
      <c r="C91" s="1">
        <f>Scenario_Info!O$10</f>
        <v>21</v>
      </c>
      <c r="D91" s="75">
        <f>Scenario_Info!O$14</f>
        <v>11.6</v>
      </c>
      <c r="E91" s="36">
        <f>Scenario_Info!O$18</f>
        <v>46400</v>
      </c>
      <c r="F91" s="402">
        <f>F90+Percolation!E91/$D$7</f>
        <v>0.20427672955974843</v>
      </c>
      <c r="G91" s="11">
        <f t="shared" si="66"/>
        <v>9.0999999999999998E-2</v>
      </c>
      <c r="H91" s="10">
        <f t="shared" si="93"/>
        <v>1.3277987421383649E-3</v>
      </c>
      <c r="I91" s="12">
        <f t="shared" si="67"/>
        <v>12.881410817610055</v>
      </c>
      <c r="J91" s="53">
        <f t="shared" si="68"/>
        <v>5.2780000000000005</v>
      </c>
      <c r="K91" s="69">
        <f t="shared" si="94"/>
        <v>73.891999999999996</v>
      </c>
      <c r="L91" s="11">
        <f t="shared" si="69"/>
        <v>4.5999999999999999E-2</v>
      </c>
      <c r="M91" s="10">
        <f t="shared" si="95"/>
        <v>6.7119496855345918E-4</v>
      </c>
      <c r="N91" s="12">
        <f t="shared" si="96"/>
        <v>799.99060327044094</v>
      </c>
      <c r="O91" s="53">
        <f t="shared" si="70"/>
        <v>2.6680000000000001</v>
      </c>
      <c r="P91" s="69">
        <f t="shared" si="97"/>
        <v>37.351999999999997</v>
      </c>
      <c r="Q91" s="15">
        <f t="shared" si="71"/>
        <v>5.8</v>
      </c>
      <c r="R91" s="12">
        <f t="shared" si="98"/>
        <v>8.4628930817610068E-2</v>
      </c>
      <c r="S91" s="12">
        <f t="shared" si="99"/>
        <v>499.81519496855378</v>
      </c>
      <c r="T91" s="54">
        <f t="shared" si="72"/>
        <v>336.4</v>
      </c>
      <c r="U91" s="65">
        <f t="shared" si="100"/>
        <v>4709.5999999999995</v>
      </c>
      <c r="V91" s="15">
        <f t="shared" si="73"/>
        <v>36.968341349127144</v>
      </c>
      <c r="W91" s="12">
        <f t="shared" si="101"/>
        <v>0.53941227628915089</v>
      </c>
      <c r="X91" s="12">
        <f t="shared" si="102"/>
        <v>333.42297182437972</v>
      </c>
      <c r="Y91" s="54">
        <f t="shared" si="74"/>
        <v>2144.1637982493748</v>
      </c>
      <c r="Z91" s="65">
        <f t="shared" si="103"/>
        <v>562768.68699809094</v>
      </c>
      <c r="AA91" s="81">
        <f t="shared" si="75"/>
        <v>2.5000000000000001E-4</v>
      </c>
      <c r="AB91" s="394">
        <f t="shared" si="104"/>
        <v>3.6477987421383653E-6</v>
      </c>
      <c r="AC91" s="18">
        <f t="shared" si="105"/>
        <v>965.92494893081766</v>
      </c>
      <c r="AD91" s="390">
        <f t="shared" si="76"/>
        <v>1.4500000000000002E-2</v>
      </c>
      <c r="AE91" s="390">
        <f t="shared" si="106"/>
        <v>0.20300000000000004</v>
      </c>
      <c r="AF91" s="15">
        <f t="shared" si="77"/>
        <v>1.42</v>
      </c>
      <c r="AG91" s="12">
        <f t="shared" si="107"/>
        <v>2.0719496855345913E-2</v>
      </c>
      <c r="AH91" s="13">
        <f t="shared" si="108"/>
        <v>11213.709927044027</v>
      </c>
      <c r="AI91" s="54">
        <f t="shared" si="78"/>
        <v>82.36</v>
      </c>
      <c r="AJ91" s="54">
        <f t="shared" si="109"/>
        <v>1153.0399999999997</v>
      </c>
      <c r="AK91" s="32">
        <f t="shared" si="79"/>
        <v>2.59</v>
      </c>
      <c r="AL91" s="34">
        <f t="shared" si="110"/>
        <v>3.779119496855346E-2</v>
      </c>
      <c r="AM91" s="34">
        <f t="shared" si="111"/>
        <v>27.070923270440275</v>
      </c>
      <c r="AN91" s="55">
        <f t="shared" si="80"/>
        <v>150.22</v>
      </c>
      <c r="AO91" s="55">
        <f t="shared" si="112"/>
        <v>2103.08</v>
      </c>
      <c r="AP91" s="15">
        <f t="shared" si="81"/>
        <v>1.27</v>
      </c>
      <c r="AQ91" s="12">
        <f t="shared" si="113"/>
        <v>1.8530817610062898E-2</v>
      </c>
      <c r="AR91" s="12">
        <f t="shared" si="114"/>
        <v>125.84056855345921</v>
      </c>
      <c r="AS91" s="54">
        <f t="shared" si="82"/>
        <v>73.660000000000025</v>
      </c>
      <c r="AT91" s="54">
        <f t="shared" si="115"/>
        <v>1031.2400000000002</v>
      </c>
      <c r="AU91" s="15">
        <f t="shared" si="83"/>
        <v>1.4414913798468167</v>
      </c>
      <c r="AV91" s="34">
        <f t="shared" si="116"/>
        <v>2.1033081768834058E-2</v>
      </c>
      <c r="AW91" s="34">
        <f t="shared" si="117"/>
        <v>1.1793765215229064</v>
      </c>
      <c r="AX91" s="55">
        <f t="shared" si="84"/>
        <v>83.606500031115374</v>
      </c>
      <c r="AY91" s="55">
        <f t="shared" si="118"/>
        <v>103034.47832694645</v>
      </c>
      <c r="AZ91" s="15">
        <f t="shared" si="85"/>
        <v>0.35132655987788203</v>
      </c>
      <c r="BA91" s="10">
        <f t="shared" si="119"/>
        <v>5.1262743328093488E-3</v>
      </c>
      <c r="BB91" s="12">
        <f t="shared" si="120"/>
        <v>4.5796476136390885</v>
      </c>
      <c r="BC91" s="54">
        <f t="shared" si="86"/>
        <v>20.376940472917159</v>
      </c>
      <c r="BD91" s="54">
        <f t="shared" si="121"/>
        <v>1392.6507357846051</v>
      </c>
      <c r="BE91" s="15">
        <f t="shared" si="87"/>
        <v>3970.0648289253159</v>
      </c>
      <c r="BF91" s="13">
        <f t="shared" si="122"/>
        <v>57.92798995664613</v>
      </c>
      <c r="BG91" s="13">
        <f t="shared" si="123"/>
        <v>42422.877153897105</v>
      </c>
      <c r="BH91" s="54">
        <f t="shared" si="88"/>
        <v>230263.76007766835</v>
      </c>
      <c r="BI91" s="54">
        <f t="shared" si="124"/>
        <v>9389438.3132591117</v>
      </c>
      <c r="BJ91" s="15">
        <f t="shared" si="89"/>
        <v>0.40600000000000003</v>
      </c>
      <c r="BK91" s="12">
        <f t="shared" si="125"/>
        <v>5.9240251572327055E-3</v>
      </c>
      <c r="BL91" s="12">
        <f t="shared" si="126"/>
        <v>15.917063647798738</v>
      </c>
      <c r="BM91" s="54">
        <f t="shared" si="90"/>
        <v>23.548000000000005</v>
      </c>
      <c r="BN91" s="65">
        <f t="shared" si="127"/>
        <v>329.67200000000003</v>
      </c>
      <c r="BO91" s="16">
        <f t="shared" si="91"/>
        <v>29.3</v>
      </c>
      <c r="BP91" s="18">
        <f t="shared" si="128"/>
        <v>0.42752201257861644</v>
      </c>
      <c r="BQ91" s="18">
        <f t="shared" si="129"/>
        <v>1675.0146918238979</v>
      </c>
      <c r="BR91" s="54">
        <f t="shared" si="92"/>
        <v>1699.4000000000003</v>
      </c>
      <c r="BS91" s="65">
        <f t="shared" si="130"/>
        <v>23791.600000000006</v>
      </c>
    </row>
    <row r="92" spans="2:71" ht="15.75" customHeight="1" x14ac:dyDescent="0.25">
      <c r="B92" s="1">
        <v>15</v>
      </c>
      <c r="C92" s="1">
        <f>Scenario_Info!O$10</f>
        <v>21</v>
      </c>
      <c r="D92" s="75">
        <f>Scenario_Info!O$14</f>
        <v>11.6</v>
      </c>
      <c r="E92" s="36">
        <f>Scenario_Info!O$18</f>
        <v>46400</v>
      </c>
      <c r="F92" s="38">
        <f>F91+Percolation!E92/$D$7</f>
        <v>0.21886792452830189</v>
      </c>
      <c r="G92" s="11">
        <f t="shared" si="66"/>
        <v>9.0999999999999998E-2</v>
      </c>
      <c r="H92" s="10">
        <f t="shared" si="93"/>
        <v>1.3277987421383649E-3</v>
      </c>
      <c r="I92" s="12">
        <f t="shared" si="67"/>
        <v>12.880083018867916</v>
      </c>
      <c r="J92" s="53">
        <f t="shared" si="68"/>
        <v>5.2780000000000005</v>
      </c>
      <c r="K92" s="69">
        <f t="shared" si="94"/>
        <v>79.17</v>
      </c>
      <c r="L92" s="11">
        <f t="shared" si="69"/>
        <v>4.5999999999999999E-2</v>
      </c>
      <c r="M92" s="10">
        <f t="shared" si="95"/>
        <v>6.7119496855345918E-4</v>
      </c>
      <c r="N92" s="12">
        <f t="shared" si="96"/>
        <v>799.98993207547244</v>
      </c>
      <c r="O92" s="53">
        <f t="shared" si="70"/>
        <v>2.6680000000000001</v>
      </c>
      <c r="P92" s="69">
        <f t="shared" si="97"/>
        <v>40.019999999999996</v>
      </c>
      <c r="Q92" s="15">
        <f t="shared" si="71"/>
        <v>5.8</v>
      </c>
      <c r="R92" s="12">
        <f t="shared" si="98"/>
        <v>8.4628930817610068E-2</v>
      </c>
      <c r="S92" s="12">
        <f t="shared" si="99"/>
        <v>499.7305660377362</v>
      </c>
      <c r="T92" s="54">
        <f t="shared" si="72"/>
        <v>336.4</v>
      </c>
      <c r="U92" s="65">
        <f t="shared" si="100"/>
        <v>5045.9999999999991</v>
      </c>
      <c r="V92" s="15">
        <f t="shared" si="73"/>
        <v>36.968341349127144</v>
      </c>
      <c r="W92" s="12">
        <f t="shared" si="101"/>
        <v>0.53941227628915089</v>
      </c>
      <c r="X92" s="12">
        <f t="shared" si="102"/>
        <v>332.88355954809055</v>
      </c>
      <c r="Y92" s="54">
        <f t="shared" si="74"/>
        <v>2144.1637982493748</v>
      </c>
      <c r="Z92" s="65">
        <f t="shared" si="103"/>
        <v>564912.85079634027</v>
      </c>
      <c r="AA92" s="81">
        <f t="shared" si="75"/>
        <v>2.5000000000000001E-4</v>
      </c>
      <c r="AB92" s="394">
        <f t="shared" si="104"/>
        <v>3.6477987421383653E-6</v>
      </c>
      <c r="AC92" s="18">
        <f t="shared" si="105"/>
        <v>965.92494528301893</v>
      </c>
      <c r="AD92" s="390">
        <f t="shared" si="76"/>
        <v>1.4500000000000002E-2</v>
      </c>
      <c r="AE92" s="390">
        <f t="shared" si="106"/>
        <v>0.21750000000000005</v>
      </c>
      <c r="AF92" s="15">
        <f t="shared" si="77"/>
        <v>1.42</v>
      </c>
      <c r="AG92" s="12">
        <f t="shared" si="107"/>
        <v>2.0719496855345913E-2</v>
      </c>
      <c r="AH92" s="13">
        <f t="shared" si="108"/>
        <v>11213.689207547171</v>
      </c>
      <c r="AI92" s="54">
        <f t="shared" si="78"/>
        <v>82.36</v>
      </c>
      <c r="AJ92" s="54">
        <f t="shared" si="109"/>
        <v>1235.3999999999996</v>
      </c>
      <c r="AK92" s="32">
        <f t="shared" si="79"/>
        <v>2.59</v>
      </c>
      <c r="AL92" s="34">
        <f t="shared" si="110"/>
        <v>3.779119496855346E-2</v>
      </c>
      <c r="AM92" s="34">
        <f t="shared" si="111"/>
        <v>27.033132075471723</v>
      </c>
      <c r="AN92" s="55">
        <f t="shared" si="80"/>
        <v>150.22</v>
      </c>
      <c r="AO92" s="55">
        <f t="shared" si="112"/>
        <v>2253.2999999999997</v>
      </c>
      <c r="AP92" s="15">
        <f t="shared" si="81"/>
        <v>1.27</v>
      </c>
      <c r="AQ92" s="12">
        <f t="shared" si="113"/>
        <v>1.8530817610062898E-2</v>
      </c>
      <c r="AR92" s="12">
        <f t="shared" si="114"/>
        <v>125.82203773584915</v>
      </c>
      <c r="AS92" s="54">
        <f t="shared" si="82"/>
        <v>73.660000000000025</v>
      </c>
      <c r="AT92" s="54">
        <f t="shared" si="115"/>
        <v>1104.9000000000003</v>
      </c>
      <c r="AU92" s="15">
        <f t="shared" si="83"/>
        <v>1.4414913798468167</v>
      </c>
      <c r="AV92" s="34">
        <f t="shared" si="116"/>
        <v>2.1033081768834058E-2</v>
      </c>
      <c r="AW92" s="34">
        <f t="shared" si="117"/>
        <v>1.1583434397540724</v>
      </c>
      <c r="AX92" s="55">
        <f t="shared" si="84"/>
        <v>83.606500031115374</v>
      </c>
      <c r="AY92" s="55">
        <f t="shared" si="118"/>
        <v>103118.08482697757</v>
      </c>
      <c r="AZ92" s="15">
        <f t="shared" si="85"/>
        <v>0.35132655987788203</v>
      </c>
      <c r="BA92" s="10">
        <f t="shared" si="119"/>
        <v>5.1262743328093488E-3</v>
      </c>
      <c r="BB92" s="12">
        <f t="shared" si="120"/>
        <v>4.5745213393062789</v>
      </c>
      <c r="BC92" s="54">
        <f t="shared" si="86"/>
        <v>20.376940472917159</v>
      </c>
      <c r="BD92" s="54">
        <f t="shared" si="121"/>
        <v>1413.0276762575222</v>
      </c>
      <c r="BE92" s="15">
        <f t="shared" si="87"/>
        <v>3970.0648289253159</v>
      </c>
      <c r="BF92" s="13">
        <f t="shared" si="122"/>
        <v>57.92798995664613</v>
      </c>
      <c r="BG92" s="13">
        <f t="shared" si="123"/>
        <v>42364.949163940459</v>
      </c>
      <c r="BH92" s="54">
        <f t="shared" si="88"/>
        <v>230263.76007766835</v>
      </c>
      <c r="BI92" s="54">
        <f t="shared" si="124"/>
        <v>9619702.0733367801</v>
      </c>
      <c r="BJ92" s="15">
        <f t="shared" si="89"/>
        <v>0.40600000000000003</v>
      </c>
      <c r="BK92" s="12">
        <f t="shared" si="125"/>
        <v>5.9240251572327055E-3</v>
      </c>
      <c r="BL92" s="12">
        <f t="shared" si="126"/>
        <v>15.911139622641505</v>
      </c>
      <c r="BM92" s="54">
        <f t="shared" si="90"/>
        <v>23.548000000000005</v>
      </c>
      <c r="BN92" s="65">
        <f t="shared" si="127"/>
        <v>353.22</v>
      </c>
      <c r="BO92" s="16">
        <f t="shared" si="91"/>
        <v>29.3</v>
      </c>
      <c r="BP92" s="18">
        <f t="shared" si="128"/>
        <v>0.42752201257861644</v>
      </c>
      <c r="BQ92" s="18">
        <f t="shared" si="129"/>
        <v>1674.5871698113192</v>
      </c>
      <c r="BR92" s="54">
        <f t="shared" si="92"/>
        <v>1699.4000000000003</v>
      </c>
      <c r="BS92" s="65">
        <f t="shared" si="130"/>
        <v>25491.000000000007</v>
      </c>
    </row>
    <row r="93" spans="2:71" ht="15.75" customHeight="1" x14ac:dyDescent="0.25">
      <c r="B93" s="1">
        <v>16</v>
      </c>
      <c r="C93" s="1">
        <f>Scenario_Info!O$10</f>
        <v>21</v>
      </c>
      <c r="D93" s="75">
        <f>Scenario_Info!O$14</f>
        <v>11.6</v>
      </c>
      <c r="E93" s="36">
        <f>Scenario_Info!O$18</f>
        <v>46400</v>
      </c>
      <c r="F93" s="38">
        <f>F92+Percolation!E93/$D$7</f>
        <v>0.23345911949685536</v>
      </c>
      <c r="G93" s="11">
        <f t="shared" si="66"/>
        <v>9.0999999999999998E-2</v>
      </c>
      <c r="H93" s="10">
        <f t="shared" si="93"/>
        <v>1.3277987421383649E-3</v>
      </c>
      <c r="I93" s="12">
        <f t="shared" si="67"/>
        <v>12.878755220125777</v>
      </c>
      <c r="J93" s="53">
        <f t="shared" si="68"/>
        <v>5.2780000000000005</v>
      </c>
      <c r="K93" s="69">
        <f t="shared" si="94"/>
        <v>84.448000000000008</v>
      </c>
      <c r="L93" s="11">
        <f t="shared" si="69"/>
        <v>4.5999999999999999E-2</v>
      </c>
      <c r="M93" s="10">
        <f t="shared" si="95"/>
        <v>6.7119496855345918E-4</v>
      </c>
      <c r="N93" s="12">
        <f t="shared" si="96"/>
        <v>799.98926088050393</v>
      </c>
      <c r="O93" s="53">
        <f t="shared" si="70"/>
        <v>2.6680000000000001</v>
      </c>
      <c r="P93" s="69">
        <f t="shared" si="97"/>
        <v>42.687999999999995</v>
      </c>
      <c r="Q93" s="15">
        <f t="shared" si="71"/>
        <v>5.8</v>
      </c>
      <c r="R93" s="12">
        <f t="shared" si="98"/>
        <v>8.4628930817610068E-2</v>
      </c>
      <c r="S93" s="12">
        <f t="shared" si="99"/>
        <v>499.64593710691861</v>
      </c>
      <c r="T93" s="54">
        <f t="shared" si="72"/>
        <v>336.4</v>
      </c>
      <c r="U93" s="65">
        <f t="shared" si="100"/>
        <v>5382.3999999999987</v>
      </c>
      <c r="V93" s="15">
        <f t="shared" si="73"/>
        <v>36.968341349127144</v>
      </c>
      <c r="W93" s="12">
        <f t="shared" si="101"/>
        <v>0.53941227628915089</v>
      </c>
      <c r="X93" s="12">
        <f t="shared" si="102"/>
        <v>332.34414727180138</v>
      </c>
      <c r="Y93" s="54">
        <f t="shared" si="74"/>
        <v>2144.1637982493748</v>
      </c>
      <c r="Z93" s="65">
        <f t="shared" si="103"/>
        <v>567057.01459458959</v>
      </c>
      <c r="AA93" s="81">
        <f t="shared" si="75"/>
        <v>2.5000000000000001E-4</v>
      </c>
      <c r="AB93" s="394">
        <f t="shared" si="104"/>
        <v>3.6477987421383653E-6</v>
      </c>
      <c r="AC93" s="18">
        <f t="shared" si="105"/>
        <v>965.92494163522019</v>
      </c>
      <c r="AD93" s="390">
        <f t="shared" si="76"/>
        <v>1.4500000000000002E-2</v>
      </c>
      <c r="AE93" s="390">
        <f t="shared" si="106"/>
        <v>0.23200000000000007</v>
      </c>
      <c r="AF93" s="15">
        <f t="shared" si="77"/>
        <v>1.42</v>
      </c>
      <c r="AG93" s="12">
        <f t="shared" si="107"/>
        <v>2.0719496855345913E-2</v>
      </c>
      <c r="AH93" s="13">
        <f t="shared" si="108"/>
        <v>11213.668488050316</v>
      </c>
      <c r="AI93" s="54">
        <f t="shared" si="78"/>
        <v>82.36</v>
      </c>
      <c r="AJ93" s="54">
        <f t="shared" si="109"/>
        <v>1317.7599999999995</v>
      </c>
      <c r="AK93" s="32">
        <f t="shared" si="79"/>
        <v>2.59</v>
      </c>
      <c r="AL93" s="34">
        <f t="shared" si="110"/>
        <v>3.779119496855346E-2</v>
      </c>
      <c r="AM93" s="34">
        <f t="shared" si="111"/>
        <v>26.995340880503171</v>
      </c>
      <c r="AN93" s="55">
        <f t="shared" si="80"/>
        <v>150.22</v>
      </c>
      <c r="AO93" s="55">
        <f t="shared" si="112"/>
        <v>2403.5199999999995</v>
      </c>
      <c r="AP93" s="15">
        <f t="shared" si="81"/>
        <v>1.27</v>
      </c>
      <c r="AQ93" s="12">
        <f t="shared" si="113"/>
        <v>1.8530817610062898E-2</v>
      </c>
      <c r="AR93" s="12">
        <f t="shared" si="114"/>
        <v>125.80350691823909</v>
      </c>
      <c r="AS93" s="54">
        <f t="shared" si="82"/>
        <v>73.660000000000025</v>
      </c>
      <c r="AT93" s="54">
        <f t="shared" si="115"/>
        <v>1178.5600000000004</v>
      </c>
      <c r="AU93" s="15">
        <f t="shared" si="83"/>
        <v>1.4414913798468167</v>
      </c>
      <c r="AV93" s="34">
        <f t="shared" si="116"/>
        <v>2.1033081768834058E-2</v>
      </c>
      <c r="AW93" s="34">
        <f t="shared" si="117"/>
        <v>1.1373103579852384</v>
      </c>
      <c r="AX93" s="55">
        <f t="shared" si="84"/>
        <v>83.606500031115374</v>
      </c>
      <c r="AY93" s="55">
        <f t="shared" si="118"/>
        <v>103201.6913270087</v>
      </c>
      <c r="AZ93" s="15">
        <f t="shared" si="85"/>
        <v>0.35132655987788203</v>
      </c>
      <c r="BA93" s="10">
        <f t="shared" si="119"/>
        <v>5.1262743328093488E-3</v>
      </c>
      <c r="BB93" s="12">
        <f t="shared" si="120"/>
        <v>4.5693950649734694</v>
      </c>
      <c r="BC93" s="54">
        <f t="shared" si="86"/>
        <v>20.376940472917159</v>
      </c>
      <c r="BD93" s="54">
        <f t="shared" si="121"/>
        <v>1433.4046167304393</v>
      </c>
      <c r="BE93" s="15">
        <f t="shared" si="87"/>
        <v>3970.0648289253159</v>
      </c>
      <c r="BF93" s="13">
        <f t="shared" si="122"/>
        <v>57.92798995664613</v>
      </c>
      <c r="BG93" s="13">
        <f t="shared" si="123"/>
        <v>42307.021173983812</v>
      </c>
      <c r="BH93" s="54">
        <f t="shared" si="88"/>
        <v>230263.76007766835</v>
      </c>
      <c r="BI93" s="54">
        <f t="shared" si="124"/>
        <v>9849965.8334144484</v>
      </c>
      <c r="BJ93" s="15">
        <f t="shared" si="89"/>
        <v>0.40600000000000003</v>
      </c>
      <c r="BK93" s="12">
        <f t="shared" si="125"/>
        <v>5.9240251572327055E-3</v>
      </c>
      <c r="BL93" s="12">
        <f t="shared" si="126"/>
        <v>15.905215597484272</v>
      </c>
      <c r="BM93" s="54">
        <f t="shared" si="90"/>
        <v>23.548000000000005</v>
      </c>
      <c r="BN93" s="65">
        <f t="shared" si="127"/>
        <v>376.76800000000003</v>
      </c>
      <c r="BO93" s="16">
        <f t="shared" si="91"/>
        <v>29.3</v>
      </c>
      <c r="BP93" s="18">
        <f t="shared" si="128"/>
        <v>0.42752201257861644</v>
      </c>
      <c r="BQ93" s="18">
        <f t="shared" si="129"/>
        <v>1674.1596477987405</v>
      </c>
      <c r="BR93" s="54">
        <f t="shared" si="92"/>
        <v>1699.4000000000003</v>
      </c>
      <c r="BS93" s="65">
        <f t="shared" si="130"/>
        <v>27190.400000000009</v>
      </c>
    </row>
    <row r="94" spans="2:71" ht="15.75" customHeight="1" x14ac:dyDescent="0.25">
      <c r="B94" s="1">
        <v>17</v>
      </c>
      <c r="C94" s="1">
        <f>Scenario_Info!O$10</f>
        <v>21</v>
      </c>
      <c r="D94" s="75">
        <f>Scenario_Info!O$14</f>
        <v>11.6</v>
      </c>
      <c r="E94" s="36">
        <f>Scenario_Info!O$18</f>
        <v>46400</v>
      </c>
      <c r="F94" s="38">
        <f>F93+Percolation!E94/$D$7</f>
        <v>0.24805031446540882</v>
      </c>
      <c r="G94" s="11">
        <f t="shared" si="66"/>
        <v>9.0999999999999998E-2</v>
      </c>
      <c r="H94" s="10">
        <f t="shared" si="93"/>
        <v>1.3277987421383649E-3</v>
      </c>
      <c r="I94" s="12">
        <f t="shared" si="67"/>
        <v>12.877427421383638</v>
      </c>
      <c r="J94" s="53">
        <f t="shared" si="68"/>
        <v>5.2780000000000005</v>
      </c>
      <c r="K94" s="69">
        <f t="shared" si="94"/>
        <v>89.726000000000013</v>
      </c>
      <c r="L94" s="11">
        <f t="shared" si="69"/>
        <v>4.5999999999999999E-2</v>
      </c>
      <c r="M94" s="10">
        <f t="shared" si="95"/>
        <v>6.7119496855345918E-4</v>
      </c>
      <c r="N94" s="12">
        <f t="shared" si="96"/>
        <v>799.98858968553543</v>
      </c>
      <c r="O94" s="53">
        <f t="shared" si="70"/>
        <v>2.6680000000000001</v>
      </c>
      <c r="P94" s="69">
        <f t="shared" si="97"/>
        <v>45.355999999999995</v>
      </c>
      <c r="Q94" s="15">
        <f t="shared" si="71"/>
        <v>5.8</v>
      </c>
      <c r="R94" s="12">
        <f t="shared" si="98"/>
        <v>8.4628930817610068E-2</v>
      </c>
      <c r="S94" s="12">
        <f t="shared" si="99"/>
        <v>499.56130817610102</v>
      </c>
      <c r="T94" s="54">
        <f t="shared" si="72"/>
        <v>336.4</v>
      </c>
      <c r="U94" s="65">
        <f t="shared" si="100"/>
        <v>5718.7999999999984</v>
      </c>
      <c r="V94" s="15">
        <f t="shared" si="73"/>
        <v>36.968341349127144</v>
      </c>
      <c r="W94" s="12">
        <f t="shared" si="101"/>
        <v>0.53941227628915089</v>
      </c>
      <c r="X94" s="12">
        <f t="shared" si="102"/>
        <v>331.80473499551221</v>
      </c>
      <c r="Y94" s="54">
        <f t="shared" si="74"/>
        <v>2144.1637982493748</v>
      </c>
      <c r="Z94" s="65">
        <f t="shared" si="103"/>
        <v>569201.17839283892</v>
      </c>
      <c r="AA94" s="81">
        <f t="shared" si="75"/>
        <v>2.5000000000000001E-4</v>
      </c>
      <c r="AB94" s="394">
        <f t="shared" si="104"/>
        <v>3.6477987421383653E-6</v>
      </c>
      <c r="AC94" s="18">
        <f t="shared" si="105"/>
        <v>965.92493798742146</v>
      </c>
      <c r="AD94" s="390">
        <f t="shared" si="76"/>
        <v>1.4500000000000002E-2</v>
      </c>
      <c r="AE94" s="390">
        <f t="shared" si="106"/>
        <v>0.24650000000000008</v>
      </c>
      <c r="AF94" s="15">
        <f t="shared" si="77"/>
        <v>1.42</v>
      </c>
      <c r="AG94" s="12">
        <f t="shared" si="107"/>
        <v>2.0719496855345913E-2</v>
      </c>
      <c r="AH94" s="13">
        <f t="shared" si="108"/>
        <v>11213.647768553461</v>
      </c>
      <c r="AI94" s="54">
        <f t="shared" si="78"/>
        <v>82.36</v>
      </c>
      <c r="AJ94" s="54">
        <f t="shared" si="109"/>
        <v>1400.1199999999994</v>
      </c>
      <c r="AK94" s="32">
        <f t="shared" si="79"/>
        <v>2.59</v>
      </c>
      <c r="AL94" s="34">
        <f t="shared" si="110"/>
        <v>3.779119496855346E-2</v>
      </c>
      <c r="AM94" s="34">
        <f t="shared" si="111"/>
        <v>26.957549685534619</v>
      </c>
      <c r="AN94" s="55">
        <f t="shared" si="80"/>
        <v>150.22</v>
      </c>
      <c r="AO94" s="55">
        <f t="shared" si="112"/>
        <v>2553.7399999999993</v>
      </c>
      <c r="AP94" s="15">
        <f t="shared" si="81"/>
        <v>1.27</v>
      </c>
      <c r="AQ94" s="12">
        <f t="shared" si="113"/>
        <v>1.8530817610062898E-2</v>
      </c>
      <c r="AR94" s="12">
        <f t="shared" si="114"/>
        <v>125.78497610062904</v>
      </c>
      <c r="AS94" s="54">
        <f t="shared" si="82"/>
        <v>73.660000000000025</v>
      </c>
      <c r="AT94" s="54">
        <f t="shared" si="115"/>
        <v>1252.2200000000005</v>
      </c>
      <c r="AU94" s="15">
        <f t="shared" si="83"/>
        <v>1.4414913798468167</v>
      </c>
      <c r="AV94" s="34">
        <f t="shared" si="116"/>
        <v>2.1033081768834058E-2</v>
      </c>
      <c r="AW94" s="34">
        <f t="shared" si="117"/>
        <v>1.1162772762164044</v>
      </c>
      <c r="AX94" s="55">
        <f t="shared" si="84"/>
        <v>83.606500031115374</v>
      </c>
      <c r="AY94" s="55">
        <f t="shared" si="118"/>
        <v>103285.29782703982</v>
      </c>
      <c r="AZ94" s="15">
        <f t="shared" si="85"/>
        <v>0.35132655987788203</v>
      </c>
      <c r="BA94" s="10">
        <f t="shared" si="119"/>
        <v>5.1262743328093488E-3</v>
      </c>
      <c r="BB94" s="12">
        <f t="shared" si="120"/>
        <v>4.5642687906406598</v>
      </c>
      <c r="BC94" s="54">
        <f t="shared" si="86"/>
        <v>20.376940472917159</v>
      </c>
      <c r="BD94" s="54">
        <f t="shared" si="121"/>
        <v>1453.7815572033564</v>
      </c>
      <c r="BE94" s="15">
        <f t="shared" si="87"/>
        <v>3970.0648289253159</v>
      </c>
      <c r="BF94" s="13">
        <f t="shared" si="122"/>
        <v>57.92798995664613</v>
      </c>
      <c r="BG94" s="13">
        <f t="shared" si="123"/>
        <v>42249.093184027166</v>
      </c>
      <c r="BH94" s="54">
        <f t="shared" si="88"/>
        <v>230263.76007766835</v>
      </c>
      <c r="BI94" s="54">
        <f t="shared" si="124"/>
        <v>10080229.593492117</v>
      </c>
      <c r="BJ94" s="15">
        <f t="shared" si="89"/>
        <v>0.40600000000000003</v>
      </c>
      <c r="BK94" s="12">
        <f t="shared" si="125"/>
        <v>5.9240251572327055E-3</v>
      </c>
      <c r="BL94" s="12">
        <f t="shared" si="126"/>
        <v>15.899291572327039</v>
      </c>
      <c r="BM94" s="54">
        <f t="shared" si="90"/>
        <v>23.548000000000005</v>
      </c>
      <c r="BN94" s="65">
        <f t="shared" si="127"/>
        <v>400.31600000000003</v>
      </c>
      <c r="BO94" s="16">
        <f t="shared" si="91"/>
        <v>29.3</v>
      </c>
      <c r="BP94" s="18">
        <f t="shared" si="128"/>
        <v>0.42752201257861644</v>
      </c>
      <c r="BQ94" s="18">
        <f t="shared" si="129"/>
        <v>1673.7321257861618</v>
      </c>
      <c r="BR94" s="54">
        <f t="shared" si="92"/>
        <v>1699.4000000000003</v>
      </c>
      <c r="BS94" s="65">
        <f t="shared" si="130"/>
        <v>28889.80000000001</v>
      </c>
    </row>
    <row r="95" spans="2:71" ht="15.75" customHeight="1" x14ac:dyDescent="0.25">
      <c r="B95" s="1">
        <v>18</v>
      </c>
      <c r="C95" s="1">
        <f>Scenario_Info!O$10</f>
        <v>21</v>
      </c>
      <c r="D95" s="75">
        <f>Scenario_Info!O$14</f>
        <v>11.6</v>
      </c>
      <c r="E95" s="36">
        <f>Scenario_Info!O$18</f>
        <v>46400</v>
      </c>
      <c r="F95" s="38">
        <f>F94+Percolation!E95/$D$7</f>
        <v>0.26264150943396225</v>
      </c>
      <c r="G95" s="11">
        <f t="shared" si="66"/>
        <v>9.0999999999999998E-2</v>
      </c>
      <c r="H95" s="10">
        <f t="shared" si="93"/>
        <v>1.3277987421383625E-3</v>
      </c>
      <c r="I95" s="12">
        <f t="shared" si="67"/>
        <v>12.876099622641499</v>
      </c>
      <c r="J95" s="53">
        <f t="shared" si="68"/>
        <v>5.2779999999999916</v>
      </c>
      <c r="K95" s="69">
        <f t="shared" si="94"/>
        <v>95.004000000000005</v>
      </c>
      <c r="L95" s="11">
        <f t="shared" si="69"/>
        <v>4.5999999999999999E-2</v>
      </c>
      <c r="M95" s="10">
        <f t="shared" si="95"/>
        <v>6.7119496855345799E-4</v>
      </c>
      <c r="N95" s="12">
        <f t="shared" si="96"/>
        <v>799.98791849056693</v>
      </c>
      <c r="O95" s="53">
        <f t="shared" si="70"/>
        <v>2.6679999999999957</v>
      </c>
      <c r="P95" s="69">
        <f t="shared" si="97"/>
        <v>48.023999999999987</v>
      </c>
      <c r="Q95" s="15">
        <f t="shared" si="71"/>
        <v>5.8</v>
      </c>
      <c r="R95" s="12">
        <f t="shared" si="98"/>
        <v>8.4628930817609915E-2</v>
      </c>
      <c r="S95" s="12">
        <f t="shared" si="99"/>
        <v>499.47667924528344</v>
      </c>
      <c r="T95" s="54">
        <f t="shared" si="72"/>
        <v>336.39999999999941</v>
      </c>
      <c r="U95" s="65">
        <f t="shared" si="100"/>
        <v>6055.199999999998</v>
      </c>
      <c r="V95" s="15">
        <f t="shared" si="73"/>
        <v>36.968341349127144</v>
      </c>
      <c r="W95" s="12">
        <f t="shared" si="101"/>
        <v>0.53941227628914978</v>
      </c>
      <c r="X95" s="12">
        <f t="shared" si="102"/>
        <v>331.26532271922304</v>
      </c>
      <c r="Y95" s="54">
        <f t="shared" si="74"/>
        <v>2144.1637982493703</v>
      </c>
      <c r="Z95" s="65">
        <f t="shared" si="103"/>
        <v>571345.34219108825</v>
      </c>
      <c r="AA95" s="81">
        <f t="shared" si="75"/>
        <v>2.5000000000000001E-4</v>
      </c>
      <c r="AB95" s="394">
        <f t="shared" si="104"/>
        <v>3.6477987421383585E-6</v>
      </c>
      <c r="AC95" s="18">
        <f t="shared" si="105"/>
        <v>965.92493433962272</v>
      </c>
      <c r="AD95" s="390">
        <f t="shared" si="76"/>
        <v>1.4499999999999975E-2</v>
      </c>
      <c r="AE95" s="390">
        <f t="shared" si="106"/>
        <v>0.26100000000000007</v>
      </c>
      <c r="AF95" s="15">
        <f t="shared" si="77"/>
        <v>1.42</v>
      </c>
      <c r="AG95" s="12">
        <f t="shared" si="107"/>
        <v>2.0719496855345874E-2</v>
      </c>
      <c r="AH95" s="13">
        <f t="shared" si="108"/>
        <v>11213.627049056606</v>
      </c>
      <c r="AI95" s="54">
        <f t="shared" si="78"/>
        <v>82.359999999999857</v>
      </c>
      <c r="AJ95" s="54">
        <f t="shared" si="109"/>
        <v>1482.4799999999993</v>
      </c>
      <c r="AK95" s="32">
        <f t="shared" si="79"/>
        <v>2.59</v>
      </c>
      <c r="AL95" s="34">
        <f t="shared" si="110"/>
        <v>3.779119496855339E-2</v>
      </c>
      <c r="AM95" s="34">
        <f t="shared" si="111"/>
        <v>26.919758490566068</v>
      </c>
      <c r="AN95" s="55">
        <f t="shared" si="80"/>
        <v>150.21999999999971</v>
      </c>
      <c r="AO95" s="55">
        <f t="shared" si="112"/>
        <v>2703.9599999999991</v>
      </c>
      <c r="AP95" s="15">
        <f t="shared" si="81"/>
        <v>1.27</v>
      </c>
      <c r="AQ95" s="12">
        <f t="shared" si="113"/>
        <v>1.8530817610062859E-2</v>
      </c>
      <c r="AR95" s="12">
        <f t="shared" si="114"/>
        <v>125.76644528301898</v>
      </c>
      <c r="AS95" s="54">
        <f t="shared" si="82"/>
        <v>73.659999999999869</v>
      </c>
      <c r="AT95" s="54">
        <f t="shared" si="115"/>
        <v>1325.8800000000003</v>
      </c>
      <c r="AU95" s="15">
        <f t="shared" si="83"/>
        <v>1.4414913798468167</v>
      </c>
      <c r="AV95" s="34">
        <f t="shared" si="116"/>
        <v>2.1033081768834019E-2</v>
      </c>
      <c r="AW95" s="34">
        <f t="shared" si="117"/>
        <v>1.0952441944475704</v>
      </c>
      <c r="AX95" s="55">
        <f t="shared" si="84"/>
        <v>83.606500031115232</v>
      </c>
      <c r="AY95" s="55">
        <f t="shared" si="118"/>
        <v>103368.90432707094</v>
      </c>
      <c r="AZ95" s="15">
        <f t="shared" si="85"/>
        <v>0.35132655987788203</v>
      </c>
      <c r="BA95" s="10">
        <f t="shared" si="119"/>
        <v>5.1262743328093392E-3</v>
      </c>
      <c r="BB95" s="12">
        <f t="shared" si="120"/>
        <v>4.5591425163078503</v>
      </c>
      <c r="BC95" s="54">
        <f t="shared" si="86"/>
        <v>20.376940472917124</v>
      </c>
      <c r="BD95" s="54">
        <f t="shared" si="121"/>
        <v>1474.1584976762736</v>
      </c>
      <c r="BE95" s="15">
        <f t="shared" si="87"/>
        <v>3970.0648289253159</v>
      </c>
      <c r="BF95" s="13">
        <f t="shared" si="122"/>
        <v>57.927989956646016</v>
      </c>
      <c r="BG95" s="13">
        <f t="shared" si="123"/>
        <v>42191.16519407052</v>
      </c>
      <c r="BH95" s="54">
        <f t="shared" si="88"/>
        <v>230263.76007766792</v>
      </c>
      <c r="BI95" s="54">
        <f t="shared" si="124"/>
        <v>10310493.353569785</v>
      </c>
      <c r="BJ95" s="15">
        <f t="shared" si="89"/>
        <v>0.40600000000000003</v>
      </c>
      <c r="BK95" s="12">
        <f t="shared" si="125"/>
        <v>5.9240251572326942E-3</v>
      </c>
      <c r="BL95" s="12">
        <f t="shared" si="126"/>
        <v>15.893367547169806</v>
      </c>
      <c r="BM95" s="54">
        <f t="shared" si="90"/>
        <v>23.547999999999959</v>
      </c>
      <c r="BN95" s="65">
        <f t="shared" si="127"/>
        <v>423.86399999999998</v>
      </c>
      <c r="BO95" s="16">
        <f t="shared" si="91"/>
        <v>29.3</v>
      </c>
      <c r="BP95" s="18">
        <f t="shared" si="128"/>
        <v>0.42752201257861561</v>
      </c>
      <c r="BQ95" s="18">
        <f t="shared" si="129"/>
        <v>1673.304603773583</v>
      </c>
      <c r="BR95" s="54">
        <f t="shared" si="92"/>
        <v>1699.3999999999971</v>
      </c>
      <c r="BS95" s="65">
        <f t="shared" si="130"/>
        <v>30589.200000000008</v>
      </c>
    </row>
    <row r="96" spans="2:71" ht="15.75" customHeight="1" x14ac:dyDescent="0.25">
      <c r="B96" s="1">
        <v>19</v>
      </c>
      <c r="C96" s="1">
        <f>Scenario_Info!O$10</f>
        <v>21</v>
      </c>
      <c r="D96" s="75">
        <f>Scenario_Info!O$14</f>
        <v>11.6</v>
      </c>
      <c r="E96" s="36">
        <f>Scenario_Info!O$18</f>
        <v>46400</v>
      </c>
      <c r="F96" s="38">
        <f>F95+Percolation!E96/$D$7</f>
        <v>0.27723270440251568</v>
      </c>
      <c r="G96" s="11">
        <f t="shared" si="66"/>
        <v>9.0999999999999998E-2</v>
      </c>
      <c r="H96" s="10">
        <f t="shared" si="93"/>
        <v>1.3277987421383625E-3</v>
      </c>
      <c r="I96" s="12">
        <f t="shared" si="67"/>
        <v>12.87477182389936</v>
      </c>
      <c r="J96" s="53">
        <f t="shared" si="68"/>
        <v>5.2779999999999916</v>
      </c>
      <c r="K96" s="69">
        <f t="shared" si="94"/>
        <v>100.282</v>
      </c>
      <c r="L96" s="11">
        <f t="shared" si="69"/>
        <v>4.5999999999999999E-2</v>
      </c>
      <c r="M96" s="10">
        <f t="shared" si="95"/>
        <v>6.7119496855345799E-4</v>
      </c>
      <c r="N96" s="12">
        <f t="shared" si="96"/>
        <v>799.98724729559842</v>
      </c>
      <c r="O96" s="53">
        <f t="shared" si="70"/>
        <v>2.6679999999999957</v>
      </c>
      <c r="P96" s="69">
        <f t="shared" si="97"/>
        <v>50.691999999999979</v>
      </c>
      <c r="Q96" s="15">
        <f t="shared" si="71"/>
        <v>5.8</v>
      </c>
      <c r="R96" s="12">
        <f t="shared" si="98"/>
        <v>8.4628930817609915E-2</v>
      </c>
      <c r="S96" s="12">
        <f t="shared" si="99"/>
        <v>499.39205031446585</v>
      </c>
      <c r="T96" s="54">
        <f t="shared" si="72"/>
        <v>336.39999999999941</v>
      </c>
      <c r="U96" s="65">
        <f t="shared" si="100"/>
        <v>6391.5999999999976</v>
      </c>
      <c r="V96" s="15">
        <f t="shared" si="73"/>
        <v>36.968341349127144</v>
      </c>
      <c r="W96" s="12">
        <f t="shared" si="101"/>
        <v>0.53941227628914978</v>
      </c>
      <c r="X96" s="12">
        <f t="shared" si="102"/>
        <v>330.72591044293387</v>
      </c>
      <c r="Y96" s="54">
        <f t="shared" si="74"/>
        <v>2144.1637982493703</v>
      </c>
      <c r="Z96" s="65">
        <f t="shared" si="103"/>
        <v>573489.50598933757</v>
      </c>
      <c r="AA96" s="81">
        <f t="shared" si="75"/>
        <v>2.5000000000000001E-4</v>
      </c>
      <c r="AB96" s="394">
        <f t="shared" si="104"/>
        <v>3.6477987421383585E-6</v>
      </c>
      <c r="AC96" s="18">
        <f t="shared" si="105"/>
        <v>965.92493069182399</v>
      </c>
      <c r="AD96" s="390">
        <f t="shared" si="76"/>
        <v>1.4499999999999975E-2</v>
      </c>
      <c r="AE96" s="390">
        <f t="shared" si="106"/>
        <v>0.27550000000000002</v>
      </c>
      <c r="AF96" s="15">
        <f t="shared" si="77"/>
        <v>1.42</v>
      </c>
      <c r="AG96" s="12">
        <f t="shared" si="107"/>
        <v>2.0719496855345874E-2</v>
      </c>
      <c r="AH96" s="13">
        <f t="shared" si="108"/>
        <v>11213.606329559751</v>
      </c>
      <c r="AI96" s="54">
        <f t="shared" si="78"/>
        <v>82.359999999999857</v>
      </c>
      <c r="AJ96" s="54">
        <f t="shared" si="109"/>
        <v>1564.8399999999992</v>
      </c>
      <c r="AK96" s="32">
        <f t="shared" si="79"/>
        <v>2.59</v>
      </c>
      <c r="AL96" s="34">
        <f t="shared" si="110"/>
        <v>3.779119496855339E-2</v>
      </c>
      <c r="AM96" s="34">
        <f t="shared" si="111"/>
        <v>26.881967295597516</v>
      </c>
      <c r="AN96" s="55">
        <f t="shared" si="80"/>
        <v>150.21999999999971</v>
      </c>
      <c r="AO96" s="55">
        <f t="shared" si="112"/>
        <v>2854.1799999999989</v>
      </c>
      <c r="AP96" s="15">
        <f t="shared" si="81"/>
        <v>1.27</v>
      </c>
      <c r="AQ96" s="12">
        <f t="shared" si="113"/>
        <v>1.8530817610062859E-2</v>
      </c>
      <c r="AR96" s="12">
        <f t="shared" si="114"/>
        <v>125.74791446540893</v>
      </c>
      <c r="AS96" s="54">
        <f t="shared" si="82"/>
        <v>73.659999999999869</v>
      </c>
      <c r="AT96" s="54">
        <f t="shared" si="115"/>
        <v>1399.5400000000002</v>
      </c>
      <c r="AU96" s="15">
        <f t="shared" si="83"/>
        <v>1.4414913798468167</v>
      </c>
      <c r="AV96" s="34">
        <f t="shared" si="116"/>
        <v>2.1033081768834019E-2</v>
      </c>
      <c r="AW96" s="34">
        <f t="shared" si="117"/>
        <v>1.0742111126787364</v>
      </c>
      <c r="AX96" s="55">
        <f t="shared" si="84"/>
        <v>83.606500031115232</v>
      </c>
      <c r="AY96" s="55">
        <f t="shared" si="118"/>
        <v>103452.51082710206</v>
      </c>
      <c r="AZ96" s="15">
        <f t="shared" si="85"/>
        <v>0.35132655987788203</v>
      </c>
      <c r="BA96" s="10">
        <f t="shared" si="119"/>
        <v>5.1262743328093392E-3</v>
      </c>
      <c r="BB96" s="12">
        <f t="shared" si="120"/>
        <v>4.5540162419750407</v>
      </c>
      <c r="BC96" s="54">
        <f t="shared" si="86"/>
        <v>20.376940472917124</v>
      </c>
      <c r="BD96" s="54">
        <f t="shared" si="121"/>
        <v>1494.5354381491907</v>
      </c>
      <c r="BE96" s="15">
        <f t="shared" si="87"/>
        <v>3970.0648289253159</v>
      </c>
      <c r="BF96" s="13">
        <f t="shared" si="122"/>
        <v>57.927989956646016</v>
      </c>
      <c r="BG96" s="13">
        <f t="shared" si="123"/>
        <v>42133.237204113873</v>
      </c>
      <c r="BH96" s="54">
        <f t="shared" si="88"/>
        <v>230263.76007766792</v>
      </c>
      <c r="BI96" s="54">
        <f t="shared" si="124"/>
        <v>10540757.113647453</v>
      </c>
      <c r="BJ96" s="15">
        <f t="shared" si="89"/>
        <v>0.40600000000000003</v>
      </c>
      <c r="BK96" s="12">
        <f t="shared" si="125"/>
        <v>5.9240251572326942E-3</v>
      </c>
      <c r="BL96" s="12">
        <f t="shared" si="126"/>
        <v>15.887443522012573</v>
      </c>
      <c r="BM96" s="54">
        <f t="shared" si="90"/>
        <v>23.547999999999959</v>
      </c>
      <c r="BN96" s="65">
        <f t="shared" si="127"/>
        <v>447.41199999999992</v>
      </c>
      <c r="BO96" s="16">
        <f t="shared" si="91"/>
        <v>29.3</v>
      </c>
      <c r="BP96" s="18">
        <f t="shared" si="128"/>
        <v>0.42752201257861561</v>
      </c>
      <c r="BQ96" s="18">
        <f t="shared" si="129"/>
        <v>1672.8770817610043</v>
      </c>
      <c r="BR96" s="54">
        <f t="shared" si="92"/>
        <v>1699.3999999999971</v>
      </c>
      <c r="BS96" s="65">
        <f t="shared" si="130"/>
        <v>32288.600000000006</v>
      </c>
    </row>
    <row r="97" spans="2:73" ht="15.75" customHeight="1" x14ac:dyDescent="0.25">
      <c r="B97" s="1">
        <v>20</v>
      </c>
      <c r="C97" s="1">
        <f>Scenario_Info!O$10</f>
        <v>21</v>
      </c>
      <c r="D97" s="75">
        <f>Scenario_Info!O$14</f>
        <v>11.6</v>
      </c>
      <c r="E97" s="36">
        <f>Scenario_Info!O$18</f>
        <v>46400</v>
      </c>
      <c r="F97" s="38">
        <f>F96+Percolation!E97/$D$7</f>
        <v>0.29182389937106912</v>
      </c>
      <c r="G97" s="11">
        <f t="shared" si="66"/>
        <v>9.0999999999999998E-2</v>
      </c>
      <c r="H97" s="10">
        <f t="shared" si="93"/>
        <v>1.3277987421383625E-3</v>
      </c>
      <c r="I97" s="12">
        <f t="shared" si="67"/>
        <v>12.873444025157221</v>
      </c>
      <c r="J97" s="53">
        <f t="shared" si="68"/>
        <v>5.2779999999999916</v>
      </c>
      <c r="K97" s="69">
        <f t="shared" si="94"/>
        <v>105.55999999999999</v>
      </c>
      <c r="L97" s="11">
        <f t="shared" si="69"/>
        <v>4.5999999999999999E-2</v>
      </c>
      <c r="M97" s="10">
        <f t="shared" si="95"/>
        <v>6.7119496855345799E-4</v>
      </c>
      <c r="N97" s="12">
        <f t="shared" si="96"/>
        <v>799.98657610062992</v>
      </c>
      <c r="O97" s="53">
        <f t="shared" si="70"/>
        <v>2.6679999999999957</v>
      </c>
      <c r="P97" s="69">
        <f t="shared" si="97"/>
        <v>53.359999999999971</v>
      </c>
      <c r="Q97" s="15">
        <f t="shared" si="71"/>
        <v>5.8</v>
      </c>
      <c r="R97" s="12">
        <f t="shared" si="98"/>
        <v>8.4628930817609915E-2</v>
      </c>
      <c r="S97" s="12">
        <f t="shared" si="99"/>
        <v>499.30742138364826</v>
      </c>
      <c r="T97" s="54">
        <f t="shared" si="72"/>
        <v>336.39999999999941</v>
      </c>
      <c r="U97" s="65">
        <f t="shared" si="100"/>
        <v>6727.9999999999973</v>
      </c>
      <c r="V97" s="15">
        <f t="shared" si="73"/>
        <v>36.968341349127144</v>
      </c>
      <c r="W97" s="12">
        <f t="shared" si="101"/>
        <v>0.53941227628914978</v>
      </c>
      <c r="X97" s="12">
        <f t="shared" si="102"/>
        <v>330.1864981666447</v>
      </c>
      <c r="Y97" s="54">
        <f t="shared" si="74"/>
        <v>2144.1637982493703</v>
      </c>
      <c r="Z97" s="65">
        <f t="shared" si="103"/>
        <v>575633.6697875869</v>
      </c>
      <c r="AA97" s="81">
        <f t="shared" si="75"/>
        <v>2.5000000000000001E-4</v>
      </c>
      <c r="AB97" s="394">
        <f t="shared" si="104"/>
        <v>3.6477987421383585E-6</v>
      </c>
      <c r="AC97" s="18">
        <f t="shared" si="105"/>
        <v>965.92492704402525</v>
      </c>
      <c r="AD97" s="390">
        <f t="shared" si="76"/>
        <v>1.4499999999999975E-2</v>
      </c>
      <c r="AE97" s="390">
        <f t="shared" si="106"/>
        <v>0.28999999999999998</v>
      </c>
      <c r="AF97" s="15">
        <f t="shared" si="77"/>
        <v>1.42</v>
      </c>
      <c r="AG97" s="12">
        <f t="shared" si="107"/>
        <v>2.0719496855345874E-2</v>
      </c>
      <c r="AH97" s="13">
        <f t="shared" si="108"/>
        <v>11213.585610062895</v>
      </c>
      <c r="AI97" s="54">
        <f t="shared" si="78"/>
        <v>82.359999999999857</v>
      </c>
      <c r="AJ97" s="54">
        <f t="shared" si="109"/>
        <v>1647.1999999999991</v>
      </c>
      <c r="AK97" s="32">
        <f t="shared" si="79"/>
        <v>2.59</v>
      </c>
      <c r="AL97" s="34">
        <f t="shared" si="110"/>
        <v>3.779119496855339E-2</v>
      </c>
      <c r="AM97" s="34">
        <f t="shared" si="111"/>
        <v>26.844176100628964</v>
      </c>
      <c r="AN97" s="55">
        <f t="shared" si="80"/>
        <v>150.21999999999971</v>
      </c>
      <c r="AO97" s="55">
        <f t="shared" si="112"/>
        <v>3004.3999999999987</v>
      </c>
      <c r="AP97" s="15">
        <f t="shared" si="81"/>
        <v>1.27</v>
      </c>
      <c r="AQ97" s="12">
        <f t="shared" si="113"/>
        <v>1.8530817610062859E-2</v>
      </c>
      <c r="AR97" s="12">
        <f t="shared" si="114"/>
        <v>125.72938364779887</v>
      </c>
      <c r="AS97" s="54">
        <f t="shared" si="82"/>
        <v>73.659999999999869</v>
      </c>
      <c r="AT97" s="54">
        <f t="shared" si="115"/>
        <v>1473.2</v>
      </c>
      <c r="AU97" s="15">
        <f t="shared" si="83"/>
        <v>1.4414913798468167</v>
      </c>
      <c r="AV97" s="34">
        <f t="shared" si="116"/>
        <v>2.1033081768834019E-2</v>
      </c>
      <c r="AW97" s="34">
        <f t="shared" si="117"/>
        <v>1.0531780309099024</v>
      </c>
      <c r="AX97" s="55">
        <f t="shared" si="84"/>
        <v>83.606500031115232</v>
      </c>
      <c r="AY97" s="55">
        <f t="shared" si="118"/>
        <v>103536.11732713318</v>
      </c>
      <c r="AZ97" s="15">
        <f t="shared" si="85"/>
        <v>0.35132655987788203</v>
      </c>
      <c r="BA97" s="10">
        <f t="shared" si="119"/>
        <v>5.1262743328093392E-3</v>
      </c>
      <c r="BB97" s="12">
        <f t="shared" si="120"/>
        <v>4.5488899676422312</v>
      </c>
      <c r="BC97" s="54">
        <f t="shared" si="86"/>
        <v>20.376940472917124</v>
      </c>
      <c r="BD97" s="54">
        <f t="shared" si="121"/>
        <v>1514.9123786221078</v>
      </c>
      <c r="BE97" s="15">
        <f t="shared" si="87"/>
        <v>3970.0648289253159</v>
      </c>
      <c r="BF97" s="13">
        <f t="shared" si="122"/>
        <v>57.927989956646016</v>
      </c>
      <c r="BG97" s="13">
        <f t="shared" si="123"/>
        <v>42075.309214157227</v>
      </c>
      <c r="BH97" s="54">
        <f t="shared" si="88"/>
        <v>230263.76007766792</v>
      </c>
      <c r="BI97" s="54">
        <f t="shared" si="124"/>
        <v>10771020.873725122</v>
      </c>
      <c r="BJ97" s="15">
        <f t="shared" si="89"/>
        <v>0.40600000000000003</v>
      </c>
      <c r="BK97" s="12">
        <f t="shared" si="125"/>
        <v>5.9240251572326942E-3</v>
      </c>
      <c r="BL97" s="12">
        <f t="shared" si="126"/>
        <v>15.88151949685534</v>
      </c>
      <c r="BM97" s="54">
        <f t="shared" si="90"/>
        <v>23.547999999999959</v>
      </c>
      <c r="BN97" s="65">
        <f t="shared" si="127"/>
        <v>470.95999999999987</v>
      </c>
      <c r="BO97" s="16">
        <f t="shared" si="91"/>
        <v>29.3</v>
      </c>
      <c r="BP97" s="18">
        <f t="shared" si="128"/>
        <v>0.42752201257861561</v>
      </c>
      <c r="BQ97" s="18">
        <f t="shared" si="129"/>
        <v>1672.4495597484256</v>
      </c>
      <c r="BR97" s="54">
        <f t="shared" si="92"/>
        <v>1699.3999999999971</v>
      </c>
      <c r="BS97" s="65">
        <f t="shared" si="130"/>
        <v>33988</v>
      </c>
    </row>
    <row r="98" spans="2:73" ht="15.75" customHeight="1" x14ac:dyDescent="0.25">
      <c r="B98" s="1">
        <v>21</v>
      </c>
      <c r="C98" s="1">
        <f>Scenario_Info!O$10</f>
        <v>21</v>
      </c>
      <c r="D98" s="75">
        <f>Scenario_Info!O$14</f>
        <v>11.6</v>
      </c>
      <c r="E98" s="36">
        <f>Scenario_Info!O$18</f>
        <v>46400</v>
      </c>
      <c r="F98" s="38">
        <f>F97+Percolation!E98/$D$7</f>
        <v>0.30641509433962255</v>
      </c>
      <c r="G98" s="11">
        <f t="shared" si="66"/>
        <v>9.0999999999999998E-2</v>
      </c>
      <c r="H98" s="10">
        <f t="shared" si="93"/>
        <v>1.3277987421383625E-3</v>
      </c>
      <c r="I98" s="12">
        <f t="shared" si="67"/>
        <v>12.872116226415082</v>
      </c>
      <c r="J98" s="53">
        <f t="shared" si="68"/>
        <v>5.2779999999999916</v>
      </c>
      <c r="K98" s="69">
        <f t="shared" si="94"/>
        <v>110.83799999999998</v>
      </c>
      <c r="L98" s="11">
        <f t="shared" si="69"/>
        <v>4.5999999999999999E-2</v>
      </c>
      <c r="M98" s="10">
        <f t="shared" si="95"/>
        <v>6.7119496855345799E-4</v>
      </c>
      <c r="N98" s="12">
        <f t="shared" si="96"/>
        <v>799.98590490566141</v>
      </c>
      <c r="O98" s="53">
        <f t="shared" si="70"/>
        <v>2.6679999999999957</v>
      </c>
      <c r="P98" s="69">
        <f t="shared" si="97"/>
        <v>56.027999999999963</v>
      </c>
      <c r="Q98" s="15">
        <f t="shared" si="71"/>
        <v>5.8</v>
      </c>
      <c r="R98" s="12">
        <f t="shared" si="98"/>
        <v>8.4628930817609915E-2</v>
      </c>
      <c r="S98" s="12">
        <f t="shared" si="99"/>
        <v>499.22279245283067</v>
      </c>
      <c r="T98" s="54">
        <f t="shared" si="72"/>
        <v>336.39999999999941</v>
      </c>
      <c r="U98" s="65">
        <f t="shared" si="100"/>
        <v>7064.3999999999969</v>
      </c>
      <c r="V98" s="15">
        <f t="shared" si="73"/>
        <v>36.968341349127144</v>
      </c>
      <c r="W98" s="12">
        <f t="shared" si="101"/>
        <v>0.53941227628914978</v>
      </c>
      <c r="X98" s="12">
        <f t="shared" si="102"/>
        <v>329.64708589035553</v>
      </c>
      <c r="Y98" s="54">
        <f t="shared" si="74"/>
        <v>2144.1637982493703</v>
      </c>
      <c r="Z98" s="65">
        <f t="shared" si="103"/>
        <v>577777.83358583623</v>
      </c>
      <c r="AA98" s="81">
        <f t="shared" si="75"/>
        <v>2.5000000000000001E-4</v>
      </c>
      <c r="AB98" s="394">
        <f t="shared" si="104"/>
        <v>3.6477987421383585E-6</v>
      </c>
      <c r="AC98" s="18">
        <f t="shared" si="105"/>
        <v>965.92492339622652</v>
      </c>
      <c r="AD98" s="390">
        <f t="shared" si="76"/>
        <v>1.4499999999999975E-2</v>
      </c>
      <c r="AE98" s="390">
        <f t="shared" si="106"/>
        <v>0.30449999999999994</v>
      </c>
      <c r="AF98" s="15">
        <f t="shared" si="77"/>
        <v>1.42</v>
      </c>
      <c r="AG98" s="12">
        <f t="shared" si="107"/>
        <v>2.0719496855345874E-2</v>
      </c>
      <c r="AH98" s="13">
        <f t="shared" si="108"/>
        <v>11213.56489056604</v>
      </c>
      <c r="AI98" s="54">
        <f t="shared" si="78"/>
        <v>82.359999999999857</v>
      </c>
      <c r="AJ98" s="54">
        <f t="shared" si="109"/>
        <v>1729.559999999999</v>
      </c>
      <c r="AK98" s="32">
        <f t="shared" si="79"/>
        <v>2.59</v>
      </c>
      <c r="AL98" s="34">
        <f t="shared" si="110"/>
        <v>3.779119496855339E-2</v>
      </c>
      <c r="AM98" s="34">
        <f t="shared" si="111"/>
        <v>26.806384905660412</v>
      </c>
      <c r="AN98" s="55">
        <f t="shared" si="80"/>
        <v>150.21999999999971</v>
      </c>
      <c r="AO98" s="55">
        <f t="shared" si="112"/>
        <v>3154.6199999999985</v>
      </c>
      <c r="AP98" s="15">
        <f t="shared" si="81"/>
        <v>1.27</v>
      </c>
      <c r="AQ98" s="12">
        <f t="shared" si="113"/>
        <v>1.8530817610062859E-2</v>
      </c>
      <c r="AR98" s="12">
        <f t="shared" si="114"/>
        <v>125.71085283018881</v>
      </c>
      <c r="AS98" s="54">
        <f t="shared" si="82"/>
        <v>73.659999999999869</v>
      </c>
      <c r="AT98" s="54">
        <f t="shared" si="115"/>
        <v>1546.86</v>
      </c>
      <c r="AU98" s="15">
        <f t="shared" si="83"/>
        <v>1.4414913798468167</v>
      </c>
      <c r="AV98" s="34">
        <f t="shared" si="116"/>
        <v>2.1033081768834019E-2</v>
      </c>
      <c r="AW98" s="34">
        <f t="shared" si="117"/>
        <v>1.0321449491410684</v>
      </c>
      <c r="AX98" s="55">
        <f t="shared" si="84"/>
        <v>83.606500031115232</v>
      </c>
      <c r="AY98" s="55">
        <f t="shared" si="118"/>
        <v>103619.7238271643</v>
      </c>
      <c r="AZ98" s="15">
        <f t="shared" si="85"/>
        <v>0.35132655987788203</v>
      </c>
      <c r="BA98" s="10">
        <f t="shared" si="119"/>
        <v>5.1262743328093392E-3</v>
      </c>
      <c r="BB98" s="12">
        <f t="shared" si="120"/>
        <v>4.5437636933094216</v>
      </c>
      <c r="BC98" s="54">
        <f t="shared" si="86"/>
        <v>20.376940472917124</v>
      </c>
      <c r="BD98" s="54">
        <f t="shared" si="121"/>
        <v>1535.2893190950249</v>
      </c>
      <c r="BE98" s="15">
        <f t="shared" si="87"/>
        <v>3970.0648289253159</v>
      </c>
      <c r="BF98" s="13">
        <f t="shared" si="122"/>
        <v>57.927989956646016</v>
      </c>
      <c r="BG98" s="13">
        <f t="shared" si="123"/>
        <v>42017.381224200581</v>
      </c>
      <c r="BH98" s="54">
        <f t="shared" si="88"/>
        <v>230263.76007766792</v>
      </c>
      <c r="BI98" s="54">
        <f t="shared" si="124"/>
        <v>11001284.63380279</v>
      </c>
      <c r="BJ98" s="15">
        <f t="shared" si="89"/>
        <v>0.40600000000000003</v>
      </c>
      <c r="BK98" s="12">
        <f t="shared" si="125"/>
        <v>5.9240251572326942E-3</v>
      </c>
      <c r="BL98" s="12">
        <f t="shared" si="126"/>
        <v>15.875595471698107</v>
      </c>
      <c r="BM98" s="54">
        <f t="shared" si="90"/>
        <v>23.547999999999959</v>
      </c>
      <c r="BN98" s="65">
        <f t="shared" si="127"/>
        <v>494.50799999999981</v>
      </c>
      <c r="BO98" s="16">
        <f t="shared" si="91"/>
        <v>29.3</v>
      </c>
      <c r="BP98" s="18">
        <f t="shared" si="128"/>
        <v>0.42752201257861561</v>
      </c>
      <c r="BQ98" s="18">
        <f t="shared" si="129"/>
        <v>1672.0220377358469</v>
      </c>
      <c r="BR98" s="54">
        <f t="shared" si="92"/>
        <v>1699.3999999999971</v>
      </c>
      <c r="BS98" s="65">
        <f t="shared" si="130"/>
        <v>35687.399999999994</v>
      </c>
    </row>
    <row r="99" spans="2:73" ht="15.75" customHeight="1" x14ac:dyDescent="0.25">
      <c r="B99" s="1">
        <v>22</v>
      </c>
      <c r="C99" s="1">
        <f>Scenario_Info!O$10</f>
        <v>21</v>
      </c>
      <c r="D99" s="75">
        <f>Scenario_Info!O$14</f>
        <v>11.6</v>
      </c>
      <c r="E99" s="36">
        <f>Scenario_Info!O$18</f>
        <v>46400</v>
      </c>
      <c r="F99" s="38">
        <f>F98+Percolation!E99/$D$7</f>
        <v>0.32100628930817598</v>
      </c>
      <c r="G99" s="11">
        <f t="shared" si="66"/>
        <v>9.0999999999999998E-2</v>
      </c>
      <c r="H99" s="10">
        <f t="shared" si="93"/>
        <v>1.3277987421383625E-3</v>
      </c>
      <c r="I99" s="12">
        <f t="shared" si="67"/>
        <v>12.870788427672943</v>
      </c>
      <c r="J99" s="53">
        <f t="shared" si="68"/>
        <v>5.2779999999999916</v>
      </c>
      <c r="K99" s="69">
        <f t="shared" si="94"/>
        <v>116.11599999999997</v>
      </c>
      <c r="L99" s="11">
        <f t="shared" si="69"/>
        <v>4.5999999999999999E-2</v>
      </c>
      <c r="M99" s="10">
        <f t="shared" si="95"/>
        <v>6.7119496855345799E-4</v>
      </c>
      <c r="N99" s="12">
        <f t="shared" si="96"/>
        <v>799.98523371069291</v>
      </c>
      <c r="O99" s="53">
        <f t="shared" si="70"/>
        <v>2.6679999999999957</v>
      </c>
      <c r="P99" s="69">
        <f t="shared" si="97"/>
        <v>58.695999999999955</v>
      </c>
      <c r="Q99" s="15">
        <f t="shared" si="71"/>
        <v>5.8</v>
      </c>
      <c r="R99" s="12">
        <f t="shared" si="98"/>
        <v>8.4628930817609915E-2</v>
      </c>
      <c r="S99" s="12">
        <f t="shared" si="99"/>
        <v>499.13816352201309</v>
      </c>
      <c r="T99" s="54">
        <f t="shared" si="72"/>
        <v>336.39999999999941</v>
      </c>
      <c r="U99" s="65">
        <f t="shared" si="100"/>
        <v>7400.7999999999965</v>
      </c>
      <c r="V99" s="15">
        <f t="shared" si="73"/>
        <v>36.968341349127144</v>
      </c>
      <c r="W99" s="12">
        <f t="shared" si="101"/>
        <v>0.53941227628914978</v>
      </c>
      <c r="X99" s="12">
        <f t="shared" si="102"/>
        <v>329.10767361406636</v>
      </c>
      <c r="Y99" s="54">
        <f t="shared" si="74"/>
        <v>2144.1637982493703</v>
      </c>
      <c r="Z99" s="65">
        <f t="shared" si="103"/>
        <v>579921.99738408555</v>
      </c>
      <c r="AA99" s="81">
        <f t="shared" si="75"/>
        <v>2.5000000000000001E-4</v>
      </c>
      <c r="AB99" s="394">
        <f t="shared" si="104"/>
        <v>3.6477987421383585E-6</v>
      </c>
      <c r="AC99" s="18">
        <f t="shared" si="105"/>
        <v>965.92491974842778</v>
      </c>
      <c r="AD99" s="390">
        <f t="shared" si="76"/>
        <v>1.4499999999999975E-2</v>
      </c>
      <c r="AE99" s="390">
        <f t="shared" si="106"/>
        <v>0.31899999999999989</v>
      </c>
      <c r="AF99" s="15">
        <f t="shared" si="77"/>
        <v>1.42</v>
      </c>
      <c r="AG99" s="12">
        <f t="shared" si="107"/>
        <v>2.0719496855345874E-2</v>
      </c>
      <c r="AH99" s="13">
        <f t="shared" si="108"/>
        <v>11213.544171069185</v>
      </c>
      <c r="AI99" s="54">
        <f t="shared" si="78"/>
        <v>82.359999999999857</v>
      </c>
      <c r="AJ99" s="54">
        <f t="shared" si="109"/>
        <v>1811.9199999999989</v>
      </c>
      <c r="AK99" s="32">
        <f t="shared" si="79"/>
        <v>2.59</v>
      </c>
      <c r="AL99" s="34">
        <f t="shared" si="110"/>
        <v>3.779119496855339E-2</v>
      </c>
      <c r="AM99" s="34">
        <f t="shared" si="111"/>
        <v>26.76859371069186</v>
      </c>
      <c r="AN99" s="55">
        <f t="shared" si="80"/>
        <v>150.21999999999971</v>
      </c>
      <c r="AO99" s="55">
        <f t="shared" si="112"/>
        <v>3304.8399999999983</v>
      </c>
      <c r="AP99" s="15">
        <f t="shared" si="81"/>
        <v>1.27</v>
      </c>
      <c r="AQ99" s="12">
        <f t="shared" si="113"/>
        <v>1.8530817610062859E-2</v>
      </c>
      <c r="AR99" s="12">
        <f t="shared" si="114"/>
        <v>125.69232201257876</v>
      </c>
      <c r="AS99" s="54">
        <f t="shared" si="82"/>
        <v>73.659999999999869</v>
      </c>
      <c r="AT99" s="54">
        <f t="shared" si="115"/>
        <v>1620.5199999999998</v>
      </c>
      <c r="AU99" s="15">
        <f t="shared" si="83"/>
        <v>1.4414913798468167</v>
      </c>
      <c r="AV99" s="34">
        <f t="shared" si="116"/>
        <v>2.1033081768834019E-2</v>
      </c>
      <c r="AW99" s="34">
        <f t="shared" si="117"/>
        <v>1.0111118673722344</v>
      </c>
      <c r="AX99" s="55">
        <f t="shared" si="84"/>
        <v>83.606500031115232</v>
      </c>
      <c r="AY99" s="55">
        <f t="shared" si="118"/>
        <v>103703.33032719542</v>
      </c>
      <c r="AZ99" s="15">
        <f t="shared" si="85"/>
        <v>0.35132655987788203</v>
      </c>
      <c r="BA99" s="10">
        <f t="shared" si="119"/>
        <v>5.1262743328093392E-3</v>
      </c>
      <c r="BB99" s="12">
        <f t="shared" si="120"/>
        <v>4.5386374189766121</v>
      </c>
      <c r="BC99" s="54">
        <f t="shared" si="86"/>
        <v>20.376940472917124</v>
      </c>
      <c r="BD99" s="54">
        <f t="shared" si="121"/>
        <v>1555.666259567942</v>
      </c>
      <c r="BE99" s="15">
        <f t="shared" si="87"/>
        <v>3970.0648289253159</v>
      </c>
      <c r="BF99" s="13">
        <f t="shared" si="122"/>
        <v>57.927989956646016</v>
      </c>
      <c r="BG99" s="13">
        <f t="shared" si="123"/>
        <v>41959.453234243934</v>
      </c>
      <c r="BH99" s="54">
        <f t="shared" si="88"/>
        <v>230263.76007766792</v>
      </c>
      <c r="BI99" s="54">
        <f t="shared" si="124"/>
        <v>11231548.393880459</v>
      </c>
      <c r="BJ99" s="15">
        <f t="shared" si="89"/>
        <v>0.40600000000000003</v>
      </c>
      <c r="BK99" s="12">
        <f t="shared" si="125"/>
        <v>5.9240251572326942E-3</v>
      </c>
      <c r="BL99" s="12">
        <f t="shared" si="126"/>
        <v>15.869671446540874</v>
      </c>
      <c r="BM99" s="54">
        <f t="shared" si="90"/>
        <v>23.547999999999959</v>
      </c>
      <c r="BN99" s="65">
        <f t="shared" si="127"/>
        <v>518.05599999999981</v>
      </c>
      <c r="BO99" s="16">
        <f t="shared" si="91"/>
        <v>29.3</v>
      </c>
      <c r="BP99" s="18">
        <f t="shared" si="128"/>
        <v>0.42752201257861561</v>
      </c>
      <c r="BQ99" s="18">
        <f t="shared" si="129"/>
        <v>1671.5945157232682</v>
      </c>
      <c r="BR99" s="54">
        <f t="shared" si="92"/>
        <v>1699.3999999999971</v>
      </c>
      <c r="BS99" s="65">
        <f t="shared" si="130"/>
        <v>37386.799999999988</v>
      </c>
    </row>
    <row r="100" spans="2:73" ht="15.75" customHeight="1" x14ac:dyDescent="0.25">
      <c r="B100" s="1">
        <v>23</v>
      </c>
      <c r="C100" s="1">
        <f>Scenario_Info!O$10</f>
        <v>21</v>
      </c>
      <c r="D100" s="75">
        <f>Scenario_Info!O$14</f>
        <v>11.6</v>
      </c>
      <c r="E100" s="36">
        <f>Scenario_Info!O$18</f>
        <v>46400</v>
      </c>
      <c r="F100" s="38">
        <f>F99+Percolation!E100/$D$7</f>
        <v>0.33559748427672942</v>
      </c>
      <c r="G100" s="11">
        <f t="shared" si="66"/>
        <v>9.0999999999999998E-2</v>
      </c>
      <c r="H100" s="10">
        <f t="shared" si="93"/>
        <v>1.3277987421383625E-3</v>
      </c>
      <c r="I100" s="12">
        <f t="shared" si="67"/>
        <v>12.869460628930804</v>
      </c>
      <c r="J100" s="53">
        <f t="shared" si="68"/>
        <v>5.2779999999999916</v>
      </c>
      <c r="K100" s="69">
        <f t="shared" si="94"/>
        <v>121.39399999999996</v>
      </c>
      <c r="L100" s="11">
        <f t="shared" si="69"/>
        <v>4.5999999999999999E-2</v>
      </c>
      <c r="M100" s="10">
        <f t="shared" si="95"/>
        <v>6.7119496855345799E-4</v>
      </c>
      <c r="N100" s="12">
        <f t="shared" si="96"/>
        <v>799.98456251572441</v>
      </c>
      <c r="O100" s="53">
        <f t="shared" si="70"/>
        <v>2.6679999999999957</v>
      </c>
      <c r="P100" s="69">
        <f t="shared" si="97"/>
        <v>61.363999999999947</v>
      </c>
      <c r="Q100" s="15">
        <f t="shared" si="71"/>
        <v>5.8</v>
      </c>
      <c r="R100" s="12">
        <f t="shared" si="98"/>
        <v>8.4628930817609915E-2</v>
      </c>
      <c r="S100" s="12">
        <f t="shared" si="99"/>
        <v>499.0535345911955</v>
      </c>
      <c r="T100" s="54">
        <f t="shared" si="72"/>
        <v>336.39999999999941</v>
      </c>
      <c r="U100" s="65">
        <f t="shared" si="100"/>
        <v>7737.1999999999962</v>
      </c>
      <c r="V100" s="15">
        <f t="shared" si="73"/>
        <v>36.968341349127144</v>
      </c>
      <c r="W100" s="12">
        <f t="shared" si="101"/>
        <v>0.53941227628914978</v>
      </c>
      <c r="X100" s="12">
        <f t="shared" si="102"/>
        <v>328.56826133777719</v>
      </c>
      <c r="Y100" s="54">
        <f t="shared" si="74"/>
        <v>2144.1637982493703</v>
      </c>
      <c r="Z100" s="65">
        <f t="shared" si="103"/>
        <v>582066.16118233488</v>
      </c>
      <c r="AA100" s="81">
        <f t="shared" si="75"/>
        <v>2.5000000000000001E-4</v>
      </c>
      <c r="AB100" s="394">
        <f t="shared" si="104"/>
        <v>3.6477987421383585E-6</v>
      </c>
      <c r="AC100" s="18">
        <f t="shared" si="105"/>
        <v>965.92491610062905</v>
      </c>
      <c r="AD100" s="390">
        <f t="shared" si="76"/>
        <v>1.4499999999999975E-2</v>
      </c>
      <c r="AE100" s="390">
        <f t="shared" si="106"/>
        <v>0.33349999999999985</v>
      </c>
      <c r="AF100" s="15">
        <f t="shared" si="77"/>
        <v>1.42</v>
      </c>
      <c r="AG100" s="12">
        <f t="shared" si="107"/>
        <v>2.0719496855345874E-2</v>
      </c>
      <c r="AH100" s="13">
        <f t="shared" si="108"/>
        <v>11213.52345157233</v>
      </c>
      <c r="AI100" s="54">
        <f t="shared" si="78"/>
        <v>82.359999999999857</v>
      </c>
      <c r="AJ100" s="54">
        <f t="shared" si="109"/>
        <v>1894.2799999999988</v>
      </c>
      <c r="AK100" s="32">
        <f t="shared" si="79"/>
        <v>2.59</v>
      </c>
      <c r="AL100" s="34">
        <f t="shared" si="110"/>
        <v>3.779119496855339E-2</v>
      </c>
      <c r="AM100" s="34">
        <f t="shared" si="111"/>
        <v>26.730802515723308</v>
      </c>
      <c r="AN100" s="55">
        <f t="shared" si="80"/>
        <v>150.21999999999971</v>
      </c>
      <c r="AO100" s="55">
        <f t="shared" si="112"/>
        <v>3455.0599999999981</v>
      </c>
      <c r="AP100" s="15">
        <f t="shared" si="81"/>
        <v>1.27</v>
      </c>
      <c r="AQ100" s="12">
        <f t="shared" si="113"/>
        <v>1.8530817610062859E-2</v>
      </c>
      <c r="AR100" s="12">
        <f t="shared" si="114"/>
        <v>125.6737911949687</v>
      </c>
      <c r="AS100" s="54">
        <f t="shared" si="82"/>
        <v>73.659999999999869</v>
      </c>
      <c r="AT100" s="54">
        <f t="shared" si="115"/>
        <v>1694.1799999999996</v>
      </c>
      <c r="AU100" s="15">
        <f t="shared" si="83"/>
        <v>1.4414913798468167</v>
      </c>
      <c r="AV100" s="34">
        <f t="shared" si="116"/>
        <v>2.1033081768834019E-2</v>
      </c>
      <c r="AW100" s="34">
        <f t="shared" si="117"/>
        <v>0.99007878560340035</v>
      </c>
      <c r="AX100" s="55">
        <f t="shared" si="84"/>
        <v>83.606500031115232</v>
      </c>
      <c r="AY100" s="55">
        <f t="shared" si="118"/>
        <v>103786.93682722654</v>
      </c>
      <c r="AZ100" s="15">
        <f t="shared" si="85"/>
        <v>0.35132655987788203</v>
      </c>
      <c r="BA100" s="10">
        <f t="shared" si="119"/>
        <v>5.1262743328093392E-3</v>
      </c>
      <c r="BB100" s="12">
        <f t="shared" si="120"/>
        <v>4.5335111446438026</v>
      </c>
      <c r="BC100" s="54">
        <f t="shared" si="86"/>
        <v>20.376940472917124</v>
      </c>
      <c r="BD100" s="54">
        <f t="shared" si="121"/>
        <v>1576.0432000408591</v>
      </c>
      <c r="BE100" s="15">
        <f t="shared" si="87"/>
        <v>3970.0648289253159</v>
      </c>
      <c r="BF100" s="13">
        <f t="shared" si="122"/>
        <v>57.927989956646016</v>
      </c>
      <c r="BG100" s="13">
        <f t="shared" si="123"/>
        <v>41901.525244287288</v>
      </c>
      <c r="BH100" s="54">
        <f t="shared" si="88"/>
        <v>230263.76007766792</v>
      </c>
      <c r="BI100" s="54">
        <f t="shared" si="124"/>
        <v>11461812.153958127</v>
      </c>
      <c r="BJ100" s="15">
        <f t="shared" si="89"/>
        <v>0.40600000000000003</v>
      </c>
      <c r="BK100" s="12">
        <f t="shared" si="125"/>
        <v>5.9240251572326942E-3</v>
      </c>
      <c r="BL100" s="12">
        <f t="shared" si="126"/>
        <v>15.863747421383641</v>
      </c>
      <c r="BM100" s="54">
        <f t="shared" si="90"/>
        <v>23.547999999999959</v>
      </c>
      <c r="BN100" s="65">
        <f t="shared" si="127"/>
        <v>541.60399999999981</v>
      </c>
      <c r="BO100" s="16">
        <f t="shared" si="91"/>
        <v>29.3</v>
      </c>
      <c r="BP100" s="18">
        <f t="shared" si="128"/>
        <v>0.42752201257861561</v>
      </c>
      <c r="BQ100" s="18">
        <f t="shared" si="129"/>
        <v>1671.1669937106894</v>
      </c>
      <c r="BR100" s="54">
        <f t="shared" si="92"/>
        <v>1699.3999999999971</v>
      </c>
      <c r="BS100" s="65">
        <f t="shared" si="130"/>
        <v>39086.199999999983</v>
      </c>
    </row>
    <row r="101" spans="2:73" ht="15.75" customHeight="1" x14ac:dyDescent="0.25">
      <c r="B101" s="1">
        <v>24</v>
      </c>
      <c r="C101" s="1">
        <f>Scenario_Info!O$10</f>
        <v>21</v>
      </c>
      <c r="D101" s="75">
        <f>Scenario_Info!O$14</f>
        <v>11.6</v>
      </c>
      <c r="E101" s="36">
        <f>Scenario_Info!O$18</f>
        <v>46400</v>
      </c>
      <c r="F101" s="38">
        <f>F100+Percolation!E101/$D$7</f>
        <v>0.35018867924528285</v>
      </c>
      <c r="G101" s="11">
        <f t="shared" si="66"/>
        <v>9.0999999999999998E-2</v>
      </c>
      <c r="H101" s="10">
        <f t="shared" si="93"/>
        <v>1.3277987421383625E-3</v>
      </c>
      <c r="I101" s="12">
        <f t="shared" si="67"/>
        <v>12.868132830188665</v>
      </c>
      <c r="J101" s="53">
        <f t="shared" si="68"/>
        <v>5.2779999999999916</v>
      </c>
      <c r="K101" s="69">
        <f t="shared" si="94"/>
        <v>126.67199999999995</v>
      </c>
      <c r="L101" s="11">
        <f t="shared" si="69"/>
        <v>4.5999999999999999E-2</v>
      </c>
      <c r="M101" s="10">
        <f t="shared" si="95"/>
        <v>6.7119496855345799E-4</v>
      </c>
      <c r="N101" s="12">
        <f t="shared" si="96"/>
        <v>799.9838913207559</v>
      </c>
      <c r="O101" s="53">
        <f t="shared" si="70"/>
        <v>2.6679999999999957</v>
      </c>
      <c r="P101" s="69">
        <f t="shared" si="97"/>
        <v>64.03199999999994</v>
      </c>
      <c r="Q101" s="15">
        <f t="shared" si="71"/>
        <v>5.8</v>
      </c>
      <c r="R101" s="12">
        <f t="shared" si="98"/>
        <v>8.4628930817609915E-2</v>
      </c>
      <c r="S101" s="12">
        <f t="shared" si="99"/>
        <v>498.96890566037791</v>
      </c>
      <c r="T101" s="54">
        <f t="shared" si="72"/>
        <v>336.39999999999941</v>
      </c>
      <c r="U101" s="65">
        <f t="shared" si="100"/>
        <v>8073.5999999999958</v>
      </c>
      <c r="V101" s="15">
        <f t="shared" si="73"/>
        <v>36.968341349127144</v>
      </c>
      <c r="W101" s="12">
        <f t="shared" si="101"/>
        <v>0.53941227628914978</v>
      </c>
      <c r="X101" s="12">
        <f t="shared" si="102"/>
        <v>328.02884906148802</v>
      </c>
      <c r="Y101" s="54">
        <f t="shared" si="74"/>
        <v>2144.1637982493703</v>
      </c>
      <c r="Z101" s="65">
        <f t="shared" si="103"/>
        <v>584210.32498058421</v>
      </c>
      <c r="AA101" s="81">
        <f t="shared" si="75"/>
        <v>2.5000000000000001E-4</v>
      </c>
      <c r="AB101" s="394">
        <f t="shared" si="104"/>
        <v>3.6477987421383585E-6</v>
      </c>
      <c r="AC101" s="18">
        <f t="shared" si="105"/>
        <v>965.92491245283031</v>
      </c>
      <c r="AD101" s="390">
        <f t="shared" si="76"/>
        <v>1.4499999999999975E-2</v>
      </c>
      <c r="AE101" s="390">
        <f t="shared" si="106"/>
        <v>0.34799999999999981</v>
      </c>
      <c r="AF101" s="15">
        <f t="shared" si="77"/>
        <v>1.42</v>
      </c>
      <c r="AG101" s="12">
        <f t="shared" si="107"/>
        <v>2.0719496855345874E-2</v>
      </c>
      <c r="AH101" s="13">
        <f t="shared" si="108"/>
        <v>11213.502732075474</v>
      </c>
      <c r="AI101" s="54">
        <f t="shared" si="78"/>
        <v>82.359999999999857</v>
      </c>
      <c r="AJ101" s="54">
        <f t="shared" si="109"/>
        <v>1976.6399999999987</v>
      </c>
      <c r="AK101" s="32">
        <f t="shared" si="79"/>
        <v>2.59</v>
      </c>
      <c r="AL101" s="34">
        <f t="shared" si="110"/>
        <v>3.779119496855339E-2</v>
      </c>
      <c r="AM101" s="34">
        <f t="shared" si="111"/>
        <v>26.693011320754756</v>
      </c>
      <c r="AN101" s="55">
        <f t="shared" si="80"/>
        <v>150.21999999999971</v>
      </c>
      <c r="AO101" s="55">
        <f t="shared" si="112"/>
        <v>3605.2799999999979</v>
      </c>
      <c r="AP101" s="15">
        <f t="shared" si="81"/>
        <v>1.27</v>
      </c>
      <c r="AQ101" s="12">
        <f t="shared" si="113"/>
        <v>1.8530817610062859E-2</v>
      </c>
      <c r="AR101" s="12">
        <f t="shared" si="114"/>
        <v>125.65526037735864</v>
      </c>
      <c r="AS101" s="54">
        <f t="shared" si="82"/>
        <v>73.659999999999869</v>
      </c>
      <c r="AT101" s="54">
        <f t="shared" si="115"/>
        <v>1767.8399999999995</v>
      </c>
      <c r="AU101" s="15">
        <f t="shared" si="83"/>
        <v>1.4414913798468167</v>
      </c>
      <c r="AV101" s="34">
        <f t="shared" si="116"/>
        <v>2.1033081768834019E-2</v>
      </c>
      <c r="AW101" s="34">
        <f t="shared" si="117"/>
        <v>0.96904570383456634</v>
      </c>
      <c r="AX101" s="55">
        <f t="shared" si="84"/>
        <v>83.606500031115232</v>
      </c>
      <c r="AY101" s="55">
        <f t="shared" si="118"/>
        <v>103870.54332725766</v>
      </c>
      <c r="AZ101" s="15">
        <f t="shared" si="85"/>
        <v>0.35132655987788203</v>
      </c>
      <c r="BA101" s="10">
        <f t="shared" si="119"/>
        <v>5.1262743328093392E-3</v>
      </c>
      <c r="BB101" s="12">
        <f t="shared" si="120"/>
        <v>4.528384870310993</v>
      </c>
      <c r="BC101" s="54">
        <f t="shared" si="86"/>
        <v>20.376940472917124</v>
      </c>
      <c r="BD101" s="54">
        <f t="shared" si="121"/>
        <v>1596.4201405137762</v>
      </c>
      <c r="BE101" s="15">
        <f t="shared" si="87"/>
        <v>3970.0648289253159</v>
      </c>
      <c r="BF101" s="13">
        <f t="shared" si="122"/>
        <v>57.927989956646016</v>
      </c>
      <c r="BG101" s="13">
        <f t="shared" si="123"/>
        <v>41843.597254330642</v>
      </c>
      <c r="BH101" s="54">
        <f t="shared" si="88"/>
        <v>230263.76007766792</v>
      </c>
      <c r="BI101" s="54">
        <f t="shared" si="124"/>
        <v>11692075.914035795</v>
      </c>
      <c r="BJ101" s="15">
        <f t="shared" si="89"/>
        <v>0.40600000000000003</v>
      </c>
      <c r="BK101" s="12">
        <f t="shared" si="125"/>
        <v>5.9240251572326942E-3</v>
      </c>
      <c r="BL101" s="12">
        <f t="shared" si="126"/>
        <v>15.857823396226408</v>
      </c>
      <c r="BM101" s="54">
        <f t="shared" si="90"/>
        <v>23.547999999999959</v>
      </c>
      <c r="BN101" s="65">
        <f t="shared" si="127"/>
        <v>565.15199999999982</v>
      </c>
      <c r="BO101" s="16">
        <f t="shared" si="91"/>
        <v>29.3</v>
      </c>
      <c r="BP101" s="18">
        <f t="shared" si="128"/>
        <v>0.42752201257861561</v>
      </c>
      <c r="BQ101" s="18">
        <f t="shared" si="129"/>
        <v>1670.7394716981107</v>
      </c>
      <c r="BR101" s="54">
        <f t="shared" si="92"/>
        <v>1699.3999999999971</v>
      </c>
      <c r="BS101" s="65">
        <f t="shared" si="130"/>
        <v>40785.599999999977</v>
      </c>
    </row>
    <row r="102" spans="2:73" ht="15.75" customHeight="1" x14ac:dyDescent="0.25">
      <c r="B102" s="1">
        <v>25</v>
      </c>
      <c r="C102" s="1">
        <f>Scenario_Info!O$10</f>
        <v>21</v>
      </c>
      <c r="D102" s="75">
        <f>Scenario_Info!O$14</f>
        <v>11.6</v>
      </c>
      <c r="E102" s="36">
        <f>Scenario_Info!O$18</f>
        <v>46400</v>
      </c>
      <c r="F102" s="38">
        <f>F101+Percolation!E102/$D$7</f>
        <v>0.36477987421383629</v>
      </c>
      <c r="G102" s="11">
        <f t="shared" si="66"/>
        <v>9.0999999999999998E-2</v>
      </c>
      <c r="H102" s="10">
        <f t="shared" si="93"/>
        <v>1.3277987421383625E-3</v>
      </c>
      <c r="I102" s="12">
        <f t="shared" si="67"/>
        <v>12.866805031446527</v>
      </c>
      <c r="J102" s="53">
        <f t="shared" si="68"/>
        <v>5.2779999999999916</v>
      </c>
      <c r="K102" s="69">
        <f t="shared" si="94"/>
        <v>131.94999999999993</v>
      </c>
      <c r="L102" s="11">
        <f t="shared" si="69"/>
        <v>4.5999999999999999E-2</v>
      </c>
      <c r="M102" s="10">
        <f t="shared" si="95"/>
        <v>6.7119496855345799E-4</v>
      </c>
      <c r="N102" s="12">
        <f t="shared" si="96"/>
        <v>799.9832201257874</v>
      </c>
      <c r="O102" s="53">
        <f t="shared" si="70"/>
        <v>2.6679999999999957</v>
      </c>
      <c r="P102" s="69">
        <f t="shared" si="97"/>
        <v>66.699999999999932</v>
      </c>
      <c r="Q102" s="15">
        <f t="shared" si="71"/>
        <v>5.8</v>
      </c>
      <c r="R102" s="12">
        <f t="shared" si="98"/>
        <v>8.4628930817609915E-2</v>
      </c>
      <c r="S102" s="12">
        <f t="shared" si="99"/>
        <v>498.88427672956033</v>
      </c>
      <c r="T102" s="54">
        <f t="shared" si="72"/>
        <v>336.39999999999941</v>
      </c>
      <c r="U102" s="65">
        <f t="shared" si="100"/>
        <v>8409.9999999999945</v>
      </c>
      <c r="V102" s="15">
        <f t="shared" si="73"/>
        <v>36.968341349127144</v>
      </c>
      <c r="W102" s="12">
        <f t="shared" si="101"/>
        <v>0.53941227628914978</v>
      </c>
      <c r="X102" s="12">
        <f t="shared" si="102"/>
        <v>327.48943678519885</v>
      </c>
      <c r="Y102" s="54">
        <f t="shared" si="74"/>
        <v>2144.1637982493703</v>
      </c>
      <c r="Z102" s="65">
        <f t="shared" si="103"/>
        <v>586354.48877883353</v>
      </c>
      <c r="AA102" s="81">
        <f t="shared" si="75"/>
        <v>2.5000000000000001E-4</v>
      </c>
      <c r="AB102" s="394">
        <f t="shared" si="104"/>
        <v>3.6477987421383585E-6</v>
      </c>
      <c r="AC102" s="18">
        <f t="shared" si="105"/>
        <v>965.92490880503158</v>
      </c>
      <c r="AD102" s="390">
        <f t="shared" si="76"/>
        <v>1.4499999999999975E-2</v>
      </c>
      <c r="AE102" s="390">
        <f t="shared" si="106"/>
        <v>0.36249999999999977</v>
      </c>
      <c r="AF102" s="15">
        <f t="shared" si="77"/>
        <v>1.42</v>
      </c>
      <c r="AG102" s="12">
        <f t="shared" si="107"/>
        <v>2.0719496855345874E-2</v>
      </c>
      <c r="AH102" s="13">
        <f t="shared" si="108"/>
        <v>11213.482012578619</v>
      </c>
      <c r="AI102" s="54">
        <f t="shared" si="78"/>
        <v>82.359999999999857</v>
      </c>
      <c r="AJ102" s="54">
        <f t="shared" si="109"/>
        <v>2058.9999999999986</v>
      </c>
      <c r="AK102" s="32">
        <f t="shared" si="79"/>
        <v>2.59</v>
      </c>
      <c r="AL102" s="34">
        <f t="shared" si="110"/>
        <v>3.779119496855339E-2</v>
      </c>
      <c r="AM102" s="34">
        <f t="shared" si="111"/>
        <v>26.655220125786204</v>
      </c>
      <c r="AN102" s="55">
        <f t="shared" si="80"/>
        <v>150.21999999999971</v>
      </c>
      <c r="AO102" s="55">
        <f t="shared" si="112"/>
        <v>3755.4999999999977</v>
      </c>
      <c r="AP102" s="15">
        <f t="shared" si="81"/>
        <v>1.27</v>
      </c>
      <c r="AQ102" s="12">
        <f t="shared" si="113"/>
        <v>1.8530817610062859E-2</v>
      </c>
      <c r="AR102" s="12">
        <f t="shared" si="114"/>
        <v>125.63672955974859</v>
      </c>
      <c r="AS102" s="54">
        <f t="shared" si="82"/>
        <v>73.659999999999869</v>
      </c>
      <c r="AT102" s="54">
        <f t="shared" si="115"/>
        <v>1841.4999999999993</v>
      </c>
      <c r="AU102" s="15">
        <f t="shared" si="83"/>
        <v>1.4414913798468167</v>
      </c>
      <c r="AV102" s="34">
        <f t="shared" si="116"/>
        <v>2.1033081768834019E-2</v>
      </c>
      <c r="AW102" s="34">
        <f t="shared" si="117"/>
        <v>0.94801262206573234</v>
      </c>
      <c r="AX102" s="55">
        <f t="shared" si="84"/>
        <v>83.606500031115232</v>
      </c>
      <c r="AY102" s="55">
        <f t="shared" si="118"/>
        <v>103954.14982728878</v>
      </c>
      <c r="AZ102" s="15">
        <f t="shared" si="85"/>
        <v>0.35132655987788203</v>
      </c>
      <c r="BA102" s="10">
        <f t="shared" si="119"/>
        <v>5.1262743328093392E-3</v>
      </c>
      <c r="BB102" s="12">
        <f t="shared" si="120"/>
        <v>4.5232585959781835</v>
      </c>
      <c r="BC102" s="54">
        <f t="shared" si="86"/>
        <v>20.376940472917124</v>
      </c>
      <c r="BD102" s="54">
        <f t="shared" si="121"/>
        <v>1616.7970809866933</v>
      </c>
      <c r="BE102" s="15">
        <f t="shared" si="87"/>
        <v>3970.0648289253159</v>
      </c>
      <c r="BF102" s="13">
        <f t="shared" si="122"/>
        <v>57.927989956646016</v>
      </c>
      <c r="BG102" s="13">
        <f t="shared" si="123"/>
        <v>41785.669264373995</v>
      </c>
      <c r="BH102" s="54">
        <f t="shared" si="88"/>
        <v>230263.76007766792</v>
      </c>
      <c r="BI102" s="54">
        <f t="shared" si="124"/>
        <v>11922339.674113464</v>
      </c>
      <c r="BJ102" s="15">
        <f t="shared" si="89"/>
        <v>0.40600000000000003</v>
      </c>
      <c r="BK102" s="12">
        <f t="shared" si="125"/>
        <v>5.9240251572326942E-3</v>
      </c>
      <c r="BL102" s="12">
        <f t="shared" si="126"/>
        <v>15.851899371069175</v>
      </c>
      <c r="BM102" s="54">
        <f t="shared" si="90"/>
        <v>23.547999999999959</v>
      </c>
      <c r="BN102" s="65">
        <f t="shared" si="127"/>
        <v>588.69999999999982</v>
      </c>
      <c r="BO102" s="16">
        <f t="shared" si="91"/>
        <v>29.3</v>
      </c>
      <c r="BP102" s="18">
        <f t="shared" si="128"/>
        <v>0.42752201257861561</v>
      </c>
      <c r="BQ102" s="18">
        <f t="shared" si="129"/>
        <v>1670.311949685532</v>
      </c>
      <c r="BR102" s="54">
        <f t="shared" si="92"/>
        <v>1699.3999999999971</v>
      </c>
      <c r="BS102" s="65">
        <f t="shared" si="130"/>
        <v>42484.999999999971</v>
      </c>
    </row>
    <row r="103" spans="2:73" ht="15.75" customHeight="1" x14ac:dyDescent="0.25">
      <c r="B103" s="1">
        <v>26</v>
      </c>
      <c r="C103" s="1">
        <f>Scenario_Info!O$10</f>
        <v>21</v>
      </c>
      <c r="D103" s="75">
        <f>Scenario_Info!O$14</f>
        <v>11.6</v>
      </c>
      <c r="E103" s="36">
        <f>Scenario_Info!O$18</f>
        <v>46400</v>
      </c>
      <c r="F103" s="38">
        <f>F102+Percolation!E103/$D$7</f>
        <v>0.37937106918238972</v>
      </c>
      <c r="G103" s="11">
        <f t="shared" si="66"/>
        <v>9.0999999999999998E-2</v>
      </c>
      <c r="H103" s="10">
        <f t="shared" si="93"/>
        <v>1.3277987421383625E-3</v>
      </c>
      <c r="I103" s="12">
        <f t="shared" si="67"/>
        <v>12.865477232704388</v>
      </c>
      <c r="J103" s="53">
        <f t="shared" si="68"/>
        <v>5.2779999999999916</v>
      </c>
      <c r="K103" s="69">
        <f t="shared" si="94"/>
        <v>137.22799999999992</v>
      </c>
      <c r="L103" s="11">
        <f t="shared" si="69"/>
        <v>4.5999999999999999E-2</v>
      </c>
      <c r="M103" s="10">
        <f t="shared" si="95"/>
        <v>6.7119496855345799E-4</v>
      </c>
      <c r="N103" s="12">
        <f t="shared" si="96"/>
        <v>799.98254893081889</v>
      </c>
      <c r="O103" s="53">
        <f t="shared" si="70"/>
        <v>2.6679999999999957</v>
      </c>
      <c r="P103" s="69">
        <f t="shared" si="97"/>
        <v>69.367999999999924</v>
      </c>
      <c r="Q103" s="15">
        <f t="shared" si="71"/>
        <v>5.8</v>
      </c>
      <c r="R103" s="12">
        <f t="shared" si="98"/>
        <v>8.4628930817609915E-2</v>
      </c>
      <c r="S103" s="12">
        <f t="shared" si="99"/>
        <v>498.79964779874274</v>
      </c>
      <c r="T103" s="54">
        <f t="shared" si="72"/>
        <v>336.39999999999941</v>
      </c>
      <c r="U103" s="65">
        <f t="shared" si="100"/>
        <v>8746.3999999999942</v>
      </c>
      <c r="V103" s="15">
        <f t="shared" si="73"/>
        <v>36.968341349127144</v>
      </c>
      <c r="W103" s="12">
        <f t="shared" si="101"/>
        <v>0.53941227628914978</v>
      </c>
      <c r="X103" s="12">
        <f t="shared" si="102"/>
        <v>326.95002450890968</v>
      </c>
      <c r="Y103" s="54">
        <f t="shared" si="74"/>
        <v>2144.1637982493703</v>
      </c>
      <c r="Z103" s="65">
        <f t="shared" si="103"/>
        <v>588498.65257708286</v>
      </c>
      <c r="AA103" s="81">
        <f t="shared" si="75"/>
        <v>2.5000000000000001E-4</v>
      </c>
      <c r="AB103" s="394">
        <f t="shared" si="104"/>
        <v>3.6477987421383585E-6</v>
      </c>
      <c r="AC103" s="18">
        <f t="shared" si="105"/>
        <v>965.92490515723284</v>
      </c>
      <c r="AD103" s="390">
        <f t="shared" si="76"/>
        <v>1.4499999999999975E-2</v>
      </c>
      <c r="AE103" s="390">
        <f t="shared" si="106"/>
        <v>0.37699999999999972</v>
      </c>
      <c r="AF103" s="15">
        <f t="shared" si="77"/>
        <v>1.42</v>
      </c>
      <c r="AG103" s="12">
        <f t="shared" si="107"/>
        <v>2.0719496855345874E-2</v>
      </c>
      <c r="AH103" s="13">
        <f t="shared" si="108"/>
        <v>11213.461293081764</v>
      </c>
      <c r="AI103" s="54">
        <f t="shared" si="78"/>
        <v>82.359999999999857</v>
      </c>
      <c r="AJ103" s="54">
        <f t="shared" si="109"/>
        <v>2141.3599999999983</v>
      </c>
      <c r="AK103" s="32">
        <f t="shared" si="79"/>
        <v>2.59</v>
      </c>
      <c r="AL103" s="34">
        <f t="shared" si="110"/>
        <v>3.779119496855339E-2</v>
      </c>
      <c r="AM103" s="34">
        <f t="shared" si="111"/>
        <v>26.617428930817653</v>
      </c>
      <c r="AN103" s="55">
        <f t="shared" si="80"/>
        <v>150.21999999999971</v>
      </c>
      <c r="AO103" s="55">
        <f t="shared" si="112"/>
        <v>3905.7199999999975</v>
      </c>
      <c r="AP103" s="15">
        <f t="shared" si="81"/>
        <v>1.27</v>
      </c>
      <c r="AQ103" s="12">
        <f t="shared" si="113"/>
        <v>1.8530817610062859E-2</v>
      </c>
      <c r="AR103" s="12">
        <f t="shared" si="114"/>
        <v>125.61819874213853</v>
      </c>
      <c r="AS103" s="54">
        <f t="shared" si="82"/>
        <v>73.659999999999869</v>
      </c>
      <c r="AT103" s="54">
        <f t="shared" si="115"/>
        <v>1915.1599999999992</v>
      </c>
      <c r="AU103" s="15">
        <f t="shared" si="83"/>
        <v>1.4414913798468167</v>
      </c>
      <c r="AV103" s="34">
        <f t="shared" si="116"/>
        <v>2.1033081768834019E-2</v>
      </c>
      <c r="AW103" s="34">
        <f t="shared" si="117"/>
        <v>0.92697954029689833</v>
      </c>
      <c r="AX103" s="55">
        <f t="shared" si="84"/>
        <v>83.606500031115232</v>
      </c>
      <c r="AY103" s="55">
        <f t="shared" si="118"/>
        <v>104037.7563273199</v>
      </c>
      <c r="AZ103" s="15">
        <f t="shared" si="85"/>
        <v>0.35132655987788203</v>
      </c>
      <c r="BA103" s="10">
        <f t="shared" si="119"/>
        <v>5.1262743328093392E-3</v>
      </c>
      <c r="BB103" s="12">
        <f t="shared" si="120"/>
        <v>4.5181323216453739</v>
      </c>
      <c r="BC103" s="54">
        <f t="shared" si="86"/>
        <v>20.376940472917124</v>
      </c>
      <c r="BD103" s="54">
        <f t="shared" si="121"/>
        <v>1637.1740214596105</v>
      </c>
      <c r="BE103" s="15">
        <f t="shared" si="87"/>
        <v>3970.0648289253159</v>
      </c>
      <c r="BF103" s="13">
        <f t="shared" si="122"/>
        <v>57.927989956646016</v>
      </c>
      <c r="BG103" s="13">
        <f t="shared" si="123"/>
        <v>41727.741274417349</v>
      </c>
      <c r="BH103" s="54">
        <f t="shared" si="88"/>
        <v>230263.76007766792</v>
      </c>
      <c r="BI103" s="54">
        <f t="shared" si="124"/>
        <v>12152603.434191132</v>
      </c>
      <c r="BJ103" s="15">
        <f t="shared" si="89"/>
        <v>0.40600000000000003</v>
      </c>
      <c r="BK103" s="12">
        <f t="shared" si="125"/>
        <v>5.9240251572326942E-3</v>
      </c>
      <c r="BL103" s="12">
        <f t="shared" si="126"/>
        <v>15.845975345911942</v>
      </c>
      <c r="BM103" s="54">
        <f t="shared" si="90"/>
        <v>23.547999999999959</v>
      </c>
      <c r="BN103" s="65">
        <f t="shared" si="127"/>
        <v>612.24799999999982</v>
      </c>
      <c r="BO103" s="16">
        <f t="shared" si="91"/>
        <v>29.3</v>
      </c>
      <c r="BP103" s="18">
        <f t="shared" si="128"/>
        <v>0.42752201257861561</v>
      </c>
      <c r="BQ103" s="18">
        <f t="shared" si="129"/>
        <v>1669.8844276729533</v>
      </c>
      <c r="BR103" s="54">
        <f t="shared" si="92"/>
        <v>1699.3999999999971</v>
      </c>
      <c r="BS103" s="65">
        <f t="shared" si="130"/>
        <v>44184.399999999965</v>
      </c>
    </row>
    <row r="104" spans="2:73" ht="15.75" customHeight="1" x14ac:dyDescent="0.25">
      <c r="B104" s="1">
        <v>27</v>
      </c>
      <c r="C104" s="1">
        <f>Scenario_Info!O$10</f>
        <v>21</v>
      </c>
      <c r="D104" s="75">
        <f>Scenario_Info!O$14</f>
        <v>11.6</v>
      </c>
      <c r="E104" s="36">
        <f>Scenario_Info!O$18</f>
        <v>46400</v>
      </c>
      <c r="F104" s="38">
        <f>F103+Percolation!E104/$D$7</f>
        <v>0.39396226415094315</v>
      </c>
      <c r="G104" s="11">
        <f t="shared" si="66"/>
        <v>9.0999999999999998E-2</v>
      </c>
      <c r="H104" s="10">
        <f t="shared" si="93"/>
        <v>1.3277987421383625E-3</v>
      </c>
      <c r="I104" s="12">
        <f t="shared" si="67"/>
        <v>12.864149433962249</v>
      </c>
      <c r="J104" s="53">
        <f t="shared" si="68"/>
        <v>5.2779999999999916</v>
      </c>
      <c r="K104" s="69">
        <f t="shared" si="94"/>
        <v>142.50599999999991</v>
      </c>
      <c r="L104" s="11">
        <f t="shared" si="69"/>
        <v>4.5999999999999999E-2</v>
      </c>
      <c r="M104" s="10">
        <f t="shared" si="95"/>
        <v>6.7119496855345799E-4</v>
      </c>
      <c r="N104" s="12">
        <f t="shared" si="96"/>
        <v>799.98187773585039</v>
      </c>
      <c r="O104" s="53">
        <f t="shared" si="70"/>
        <v>2.6679999999999957</v>
      </c>
      <c r="P104" s="69">
        <f t="shared" si="97"/>
        <v>72.035999999999916</v>
      </c>
      <c r="Q104" s="15">
        <f t="shared" si="71"/>
        <v>5.8</v>
      </c>
      <c r="R104" s="12">
        <f t="shared" si="98"/>
        <v>8.4628930817609915E-2</v>
      </c>
      <c r="S104" s="12">
        <f t="shared" si="99"/>
        <v>498.71501886792515</v>
      </c>
      <c r="T104" s="54">
        <f t="shared" si="72"/>
        <v>336.39999999999941</v>
      </c>
      <c r="U104" s="65">
        <f t="shared" si="100"/>
        <v>9082.7999999999938</v>
      </c>
      <c r="V104" s="15">
        <f t="shared" si="73"/>
        <v>36.968341349127144</v>
      </c>
      <c r="W104" s="12">
        <f t="shared" si="101"/>
        <v>0.53941227628914978</v>
      </c>
      <c r="X104" s="12">
        <f t="shared" si="102"/>
        <v>326.41061223262051</v>
      </c>
      <c r="Y104" s="54">
        <f t="shared" si="74"/>
        <v>2144.1637982493703</v>
      </c>
      <c r="Z104" s="65">
        <f t="shared" si="103"/>
        <v>590642.81637533219</v>
      </c>
      <c r="AA104" s="81">
        <f t="shared" si="75"/>
        <v>2.5000000000000001E-4</v>
      </c>
      <c r="AB104" s="394">
        <f t="shared" si="104"/>
        <v>3.6477987421383585E-6</v>
      </c>
      <c r="AC104" s="18">
        <f t="shared" si="105"/>
        <v>965.92490150943411</v>
      </c>
      <c r="AD104" s="390">
        <f t="shared" si="76"/>
        <v>1.4499999999999975E-2</v>
      </c>
      <c r="AE104" s="390">
        <f t="shared" si="106"/>
        <v>0.39149999999999968</v>
      </c>
      <c r="AF104" s="15">
        <f t="shared" si="77"/>
        <v>1.42</v>
      </c>
      <c r="AG104" s="12">
        <f t="shared" si="107"/>
        <v>2.0719496855345874E-2</v>
      </c>
      <c r="AH104" s="13">
        <f t="shared" si="108"/>
        <v>11213.440573584909</v>
      </c>
      <c r="AI104" s="54">
        <f t="shared" si="78"/>
        <v>82.359999999999857</v>
      </c>
      <c r="AJ104" s="54">
        <f t="shared" si="109"/>
        <v>2223.719999999998</v>
      </c>
      <c r="AK104" s="32">
        <f t="shared" si="79"/>
        <v>2.59</v>
      </c>
      <c r="AL104" s="34">
        <f t="shared" si="110"/>
        <v>3.779119496855339E-2</v>
      </c>
      <c r="AM104" s="34">
        <f t="shared" si="111"/>
        <v>26.579637735849101</v>
      </c>
      <c r="AN104" s="55">
        <f t="shared" si="80"/>
        <v>150.21999999999971</v>
      </c>
      <c r="AO104" s="55">
        <f t="shared" si="112"/>
        <v>4055.9399999999973</v>
      </c>
      <c r="AP104" s="15">
        <f t="shared" si="81"/>
        <v>1.27</v>
      </c>
      <c r="AQ104" s="12">
        <f t="shared" si="113"/>
        <v>1.8530817610062859E-2</v>
      </c>
      <c r="AR104" s="12">
        <f t="shared" si="114"/>
        <v>125.59966792452848</v>
      </c>
      <c r="AS104" s="54">
        <f t="shared" si="82"/>
        <v>73.659999999999869</v>
      </c>
      <c r="AT104" s="54">
        <f t="shared" si="115"/>
        <v>1988.819999999999</v>
      </c>
      <c r="AU104" s="15">
        <f t="shared" si="83"/>
        <v>1.4414913798468167</v>
      </c>
      <c r="AV104" s="34">
        <f t="shared" si="116"/>
        <v>2.1033081768834019E-2</v>
      </c>
      <c r="AW104" s="34">
        <f t="shared" si="117"/>
        <v>0.90594645852806432</v>
      </c>
      <c r="AX104" s="55">
        <f t="shared" si="84"/>
        <v>83.606500031115232</v>
      </c>
      <c r="AY104" s="55">
        <f t="shared" si="118"/>
        <v>104121.36282735103</v>
      </c>
      <c r="AZ104" s="15">
        <f t="shared" si="85"/>
        <v>0.35132655987788203</v>
      </c>
      <c r="BA104" s="10">
        <f t="shared" si="119"/>
        <v>5.1262743328093392E-3</v>
      </c>
      <c r="BB104" s="12">
        <f t="shared" si="120"/>
        <v>4.5130060473125644</v>
      </c>
      <c r="BC104" s="54">
        <f t="shared" si="86"/>
        <v>20.376940472917124</v>
      </c>
      <c r="BD104" s="54">
        <f t="shared" si="121"/>
        <v>1657.5509619325276</v>
      </c>
      <c r="BE104" s="15">
        <f t="shared" si="87"/>
        <v>3970.0648289253159</v>
      </c>
      <c r="BF104" s="13">
        <f t="shared" si="122"/>
        <v>57.927989956646016</v>
      </c>
      <c r="BG104" s="13">
        <f t="shared" si="123"/>
        <v>41669.813284460703</v>
      </c>
      <c r="BH104" s="54">
        <f t="shared" si="88"/>
        <v>230263.76007766792</v>
      </c>
      <c r="BI104" s="54">
        <f t="shared" si="124"/>
        <v>12382867.1942688</v>
      </c>
      <c r="BJ104" s="15">
        <f t="shared" si="89"/>
        <v>0.40600000000000003</v>
      </c>
      <c r="BK104" s="12">
        <f t="shared" si="125"/>
        <v>5.9240251572326942E-3</v>
      </c>
      <c r="BL104" s="12">
        <f t="shared" si="126"/>
        <v>15.840051320754709</v>
      </c>
      <c r="BM104" s="54">
        <f t="shared" si="90"/>
        <v>23.547999999999959</v>
      </c>
      <c r="BN104" s="65">
        <f t="shared" si="127"/>
        <v>635.79599999999982</v>
      </c>
      <c r="BO104" s="16">
        <f t="shared" si="91"/>
        <v>29.3</v>
      </c>
      <c r="BP104" s="18">
        <f t="shared" si="128"/>
        <v>0.42752201257861561</v>
      </c>
      <c r="BQ104" s="18">
        <f t="shared" si="129"/>
        <v>1669.4569056603746</v>
      </c>
      <c r="BR104" s="54">
        <f t="shared" si="92"/>
        <v>1699.3999999999971</v>
      </c>
      <c r="BS104" s="65">
        <f t="shared" si="130"/>
        <v>45883.799999999959</v>
      </c>
    </row>
    <row r="105" spans="2:73" ht="15.75" customHeight="1" x14ac:dyDescent="0.25">
      <c r="B105" s="1">
        <v>28</v>
      </c>
      <c r="C105" s="1">
        <f>Scenario_Info!O$10</f>
        <v>21</v>
      </c>
      <c r="D105" s="75">
        <f>Scenario_Info!O$14</f>
        <v>11.6</v>
      </c>
      <c r="E105" s="36">
        <f>Scenario_Info!O$18</f>
        <v>46400</v>
      </c>
      <c r="F105" s="38">
        <f>F104+Percolation!E105/$D$7</f>
        <v>0.40855345911949659</v>
      </c>
      <c r="G105" s="11">
        <f t="shared" si="66"/>
        <v>9.0999999999999998E-2</v>
      </c>
      <c r="H105" s="10">
        <f t="shared" si="93"/>
        <v>1.3277987421383625E-3</v>
      </c>
      <c r="I105" s="12">
        <f t="shared" si="67"/>
        <v>12.86282163522011</v>
      </c>
      <c r="J105" s="53">
        <f t="shared" si="68"/>
        <v>5.2779999999999916</v>
      </c>
      <c r="K105" s="69">
        <f t="shared" si="94"/>
        <v>147.78399999999991</v>
      </c>
      <c r="L105" s="11">
        <f t="shared" si="69"/>
        <v>4.5999999999999999E-2</v>
      </c>
      <c r="M105" s="10">
        <f t="shared" si="95"/>
        <v>6.7119496855345799E-4</v>
      </c>
      <c r="N105" s="12">
        <f t="shared" si="96"/>
        <v>799.98120654088189</v>
      </c>
      <c r="O105" s="53">
        <f t="shared" si="70"/>
        <v>2.6679999999999957</v>
      </c>
      <c r="P105" s="69">
        <f t="shared" si="97"/>
        <v>74.703999999999908</v>
      </c>
      <c r="Q105" s="15">
        <f t="shared" si="71"/>
        <v>5.8</v>
      </c>
      <c r="R105" s="12">
        <f t="shared" si="98"/>
        <v>8.4628930817609915E-2</v>
      </c>
      <c r="S105" s="12">
        <f t="shared" si="99"/>
        <v>498.63038993710757</v>
      </c>
      <c r="T105" s="54">
        <f t="shared" si="72"/>
        <v>336.39999999999941</v>
      </c>
      <c r="U105" s="65">
        <f t="shared" si="100"/>
        <v>9419.1999999999935</v>
      </c>
      <c r="V105" s="15">
        <f t="shared" si="73"/>
        <v>36.968341349127144</v>
      </c>
      <c r="W105" s="12">
        <f t="shared" si="101"/>
        <v>0.53941227628914978</v>
      </c>
      <c r="X105" s="12">
        <f t="shared" si="102"/>
        <v>325.87119995633134</v>
      </c>
      <c r="Y105" s="54">
        <f t="shared" si="74"/>
        <v>2144.1637982493703</v>
      </c>
      <c r="Z105" s="65">
        <f t="shared" si="103"/>
        <v>592786.98017358151</v>
      </c>
      <c r="AA105" s="81">
        <f t="shared" si="75"/>
        <v>2.5000000000000001E-4</v>
      </c>
      <c r="AB105" s="394">
        <f t="shared" si="104"/>
        <v>3.6477987421383585E-6</v>
      </c>
      <c r="AC105" s="18">
        <f t="shared" si="105"/>
        <v>965.92489786163537</v>
      </c>
      <c r="AD105" s="390">
        <f t="shared" si="76"/>
        <v>1.4499999999999975E-2</v>
      </c>
      <c r="AE105" s="390">
        <f t="shared" si="106"/>
        <v>0.40599999999999964</v>
      </c>
      <c r="AF105" s="15">
        <f t="shared" si="77"/>
        <v>1.42</v>
      </c>
      <c r="AG105" s="12">
        <f t="shared" si="107"/>
        <v>2.0719496855345874E-2</v>
      </c>
      <c r="AH105" s="13">
        <f t="shared" si="108"/>
        <v>11213.419854088053</v>
      </c>
      <c r="AI105" s="54">
        <f t="shared" si="78"/>
        <v>82.359999999999857</v>
      </c>
      <c r="AJ105" s="54">
        <f t="shared" si="109"/>
        <v>2306.0799999999977</v>
      </c>
      <c r="AK105" s="32">
        <f t="shared" si="79"/>
        <v>2.59</v>
      </c>
      <c r="AL105" s="34">
        <f t="shared" si="110"/>
        <v>3.779119496855339E-2</v>
      </c>
      <c r="AM105" s="34">
        <f t="shared" si="111"/>
        <v>26.541846540880549</v>
      </c>
      <c r="AN105" s="55">
        <f t="shared" si="80"/>
        <v>150.21999999999971</v>
      </c>
      <c r="AO105" s="55">
        <f t="shared" si="112"/>
        <v>4206.1599999999971</v>
      </c>
      <c r="AP105" s="15">
        <f t="shared" si="81"/>
        <v>1.27</v>
      </c>
      <c r="AQ105" s="12">
        <f t="shared" si="113"/>
        <v>1.8530817610062859E-2</v>
      </c>
      <c r="AR105" s="12">
        <f t="shared" si="114"/>
        <v>125.58113710691842</v>
      </c>
      <c r="AS105" s="54">
        <f t="shared" si="82"/>
        <v>73.659999999999869</v>
      </c>
      <c r="AT105" s="54">
        <f t="shared" si="115"/>
        <v>2062.4799999999991</v>
      </c>
      <c r="AU105" s="15">
        <f t="shared" si="83"/>
        <v>1.4414913798468167</v>
      </c>
      <c r="AV105" s="34">
        <f t="shared" si="116"/>
        <v>2.1033081768834019E-2</v>
      </c>
      <c r="AW105" s="34">
        <f t="shared" si="117"/>
        <v>0.88491337675923032</v>
      </c>
      <c r="AX105" s="55">
        <f t="shared" si="84"/>
        <v>83.606500031115232</v>
      </c>
      <c r="AY105" s="55">
        <f t="shared" si="118"/>
        <v>104204.96932738215</v>
      </c>
      <c r="AZ105" s="15">
        <f t="shared" si="85"/>
        <v>0.35132655987788203</v>
      </c>
      <c r="BA105" s="10">
        <f t="shared" si="119"/>
        <v>5.1262743328093392E-3</v>
      </c>
      <c r="BB105" s="12">
        <f t="shared" si="120"/>
        <v>4.5078797729797548</v>
      </c>
      <c r="BC105" s="54">
        <f t="shared" si="86"/>
        <v>20.376940472917124</v>
      </c>
      <c r="BD105" s="54">
        <f t="shared" si="121"/>
        <v>1677.9279024054447</v>
      </c>
      <c r="BE105" s="15">
        <f t="shared" si="87"/>
        <v>3970.0648289253159</v>
      </c>
      <c r="BF105" s="13">
        <f t="shared" si="122"/>
        <v>57.927989956646016</v>
      </c>
      <c r="BG105" s="13">
        <f t="shared" si="123"/>
        <v>41611.885294504056</v>
      </c>
      <c r="BH105" s="54">
        <f t="shared" si="88"/>
        <v>230263.76007766792</v>
      </c>
      <c r="BI105" s="54">
        <f t="shared" si="124"/>
        <v>12613130.954346469</v>
      </c>
      <c r="BJ105" s="15">
        <f t="shared" si="89"/>
        <v>0.40600000000000003</v>
      </c>
      <c r="BK105" s="12">
        <f t="shared" si="125"/>
        <v>5.9240251572326942E-3</v>
      </c>
      <c r="BL105" s="12">
        <f t="shared" si="126"/>
        <v>15.834127295597476</v>
      </c>
      <c r="BM105" s="54">
        <f t="shared" si="90"/>
        <v>23.547999999999959</v>
      </c>
      <c r="BN105" s="65">
        <f t="shared" si="127"/>
        <v>659.34399999999982</v>
      </c>
      <c r="BO105" s="16">
        <f t="shared" si="91"/>
        <v>29.3</v>
      </c>
      <c r="BP105" s="18">
        <f t="shared" si="128"/>
        <v>0.42752201257861561</v>
      </c>
      <c r="BQ105" s="18">
        <f t="shared" si="129"/>
        <v>1669.0293836477958</v>
      </c>
      <c r="BR105" s="54">
        <f t="shared" si="92"/>
        <v>1699.3999999999971</v>
      </c>
      <c r="BS105" s="65">
        <f t="shared" si="130"/>
        <v>47583.199999999953</v>
      </c>
    </row>
    <row r="106" spans="2:73" ht="15.75" customHeight="1" x14ac:dyDescent="0.25">
      <c r="B106" s="1">
        <v>29</v>
      </c>
      <c r="C106" s="1">
        <f>Scenario_Info!O$10</f>
        <v>21</v>
      </c>
      <c r="D106" s="75">
        <f>Scenario_Info!O$14</f>
        <v>11.6</v>
      </c>
      <c r="E106" s="36">
        <f>Scenario_Info!O$18</f>
        <v>46400</v>
      </c>
      <c r="F106" s="38">
        <f>F105+Percolation!E106/$D$7</f>
        <v>0.42314465408805002</v>
      </c>
      <c r="G106" s="11">
        <f t="shared" si="66"/>
        <v>9.0999999999999998E-2</v>
      </c>
      <c r="H106" s="10">
        <f t="shared" si="93"/>
        <v>1.3277987421383625E-3</v>
      </c>
      <c r="I106" s="12">
        <f t="shared" si="67"/>
        <v>12.861493836477971</v>
      </c>
      <c r="J106" s="53">
        <f t="shared" si="68"/>
        <v>5.2779999999999916</v>
      </c>
      <c r="K106" s="69">
        <f t="shared" si="94"/>
        <v>153.0619999999999</v>
      </c>
      <c r="L106" s="11">
        <f t="shared" si="69"/>
        <v>4.5999999999999999E-2</v>
      </c>
      <c r="M106" s="10">
        <f t="shared" si="95"/>
        <v>6.7119496855345799E-4</v>
      </c>
      <c r="N106" s="12">
        <f t="shared" si="96"/>
        <v>799.98053534591338</v>
      </c>
      <c r="O106" s="53">
        <f t="shared" si="70"/>
        <v>2.6679999999999957</v>
      </c>
      <c r="P106" s="69">
        <f t="shared" si="97"/>
        <v>77.3719999999999</v>
      </c>
      <c r="Q106" s="15">
        <f t="shared" si="71"/>
        <v>5.8</v>
      </c>
      <c r="R106" s="12">
        <f t="shared" si="98"/>
        <v>8.4628930817609915E-2</v>
      </c>
      <c r="S106" s="12">
        <f t="shared" si="99"/>
        <v>498.54576100628998</v>
      </c>
      <c r="T106" s="54">
        <f t="shared" si="72"/>
        <v>336.39999999999941</v>
      </c>
      <c r="U106" s="65">
        <f t="shared" si="100"/>
        <v>9755.5999999999931</v>
      </c>
      <c r="V106" s="15">
        <f t="shared" si="73"/>
        <v>36.968341349127144</v>
      </c>
      <c r="W106" s="12">
        <f t="shared" si="101"/>
        <v>0.53941227628914978</v>
      </c>
      <c r="X106" s="12">
        <f t="shared" si="102"/>
        <v>325.33178768004217</v>
      </c>
      <c r="Y106" s="54">
        <f t="shared" si="74"/>
        <v>2144.1637982493703</v>
      </c>
      <c r="Z106" s="65">
        <f t="shared" si="103"/>
        <v>594931.14397183084</v>
      </c>
      <c r="AA106" s="81">
        <f t="shared" si="75"/>
        <v>2.5000000000000001E-4</v>
      </c>
      <c r="AB106" s="394">
        <f t="shared" si="104"/>
        <v>3.6477987421383585E-6</v>
      </c>
      <c r="AC106" s="18">
        <f t="shared" si="105"/>
        <v>965.92489421383664</v>
      </c>
      <c r="AD106" s="390">
        <f t="shared" si="76"/>
        <v>1.4499999999999975E-2</v>
      </c>
      <c r="AE106" s="390">
        <f t="shared" si="106"/>
        <v>0.4204999999999996</v>
      </c>
      <c r="AF106" s="15">
        <f t="shared" si="77"/>
        <v>1.42</v>
      </c>
      <c r="AG106" s="12">
        <f t="shared" si="107"/>
        <v>2.0719496855345874E-2</v>
      </c>
      <c r="AH106" s="13">
        <f t="shared" si="108"/>
        <v>11213.399134591198</v>
      </c>
      <c r="AI106" s="54">
        <f t="shared" si="78"/>
        <v>82.359999999999857</v>
      </c>
      <c r="AJ106" s="54">
        <f t="shared" si="109"/>
        <v>2388.4399999999973</v>
      </c>
      <c r="AK106" s="32">
        <f t="shared" si="79"/>
        <v>2.59</v>
      </c>
      <c r="AL106" s="34">
        <f t="shared" si="110"/>
        <v>3.779119496855339E-2</v>
      </c>
      <c r="AM106" s="34">
        <f t="shared" si="111"/>
        <v>26.504055345911997</v>
      </c>
      <c r="AN106" s="55">
        <f t="shared" si="80"/>
        <v>150.21999999999971</v>
      </c>
      <c r="AO106" s="55">
        <f t="shared" si="112"/>
        <v>4356.3799999999965</v>
      </c>
      <c r="AP106" s="15">
        <f t="shared" si="81"/>
        <v>1.27</v>
      </c>
      <c r="AQ106" s="12">
        <f t="shared" si="113"/>
        <v>1.8530817610062859E-2</v>
      </c>
      <c r="AR106" s="12">
        <f t="shared" si="114"/>
        <v>125.56260628930836</v>
      </c>
      <c r="AS106" s="54">
        <f t="shared" si="82"/>
        <v>73.659999999999869</v>
      </c>
      <c r="AT106" s="54">
        <f t="shared" si="115"/>
        <v>2136.139999999999</v>
      </c>
      <c r="AU106" s="15">
        <f t="shared" si="83"/>
        <v>1.4414913798468167</v>
      </c>
      <c r="AV106" s="34">
        <f t="shared" si="116"/>
        <v>2.1033081768834019E-2</v>
      </c>
      <c r="AW106" s="34">
        <f t="shared" si="117"/>
        <v>0.86388029499039631</v>
      </c>
      <c r="AX106" s="55">
        <f t="shared" si="84"/>
        <v>83.606500031115232</v>
      </c>
      <c r="AY106" s="55">
        <f t="shared" si="118"/>
        <v>104288.57582741327</v>
      </c>
      <c r="AZ106" s="15">
        <f t="shared" si="85"/>
        <v>0.35132655987788203</v>
      </c>
      <c r="BA106" s="10">
        <f t="shared" si="119"/>
        <v>5.1262743328093392E-3</v>
      </c>
      <c r="BB106" s="12">
        <f t="shared" si="120"/>
        <v>4.5027534986469453</v>
      </c>
      <c r="BC106" s="54">
        <f t="shared" si="86"/>
        <v>20.376940472917124</v>
      </c>
      <c r="BD106" s="54">
        <f t="shared" si="121"/>
        <v>1698.3048428783618</v>
      </c>
      <c r="BE106" s="15">
        <f t="shared" si="87"/>
        <v>3970.0648289253159</v>
      </c>
      <c r="BF106" s="13">
        <f t="shared" si="122"/>
        <v>57.927989956646016</v>
      </c>
      <c r="BG106" s="13">
        <f t="shared" si="123"/>
        <v>41553.95730454741</v>
      </c>
      <c r="BH106" s="54">
        <f t="shared" si="88"/>
        <v>230263.76007766792</v>
      </c>
      <c r="BI106" s="54">
        <f t="shared" si="124"/>
        <v>12843394.714424137</v>
      </c>
      <c r="BJ106" s="15">
        <f t="shared" si="89"/>
        <v>0.40600000000000003</v>
      </c>
      <c r="BK106" s="12">
        <f t="shared" si="125"/>
        <v>5.9240251572326942E-3</v>
      </c>
      <c r="BL106" s="12">
        <f t="shared" si="126"/>
        <v>15.828203270440243</v>
      </c>
      <c r="BM106" s="54">
        <f t="shared" si="90"/>
        <v>23.547999999999959</v>
      </c>
      <c r="BN106" s="65">
        <f t="shared" si="127"/>
        <v>682.89199999999983</v>
      </c>
      <c r="BO106" s="16">
        <f t="shared" si="91"/>
        <v>29.3</v>
      </c>
      <c r="BP106" s="18">
        <f t="shared" si="128"/>
        <v>0.42752201257861561</v>
      </c>
      <c r="BQ106" s="18">
        <f t="shared" si="129"/>
        <v>1668.6018616352171</v>
      </c>
      <c r="BR106" s="54">
        <f t="shared" si="92"/>
        <v>1699.3999999999971</v>
      </c>
      <c r="BS106" s="65">
        <f t="shared" si="130"/>
        <v>49282.599999999948</v>
      </c>
    </row>
    <row r="107" spans="2:73" ht="15.75" customHeight="1" x14ac:dyDescent="0.25">
      <c r="B107" s="326">
        <v>30</v>
      </c>
      <c r="C107" s="326">
        <f>Scenario_Info!O$10</f>
        <v>21</v>
      </c>
      <c r="D107" s="378">
        <f>Scenario_Info!O$14</f>
        <v>11.6</v>
      </c>
      <c r="E107" s="328">
        <f>Scenario_Info!O$18</f>
        <v>46400</v>
      </c>
      <c r="F107" s="379">
        <f>F106+Percolation!E107/$D$7</f>
        <v>0.43773584905660345</v>
      </c>
      <c r="G107" s="330">
        <f t="shared" si="66"/>
        <v>9.0999999999999998E-2</v>
      </c>
      <c r="H107" s="20">
        <f t="shared" si="93"/>
        <v>1.3277987421383625E-3</v>
      </c>
      <c r="I107" s="331">
        <f t="shared" si="67"/>
        <v>12.860166037735832</v>
      </c>
      <c r="J107" s="332">
        <f t="shared" si="68"/>
        <v>5.2779999999999916</v>
      </c>
      <c r="K107" s="333">
        <f t="shared" si="94"/>
        <v>158.33999999999989</v>
      </c>
      <c r="L107" s="330">
        <f t="shared" si="69"/>
        <v>4.5999999999999999E-2</v>
      </c>
      <c r="M107" s="20">
        <f t="shared" si="95"/>
        <v>6.7119496855345799E-4</v>
      </c>
      <c r="N107" s="331">
        <f t="shared" si="96"/>
        <v>799.97986415094488</v>
      </c>
      <c r="O107" s="332">
        <f t="shared" si="70"/>
        <v>2.6679999999999957</v>
      </c>
      <c r="P107" s="333">
        <f t="shared" si="97"/>
        <v>80.039999999999893</v>
      </c>
      <c r="Q107" s="334">
        <f t="shared" si="71"/>
        <v>5.8</v>
      </c>
      <c r="R107" s="331">
        <f t="shared" si="98"/>
        <v>8.4628930817609915E-2</v>
      </c>
      <c r="S107" s="331">
        <f t="shared" si="99"/>
        <v>498.46113207547239</v>
      </c>
      <c r="T107" s="335">
        <f t="shared" si="72"/>
        <v>336.39999999999941</v>
      </c>
      <c r="U107" s="336">
        <f t="shared" si="100"/>
        <v>10091.999999999993</v>
      </c>
      <c r="V107" s="334">
        <f t="shared" si="73"/>
        <v>36.968341349127144</v>
      </c>
      <c r="W107" s="331">
        <f t="shared" si="101"/>
        <v>0.53941227628914978</v>
      </c>
      <c r="X107" s="331">
        <f t="shared" si="102"/>
        <v>324.792375403753</v>
      </c>
      <c r="Y107" s="335">
        <f t="shared" si="74"/>
        <v>2144.1637982493703</v>
      </c>
      <c r="Z107" s="336">
        <f t="shared" si="103"/>
        <v>597075.30777008017</v>
      </c>
      <c r="AA107" s="337">
        <f t="shared" si="75"/>
        <v>2.5000000000000001E-4</v>
      </c>
      <c r="AB107" s="395">
        <f t="shared" si="104"/>
        <v>3.6477987421383585E-6</v>
      </c>
      <c r="AC107" s="19">
        <f t="shared" si="105"/>
        <v>965.9248905660379</v>
      </c>
      <c r="AD107" s="391">
        <f t="shared" si="76"/>
        <v>1.4499999999999975E-2</v>
      </c>
      <c r="AE107" s="392">
        <f t="shared" si="106"/>
        <v>0.43499999999999955</v>
      </c>
      <c r="AF107" s="334">
        <f t="shared" si="77"/>
        <v>1.42</v>
      </c>
      <c r="AG107" s="331">
        <f t="shared" si="107"/>
        <v>2.0719496855345874E-2</v>
      </c>
      <c r="AH107" s="14">
        <f t="shared" si="108"/>
        <v>11213.378415094343</v>
      </c>
      <c r="AI107" s="335">
        <f t="shared" si="78"/>
        <v>82.359999999999857</v>
      </c>
      <c r="AJ107" s="335">
        <f t="shared" si="109"/>
        <v>2470.799999999997</v>
      </c>
      <c r="AK107" s="338">
        <f t="shared" si="79"/>
        <v>2.59</v>
      </c>
      <c r="AL107" s="339">
        <f t="shared" si="110"/>
        <v>3.779119496855339E-2</v>
      </c>
      <c r="AM107" s="339">
        <f t="shared" si="111"/>
        <v>26.466264150943445</v>
      </c>
      <c r="AN107" s="340">
        <f t="shared" si="80"/>
        <v>150.21999999999971</v>
      </c>
      <c r="AO107" s="340">
        <f t="shared" si="112"/>
        <v>4506.5999999999958</v>
      </c>
      <c r="AP107" s="334">
        <f t="shared" si="81"/>
        <v>1.27</v>
      </c>
      <c r="AQ107" s="331">
        <f t="shared" si="113"/>
        <v>1.8530817610062859E-2</v>
      </c>
      <c r="AR107" s="331">
        <f t="shared" si="114"/>
        <v>125.54407547169831</v>
      </c>
      <c r="AS107" s="335">
        <f t="shared" si="82"/>
        <v>73.659999999999869</v>
      </c>
      <c r="AT107" s="335">
        <f t="shared" si="115"/>
        <v>2209.7999999999988</v>
      </c>
      <c r="AU107" s="334">
        <f t="shared" si="83"/>
        <v>1.4414913798468167</v>
      </c>
      <c r="AV107" s="339">
        <f t="shared" si="116"/>
        <v>2.1033081768834019E-2</v>
      </c>
      <c r="AW107" s="339">
        <f t="shared" si="117"/>
        <v>0.84284721322156231</v>
      </c>
      <c r="AX107" s="340">
        <f t="shared" si="84"/>
        <v>83.606500031115232</v>
      </c>
      <c r="AY107" s="372">
        <f t="shared" si="118"/>
        <v>104372.18232744439</v>
      </c>
      <c r="AZ107" s="334">
        <f t="shared" si="85"/>
        <v>0.35132655987788203</v>
      </c>
      <c r="BA107" s="20">
        <f t="shared" si="119"/>
        <v>5.1262743328093392E-3</v>
      </c>
      <c r="BB107" s="331">
        <f t="shared" si="120"/>
        <v>4.4976272243141358</v>
      </c>
      <c r="BC107" s="335">
        <f t="shared" si="86"/>
        <v>20.376940472917124</v>
      </c>
      <c r="BD107" s="335">
        <f t="shared" si="121"/>
        <v>1718.6817833512789</v>
      </c>
      <c r="BE107" s="334">
        <f t="shared" si="87"/>
        <v>3970.0648289253159</v>
      </c>
      <c r="BF107" s="14">
        <f t="shared" si="122"/>
        <v>57.927989956646016</v>
      </c>
      <c r="BG107" s="14">
        <f t="shared" si="123"/>
        <v>41496.029314590764</v>
      </c>
      <c r="BH107" s="335">
        <f t="shared" si="88"/>
        <v>230263.76007766792</v>
      </c>
      <c r="BI107" s="335">
        <f t="shared" si="124"/>
        <v>13073658.474501805</v>
      </c>
      <c r="BJ107" s="334">
        <f t="shared" si="89"/>
        <v>0.40600000000000003</v>
      </c>
      <c r="BK107" s="331">
        <f t="shared" si="125"/>
        <v>5.9240251572326942E-3</v>
      </c>
      <c r="BL107" s="331">
        <f t="shared" si="126"/>
        <v>15.82227924528301</v>
      </c>
      <c r="BM107" s="335">
        <f t="shared" si="90"/>
        <v>23.547999999999959</v>
      </c>
      <c r="BN107" s="336">
        <f t="shared" si="127"/>
        <v>706.43999999999983</v>
      </c>
      <c r="BO107" s="341">
        <f t="shared" si="91"/>
        <v>29.3</v>
      </c>
      <c r="BP107" s="19">
        <f t="shared" si="128"/>
        <v>0.42752201257861561</v>
      </c>
      <c r="BQ107" s="19">
        <f t="shared" si="129"/>
        <v>1668.1743396226384</v>
      </c>
      <c r="BR107" s="335">
        <f t="shared" si="92"/>
        <v>1699.3999999999971</v>
      </c>
      <c r="BS107" s="336">
        <f t="shared" si="130"/>
        <v>50981.999999999942</v>
      </c>
    </row>
    <row r="108" spans="2:73" s="6" customFormat="1" ht="15.75" customHeight="1" x14ac:dyDescent="0.25">
      <c r="F108" s="29" t="s">
        <v>68</v>
      </c>
      <c r="H108" s="30"/>
      <c r="I108" s="30">
        <f>I107/G66</f>
        <v>0.99691209594851404</v>
      </c>
      <c r="J108" s="30"/>
      <c r="K108" s="30"/>
      <c r="M108" s="30"/>
      <c r="N108" s="30">
        <f>N107/L66</f>
        <v>0.99997483018868105</v>
      </c>
      <c r="O108" s="30"/>
      <c r="P108" s="30"/>
      <c r="R108" s="30"/>
      <c r="S108" s="30">
        <f>S107/Q66</f>
        <v>0.99493239935224032</v>
      </c>
      <c r="T108" s="30"/>
      <c r="U108" s="30"/>
      <c r="W108" s="30"/>
      <c r="X108" s="30">
        <f>X107/V66</f>
        <v>0.6837734219026379</v>
      </c>
      <c r="Y108" s="30"/>
      <c r="Z108" s="30"/>
      <c r="AA108" s="30"/>
      <c r="AB108" s="30"/>
      <c r="AC108" s="30"/>
      <c r="AD108" s="30"/>
      <c r="AE108" s="30"/>
      <c r="AG108" s="30"/>
      <c r="AH108" s="30">
        <f>AH107/AF66</f>
        <v>0.99994457063441622</v>
      </c>
      <c r="AI108" s="30"/>
      <c r="AJ108" s="30"/>
      <c r="AL108" s="30"/>
      <c r="AM108" s="30">
        <f>AM107/AK66</f>
        <v>0.95892261416461755</v>
      </c>
      <c r="AN108" s="30"/>
      <c r="AO108" s="30"/>
      <c r="AQ108" s="30"/>
      <c r="AR108" s="30">
        <f>AR107/AP66</f>
        <v>0.99559139945835295</v>
      </c>
      <c r="AS108" s="30"/>
      <c r="AT108" s="30"/>
      <c r="AV108" s="30"/>
      <c r="AW108" s="30">
        <f>AW107/AU66</f>
        <v>3.1101373181607463E-2</v>
      </c>
      <c r="AX108" s="30"/>
      <c r="AY108" s="30"/>
      <c r="BA108" s="30"/>
      <c r="BB108" s="30">
        <f>BB107/AZ66</f>
        <v>0.91229761142274568</v>
      </c>
      <c r="BC108" s="30"/>
      <c r="BD108" s="30"/>
      <c r="BF108" s="30"/>
      <c r="BG108" s="30">
        <f>BG107/BE66</f>
        <v>0.92656088678331505</v>
      </c>
      <c r="BH108" s="30"/>
      <c r="BI108" s="30"/>
      <c r="BK108" s="30"/>
      <c r="BL108" s="30">
        <f>BL107/BJ66</f>
        <v>0.98889245283018812</v>
      </c>
      <c r="BM108" s="30"/>
      <c r="BN108" s="30"/>
      <c r="BP108" s="30"/>
      <c r="BQ108" s="30">
        <f>BQ107/BO66</f>
        <v>0.99237021988259277</v>
      </c>
      <c r="BR108" s="30"/>
      <c r="BS108" s="30"/>
      <c r="BT108" s="30"/>
      <c r="BU108" s="30"/>
    </row>
    <row r="109" spans="2:73" ht="15.75" customHeight="1" x14ac:dyDescent="0.25"/>
    <row r="110" spans="2:73" ht="15.75" customHeight="1" x14ac:dyDescent="0.25"/>
    <row r="111" spans="2:73" ht="15.75" customHeight="1" x14ac:dyDescent="0.25"/>
    <row r="112" spans="2:7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</sheetData>
  <mergeCells count="4">
    <mergeCell ref="V1:W1"/>
    <mergeCell ref="AU1:AV1"/>
    <mergeCell ref="AZ1:BA1"/>
    <mergeCell ref="BE1:BF1"/>
  </mergeCells>
  <conditionalFormatting sqref="L29:L58">
    <cfRule type="cellIs" dxfId="282" priority="111" operator="greaterThanOrEqual">
      <formula>L$15</formula>
    </cfRule>
  </conditionalFormatting>
  <conditionalFormatting sqref="G29:G58">
    <cfRule type="cellIs" dxfId="281" priority="134" operator="greaterThanOrEqual">
      <formula>G$15</formula>
    </cfRule>
  </conditionalFormatting>
  <conditionalFormatting sqref="BO29:BO58">
    <cfRule type="cellIs" dxfId="280" priority="101" operator="greaterThanOrEqual">
      <formula>BO$15</formula>
    </cfRule>
  </conditionalFormatting>
  <conditionalFormatting sqref="Q29:Q58">
    <cfRule type="cellIs" dxfId="279" priority="110" operator="greaterThanOrEqual">
      <formula>Q$15</formula>
    </cfRule>
  </conditionalFormatting>
  <conditionalFormatting sqref="V29:V58">
    <cfRule type="cellIs" dxfId="278" priority="109" operator="greaterThanOrEqual">
      <formula>V$15</formula>
    </cfRule>
  </conditionalFormatting>
  <conditionalFormatting sqref="AF29:AF58">
    <cfRule type="cellIs" dxfId="277" priority="108" operator="greaterThanOrEqual">
      <formula>AF$15</formula>
    </cfRule>
  </conditionalFormatting>
  <conditionalFormatting sqref="AK29:AK58">
    <cfRule type="cellIs" dxfId="276" priority="107" operator="greaterThanOrEqual">
      <formula>AK$15</formula>
    </cfRule>
  </conditionalFormatting>
  <conditionalFormatting sqref="AP29:AP58">
    <cfRule type="cellIs" dxfId="275" priority="106" operator="greaterThanOrEqual">
      <formula>AP$15</formula>
    </cfRule>
  </conditionalFormatting>
  <conditionalFormatting sqref="BJ29:BJ58">
    <cfRule type="cellIs" dxfId="274" priority="102" operator="greaterThanOrEqual">
      <formula>BJ$15</formula>
    </cfRule>
  </conditionalFormatting>
  <conditionalFormatting sqref="L78:L107">
    <cfRule type="cellIs" dxfId="273" priority="99" operator="greaterThanOrEqual">
      <formula>L$15</formula>
    </cfRule>
  </conditionalFormatting>
  <conditionalFormatting sqref="G78:G107">
    <cfRule type="cellIs" dxfId="272" priority="100" operator="greaterThanOrEqual">
      <formula>G$15</formula>
    </cfRule>
  </conditionalFormatting>
  <conditionalFormatting sqref="BO78:BO107">
    <cfRule type="cellIs" dxfId="271" priority="89" operator="greaterThanOrEqual">
      <formula>BO$15</formula>
    </cfRule>
  </conditionalFormatting>
  <conditionalFormatting sqref="Q78:Q107">
    <cfRule type="cellIs" dxfId="270" priority="98" operator="greaterThanOrEqual">
      <formula>Q$15</formula>
    </cfRule>
  </conditionalFormatting>
  <conditionalFormatting sqref="AF78:AF107">
    <cfRule type="cellIs" dxfId="269" priority="96" operator="greaterThanOrEqual">
      <formula>AF$15</formula>
    </cfRule>
  </conditionalFormatting>
  <conditionalFormatting sqref="AK78:AK107">
    <cfRule type="cellIs" dxfId="268" priority="95" operator="greaterThanOrEqual">
      <formula>AK$15</formula>
    </cfRule>
  </conditionalFormatting>
  <conditionalFormatting sqref="AP78:AP107">
    <cfRule type="cellIs" dxfId="267" priority="94" operator="greaterThanOrEqual">
      <formula>AP$15</formula>
    </cfRule>
  </conditionalFormatting>
  <conditionalFormatting sqref="AA29:AA58">
    <cfRule type="cellIs" dxfId="266" priority="88" operator="greaterThanOrEqual">
      <formula>AA$15</formula>
    </cfRule>
  </conditionalFormatting>
  <conditionalFormatting sqref="BJ78:BJ107">
    <cfRule type="cellIs" dxfId="265" priority="90" operator="greaterThanOrEqual">
      <formula>BJ$15</formula>
    </cfRule>
  </conditionalFormatting>
  <conditionalFormatting sqref="I21:I23">
    <cfRule type="cellIs" dxfId="264" priority="59" operator="greaterThan">
      <formula>1000</formula>
    </cfRule>
    <cfRule type="cellIs" dxfId="263" priority="84" operator="lessThanOrEqual">
      <formula>1</formula>
    </cfRule>
  </conditionalFormatting>
  <conditionalFormatting sqref="BQ70:BQ72">
    <cfRule type="cellIs" dxfId="262" priority="11" operator="greaterThan">
      <formula>1000</formula>
    </cfRule>
    <cfRule type="cellIs" dxfId="261" priority="12" operator="lessThanOrEqual">
      <formula>1</formula>
    </cfRule>
  </conditionalFormatting>
  <conditionalFormatting sqref="N21:N23">
    <cfRule type="cellIs" dxfId="260" priority="57" operator="greaterThan">
      <formula>1000</formula>
    </cfRule>
    <cfRule type="cellIs" dxfId="259" priority="58" operator="lessThanOrEqual">
      <formula>1</formula>
    </cfRule>
  </conditionalFormatting>
  <conditionalFormatting sqref="S21:S23">
    <cfRule type="cellIs" dxfId="258" priority="55" operator="greaterThan">
      <formula>1000</formula>
    </cfRule>
    <cfRule type="cellIs" dxfId="257" priority="56" operator="lessThanOrEqual">
      <formula>1</formula>
    </cfRule>
  </conditionalFormatting>
  <conditionalFormatting sqref="X21:X23">
    <cfRule type="cellIs" dxfId="256" priority="53" operator="greaterThan">
      <formula>1000</formula>
    </cfRule>
    <cfRule type="cellIs" dxfId="255" priority="54" operator="lessThanOrEqual">
      <formula>1</formula>
    </cfRule>
  </conditionalFormatting>
  <conditionalFormatting sqref="AC21:AC23">
    <cfRule type="cellIs" dxfId="254" priority="51" operator="greaterThan">
      <formula>1000</formula>
    </cfRule>
    <cfRule type="cellIs" dxfId="253" priority="52" operator="lessThanOrEqual">
      <formula>1</formula>
    </cfRule>
  </conditionalFormatting>
  <conditionalFormatting sqref="AH21:AH23">
    <cfRule type="cellIs" dxfId="252" priority="49" operator="greaterThan">
      <formula>1000</formula>
    </cfRule>
    <cfRule type="cellIs" dxfId="251" priority="50" operator="lessThanOrEqual">
      <formula>1</formula>
    </cfRule>
  </conditionalFormatting>
  <conditionalFormatting sqref="AM21:AM23">
    <cfRule type="cellIs" dxfId="250" priority="47" operator="greaterThan">
      <formula>1000</formula>
    </cfRule>
    <cfRule type="cellIs" dxfId="249" priority="48" operator="lessThanOrEqual">
      <formula>1</formula>
    </cfRule>
  </conditionalFormatting>
  <conditionalFormatting sqref="AR21:AR23">
    <cfRule type="cellIs" dxfId="248" priority="45" operator="greaterThan">
      <formula>1000</formula>
    </cfRule>
    <cfRule type="cellIs" dxfId="247" priority="46" operator="lessThanOrEqual">
      <formula>1</formula>
    </cfRule>
  </conditionalFormatting>
  <conditionalFormatting sqref="AW21:AW23">
    <cfRule type="cellIs" dxfId="246" priority="43" operator="greaterThan">
      <formula>1000</formula>
    </cfRule>
    <cfRule type="cellIs" dxfId="245" priority="44" operator="lessThanOrEqual">
      <formula>1</formula>
    </cfRule>
  </conditionalFormatting>
  <conditionalFormatting sqref="BB21:BB23">
    <cfRule type="cellIs" dxfId="244" priority="41" operator="greaterThan">
      <formula>1000</formula>
    </cfRule>
    <cfRule type="cellIs" dxfId="243" priority="42" operator="lessThanOrEqual">
      <formula>1</formula>
    </cfRule>
  </conditionalFormatting>
  <conditionalFormatting sqref="BG21:BG23">
    <cfRule type="cellIs" dxfId="242" priority="39" operator="greaterThan">
      <formula>1000</formula>
    </cfRule>
    <cfRule type="cellIs" dxfId="241" priority="40" operator="lessThanOrEqual">
      <formula>1</formula>
    </cfRule>
  </conditionalFormatting>
  <conditionalFormatting sqref="BL21:BL23">
    <cfRule type="cellIs" dxfId="240" priority="37" operator="greaterThan">
      <formula>1000</formula>
    </cfRule>
    <cfRule type="cellIs" dxfId="239" priority="38" operator="lessThanOrEqual">
      <formula>1</formula>
    </cfRule>
  </conditionalFormatting>
  <conditionalFormatting sqref="BQ21:BQ23">
    <cfRule type="cellIs" dxfId="238" priority="35" operator="greaterThan">
      <formula>1000</formula>
    </cfRule>
    <cfRule type="cellIs" dxfId="237" priority="36" operator="lessThanOrEqual">
      <formula>1</formula>
    </cfRule>
  </conditionalFormatting>
  <conditionalFormatting sqref="I70:I72">
    <cfRule type="cellIs" dxfId="236" priority="33" operator="greaterThan">
      <formula>1000</formula>
    </cfRule>
    <cfRule type="cellIs" dxfId="235" priority="34" operator="lessThanOrEqual">
      <formula>1</formula>
    </cfRule>
  </conditionalFormatting>
  <conditionalFormatting sqref="N70:N72">
    <cfRule type="cellIs" dxfId="234" priority="31" operator="greaterThan">
      <formula>1000</formula>
    </cfRule>
    <cfRule type="cellIs" dxfId="233" priority="32" operator="lessThanOrEqual">
      <formula>1</formula>
    </cfRule>
  </conditionalFormatting>
  <conditionalFormatting sqref="S70:S72">
    <cfRule type="cellIs" dxfId="232" priority="29" operator="greaterThan">
      <formula>1000</formula>
    </cfRule>
    <cfRule type="cellIs" dxfId="231" priority="30" operator="lessThanOrEqual">
      <formula>1</formula>
    </cfRule>
  </conditionalFormatting>
  <conditionalFormatting sqref="X70:X72">
    <cfRule type="cellIs" dxfId="230" priority="27" operator="greaterThan">
      <formula>1000</formula>
    </cfRule>
    <cfRule type="cellIs" dxfId="229" priority="28" operator="lessThanOrEqual">
      <formula>1</formula>
    </cfRule>
  </conditionalFormatting>
  <conditionalFormatting sqref="AH70:AH72">
    <cfRule type="cellIs" dxfId="228" priority="25" operator="greaterThan">
      <formula>1000</formula>
    </cfRule>
    <cfRule type="cellIs" dxfId="227" priority="26" operator="lessThanOrEqual">
      <formula>1</formula>
    </cfRule>
  </conditionalFormatting>
  <conditionalFormatting sqref="AM70:AM72">
    <cfRule type="cellIs" dxfId="226" priority="23" operator="greaterThan">
      <formula>1000</formula>
    </cfRule>
    <cfRule type="cellIs" dxfId="225" priority="24" operator="lessThanOrEqual">
      <formula>1</formula>
    </cfRule>
  </conditionalFormatting>
  <conditionalFormatting sqref="AR70:AR72">
    <cfRule type="cellIs" dxfId="224" priority="21" operator="greaterThan">
      <formula>1000</formula>
    </cfRule>
    <cfRule type="cellIs" dxfId="223" priority="22" operator="lessThanOrEqual">
      <formula>1</formula>
    </cfRule>
  </conditionalFormatting>
  <conditionalFormatting sqref="AW70:AW72">
    <cfRule type="cellIs" dxfId="222" priority="19" operator="greaterThan">
      <formula>1000</formula>
    </cfRule>
    <cfRule type="cellIs" dxfId="221" priority="20" operator="lessThanOrEqual">
      <formula>1</formula>
    </cfRule>
  </conditionalFormatting>
  <conditionalFormatting sqref="BB70:BB72">
    <cfRule type="cellIs" dxfId="220" priority="17" operator="greaterThan">
      <formula>1000</formula>
    </cfRule>
    <cfRule type="cellIs" dxfId="219" priority="18" operator="lessThanOrEqual">
      <formula>1</formula>
    </cfRule>
  </conditionalFormatting>
  <conditionalFormatting sqref="BG70:BG72">
    <cfRule type="cellIs" dxfId="218" priority="15" operator="greaterThan">
      <formula>1000</formula>
    </cfRule>
    <cfRule type="cellIs" dxfId="217" priority="16" operator="lessThanOrEqual">
      <formula>1</formula>
    </cfRule>
  </conditionalFormatting>
  <conditionalFormatting sqref="BL70:BL72">
    <cfRule type="cellIs" dxfId="216" priority="13" operator="greaterThan">
      <formula>1000</formula>
    </cfRule>
    <cfRule type="cellIs" dxfId="215" priority="14" operator="lessThanOrEqual">
      <formula>1</formula>
    </cfRule>
  </conditionalFormatting>
  <conditionalFormatting sqref="V78:V107">
    <cfRule type="cellIs" dxfId="214" priority="10" operator="greaterThanOrEqual">
      <formula>V$15</formula>
    </cfRule>
  </conditionalFormatting>
  <conditionalFormatting sqref="AU78:AU107">
    <cfRule type="cellIs" dxfId="213" priority="9" operator="greaterThanOrEqual">
      <formula>AU$15</formula>
    </cfRule>
  </conditionalFormatting>
  <conditionalFormatting sqref="AU29:AU58">
    <cfRule type="cellIs" dxfId="212" priority="8" operator="greaterThanOrEqual">
      <formula>AU$15</formula>
    </cfRule>
  </conditionalFormatting>
  <conditionalFormatting sqref="AZ29:AZ58">
    <cfRule type="cellIs" dxfId="211" priority="7" operator="greaterThanOrEqual">
      <formula>AZ$15</formula>
    </cfRule>
  </conditionalFormatting>
  <conditionalFormatting sqref="BE29:BE58">
    <cfRule type="cellIs" dxfId="210" priority="6" operator="greaterThanOrEqual">
      <formula>BE$15</formula>
    </cfRule>
  </conditionalFormatting>
  <conditionalFormatting sqref="BE78:BE107">
    <cfRule type="cellIs" dxfId="209" priority="5" operator="greaterThanOrEqual">
      <formula>BE$15</formula>
    </cfRule>
  </conditionalFormatting>
  <conditionalFormatting sqref="AZ78:AZ107">
    <cfRule type="cellIs" dxfId="208" priority="4" operator="greaterThanOrEqual">
      <formula>AZ$15</formula>
    </cfRule>
  </conditionalFormatting>
  <conditionalFormatting sqref="AC70:AC72">
    <cfRule type="cellIs" dxfId="207" priority="2" operator="greaterThan">
      <formula>1000</formula>
    </cfRule>
    <cfRule type="cellIs" dxfId="206" priority="3" operator="lessThanOrEqual">
      <formula>1</formula>
    </cfRule>
  </conditionalFormatting>
  <conditionalFormatting sqref="AA78:AA107">
    <cfRule type="cellIs" dxfId="205" priority="1" operator="greaterThanOrEqual">
      <formula>AA$15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113"/>
  <sheetViews>
    <sheetView zoomScale="80" zoomScaleNormal="80" workbookViewId="0">
      <selection activeCell="E7" sqref="E7"/>
    </sheetView>
  </sheetViews>
  <sheetFormatPr defaultRowHeight="15" x14ac:dyDescent="0.25"/>
  <cols>
    <col min="3" max="97" width="11.7109375" customWidth="1"/>
  </cols>
  <sheetData>
    <row r="1" spans="1:97" ht="15.75" customHeight="1" x14ac:dyDescent="0.25">
      <c r="A1" s="64" t="s">
        <v>219</v>
      </c>
    </row>
    <row r="2" spans="1:97" ht="15.75" customHeight="1" x14ac:dyDescent="0.25">
      <c r="A2" s="6" t="s">
        <v>150</v>
      </c>
    </row>
    <row r="3" spans="1:97" ht="15.75" customHeight="1" x14ac:dyDescent="0.25">
      <c r="A3" s="5" t="s">
        <v>144</v>
      </c>
      <c r="B3" t="s">
        <v>215</v>
      </c>
    </row>
    <row r="4" spans="1:97" ht="15.75" customHeight="1" x14ac:dyDescent="0.25">
      <c r="A4" s="5" t="s">
        <v>174</v>
      </c>
      <c r="B4" t="s">
        <v>147</v>
      </c>
    </row>
    <row r="5" spans="1:97" ht="15.75" customHeight="1" x14ac:dyDescent="0.25"/>
    <row r="6" spans="1:97" ht="15.75" customHeight="1" x14ac:dyDescent="0.25">
      <c r="B6" s="6" t="s">
        <v>238</v>
      </c>
    </row>
    <row r="7" spans="1:97" ht="15.75" customHeight="1" x14ac:dyDescent="0.35">
      <c r="D7" s="191" t="s">
        <v>248</v>
      </c>
      <c r="E7" s="17">
        <f>1.12*Scenario_Info!D19</f>
        <v>3561600.0000000005</v>
      </c>
      <c r="F7" t="s">
        <v>396</v>
      </c>
      <c r="G7" s="414" t="s">
        <v>267</v>
      </c>
      <c r="H7" s="415"/>
      <c r="I7" s="416"/>
      <c r="N7" s="414" t="s">
        <v>267</v>
      </c>
      <c r="O7" s="415"/>
      <c r="P7" s="416"/>
      <c r="U7" s="414" t="s">
        <v>267</v>
      </c>
      <c r="V7" s="415"/>
      <c r="W7" s="416"/>
      <c r="AB7" s="414" t="s">
        <v>267</v>
      </c>
      <c r="AC7" s="415"/>
      <c r="AD7" s="416"/>
      <c r="AI7" s="414" t="s">
        <v>267</v>
      </c>
      <c r="AJ7" s="415"/>
      <c r="AK7" s="416"/>
      <c r="AP7" s="414" t="s">
        <v>267</v>
      </c>
      <c r="AQ7" s="415"/>
      <c r="AR7" s="416"/>
      <c r="AW7" s="414" t="s">
        <v>267</v>
      </c>
      <c r="AX7" s="415"/>
      <c r="AY7" s="416"/>
      <c r="BD7" s="414" t="s">
        <v>267</v>
      </c>
      <c r="BE7" s="415"/>
      <c r="BF7" s="416"/>
      <c r="BK7" s="414" t="s">
        <v>267</v>
      </c>
      <c r="BL7" s="415"/>
      <c r="BM7" s="416"/>
      <c r="BR7" s="414" t="s">
        <v>267</v>
      </c>
      <c r="BS7" s="415"/>
      <c r="BT7" s="416"/>
      <c r="BY7" s="414" t="s">
        <v>267</v>
      </c>
      <c r="BZ7" s="415"/>
      <c r="CA7" s="416"/>
      <c r="CF7" s="414" t="s">
        <v>267</v>
      </c>
      <c r="CG7" s="415"/>
      <c r="CH7" s="416"/>
      <c r="CM7" s="414" t="s">
        <v>267</v>
      </c>
      <c r="CN7" s="415"/>
      <c r="CO7" s="416"/>
    </row>
    <row r="8" spans="1:97" s="6" customFormat="1" ht="15.75" customHeight="1" x14ac:dyDescent="0.35">
      <c r="A8"/>
      <c r="B8"/>
      <c r="C8" s="5"/>
      <c r="D8" s="5" t="s">
        <v>249</v>
      </c>
      <c r="E8">
        <v>800</v>
      </c>
      <c r="F8" s="188" t="s">
        <v>269</v>
      </c>
      <c r="G8" s="417" t="s">
        <v>82</v>
      </c>
      <c r="H8" s="418">
        <v>0.1036855642243462</v>
      </c>
      <c r="I8" s="419" t="s">
        <v>244</v>
      </c>
      <c r="J8"/>
      <c r="K8"/>
      <c r="L8"/>
      <c r="M8"/>
      <c r="N8" s="417" t="s">
        <v>82</v>
      </c>
      <c r="O8" s="418">
        <v>0.63974710654259992</v>
      </c>
      <c r="P8" s="419" t="s">
        <v>244</v>
      </c>
      <c r="Q8"/>
      <c r="R8"/>
      <c r="S8"/>
      <c r="T8"/>
      <c r="U8" s="417" t="s">
        <v>82</v>
      </c>
      <c r="V8" s="90">
        <v>9.3250745921239941E-2</v>
      </c>
      <c r="W8" s="419" t="s">
        <v>244</v>
      </c>
      <c r="X8"/>
      <c r="Y8"/>
      <c r="Z8"/>
      <c r="AA8"/>
      <c r="AB8" s="417" t="s">
        <v>82</v>
      </c>
      <c r="AC8" s="397">
        <v>490.88477945667125</v>
      </c>
      <c r="AD8" s="419" t="s">
        <v>244</v>
      </c>
      <c r="AE8"/>
      <c r="AF8"/>
      <c r="AG8"/>
      <c r="AH8"/>
      <c r="AI8" s="417" t="s">
        <v>82</v>
      </c>
      <c r="AJ8" s="90">
        <v>0.13230710490584791</v>
      </c>
      <c r="AK8" s="419" t="s">
        <v>244</v>
      </c>
      <c r="AL8"/>
      <c r="AM8"/>
      <c r="AN8"/>
      <c r="AO8"/>
      <c r="AP8" s="417" t="s">
        <v>82</v>
      </c>
      <c r="AQ8" s="432">
        <v>3.1170679727067196</v>
      </c>
      <c r="AR8" s="419" t="s">
        <v>244</v>
      </c>
      <c r="AS8"/>
      <c r="AT8"/>
      <c r="AU8"/>
      <c r="AV8"/>
      <c r="AW8" s="417" t="s">
        <v>82</v>
      </c>
      <c r="AX8" s="90">
        <v>0.13246941303315529</v>
      </c>
      <c r="AY8" s="419" t="s">
        <v>244</v>
      </c>
      <c r="AZ8"/>
      <c r="BA8"/>
      <c r="BB8"/>
      <c r="BC8"/>
      <c r="BD8" s="417" t="s">
        <v>82</v>
      </c>
      <c r="BE8" s="90">
        <v>4.1171501919598814</v>
      </c>
      <c r="BF8" s="419" t="s">
        <v>244</v>
      </c>
      <c r="BG8"/>
      <c r="BH8"/>
      <c r="BI8"/>
      <c r="BJ8"/>
      <c r="BK8" s="417" t="s">
        <v>82</v>
      </c>
      <c r="BL8" s="433">
        <v>205.4473868084591</v>
      </c>
      <c r="BM8" s="419" t="s">
        <v>244</v>
      </c>
      <c r="BN8"/>
      <c r="BO8"/>
      <c r="BP8"/>
      <c r="BQ8"/>
      <c r="BR8" s="417" t="s">
        <v>82</v>
      </c>
      <c r="BS8" s="90">
        <v>0.28845677284275445</v>
      </c>
      <c r="BT8" s="419" t="s">
        <v>244</v>
      </c>
      <c r="BU8"/>
      <c r="BV8"/>
      <c r="BW8"/>
      <c r="BX8"/>
      <c r="BY8" s="417" t="s">
        <v>82</v>
      </c>
      <c r="BZ8" s="397">
        <v>1512.2376312921356</v>
      </c>
      <c r="CA8" s="419" t="s">
        <v>244</v>
      </c>
      <c r="CB8"/>
      <c r="CC8"/>
      <c r="CD8"/>
      <c r="CE8"/>
      <c r="CF8" s="417" t="s">
        <v>82</v>
      </c>
      <c r="CG8" s="90">
        <v>3.4423169722689626</v>
      </c>
      <c r="CH8" s="419" t="s">
        <v>244</v>
      </c>
      <c r="CI8"/>
      <c r="CJ8"/>
      <c r="CK8"/>
      <c r="CL8"/>
      <c r="CM8" s="417" t="s">
        <v>82</v>
      </c>
      <c r="CN8" s="90">
        <v>0.23771249415365847</v>
      </c>
      <c r="CO8" s="419" t="s">
        <v>244</v>
      </c>
      <c r="CP8"/>
      <c r="CQ8"/>
      <c r="CR8"/>
      <c r="CS8"/>
    </row>
    <row r="9" spans="1:97" s="6" customFormat="1" ht="15.75" customHeight="1" x14ac:dyDescent="0.35">
      <c r="A9"/>
      <c r="B9"/>
      <c r="C9" s="5"/>
      <c r="D9" s="5" t="s">
        <v>250</v>
      </c>
      <c r="E9">
        <v>400</v>
      </c>
      <c r="F9" s="188" t="s">
        <v>269</v>
      </c>
      <c r="G9" s="420" t="s">
        <v>80</v>
      </c>
      <c r="H9" s="90">
        <v>0.11894734059595864</v>
      </c>
      <c r="I9" s="91" t="s">
        <v>244</v>
      </c>
      <c r="J9"/>
      <c r="K9"/>
      <c r="L9"/>
      <c r="M9"/>
      <c r="N9" s="420" t="s">
        <v>80</v>
      </c>
      <c r="O9" s="90">
        <v>0.757415824690575</v>
      </c>
      <c r="P9" s="91" t="s">
        <v>244</v>
      </c>
      <c r="Q9"/>
      <c r="R9"/>
      <c r="S9"/>
      <c r="T9"/>
      <c r="U9" s="420" t="s">
        <v>80</v>
      </c>
      <c r="V9" s="90">
        <v>0.10232203473225586</v>
      </c>
      <c r="W9" s="91" t="s">
        <v>244</v>
      </c>
      <c r="X9"/>
      <c r="Y9"/>
      <c r="Z9"/>
      <c r="AA9"/>
      <c r="AB9" s="420" t="s">
        <v>80</v>
      </c>
      <c r="AC9" s="397">
        <v>2373.555889027381</v>
      </c>
      <c r="AD9" s="91" t="s">
        <v>244</v>
      </c>
      <c r="AE9"/>
      <c r="AF9"/>
      <c r="AG9"/>
      <c r="AH9"/>
      <c r="AI9" s="420" t="s">
        <v>80</v>
      </c>
      <c r="AJ9" s="90">
        <v>0.23294048360500189</v>
      </c>
      <c r="AK9" s="91" t="s">
        <v>244</v>
      </c>
      <c r="AL9"/>
      <c r="AM9"/>
      <c r="AN9"/>
      <c r="AO9"/>
      <c r="AP9" s="420" t="s">
        <v>80</v>
      </c>
      <c r="AQ9" s="432">
        <v>3.5970275094463817</v>
      </c>
      <c r="AR9" s="91" t="s">
        <v>244</v>
      </c>
      <c r="AS9"/>
      <c r="AT9"/>
      <c r="AU9"/>
      <c r="AV9"/>
      <c r="AW9" s="420" t="s">
        <v>80</v>
      </c>
      <c r="AX9" s="90">
        <v>0.26685051080526823</v>
      </c>
      <c r="AY9" s="91" t="s">
        <v>244</v>
      </c>
      <c r="AZ9"/>
      <c r="BA9"/>
      <c r="BB9"/>
      <c r="BC9"/>
      <c r="BD9" s="420" t="s">
        <v>80</v>
      </c>
      <c r="BE9" s="90">
        <v>5.3669419497386013</v>
      </c>
      <c r="BF9" s="91" t="s">
        <v>244</v>
      </c>
      <c r="BG9"/>
      <c r="BH9"/>
      <c r="BI9"/>
      <c r="BJ9"/>
      <c r="BK9" s="420" t="s">
        <v>80</v>
      </c>
      <c r="BL9" s="433">
        <v>406.25775815308316</v>
      </c>
      <c r="BM9" s="91" t="s">
        <v>244</v>
      </c>
      <c r="BN9"/>
      <c r="BO9"/>
      <c r="BP9"/>
      <c r="BQ9"/>
      <c r="BR9" s="420" t="s">
        <v>80</v>
      </c>
      <c r="BS9" s="90">
        <v>0.3898529541453773</v>
      </c>
      <c r="BT9" s="91" t="s">
        <v>244</v>
      </c>
      <c r="BU9"/>
      <c r="BV9"/>
      <c r="BW9"/>
      <c r="BX9"/>
      <c r="BY9" s="420" t="s">
        <v>80</v>
      </c>
      <c r="BZ9" s="397">
        <v>2493.4264639349767</v>
      </c>
      <c r="CA9" s="91" t="s">
        <v>244</v>
      </c>
      <c r="CB9"/>
      <c r="CC9"/>
      <c r="CD9"/>
      <c r="CE9"/>
      <c r="CF9" s="420" t="s">
        <v>80</v>
      </c>
      <c r="CG9" s="90">
        <v>4.5701090994990476</v>
      </c>
      <c r="CH9" s="91" t="s">
        <v>244</v>
      </c>
      <c r="CI9"/>
      <c r="CJ9"/>
      <c r="CK9"/>
      <c r="CL9"/>
      <c r="CM9" s="420" t="s">
        <v>80</v>
      </c>
      <c r="CN9" s="90">
        <v>0.3498294996594446</v>
      </c>
      <c r="CO9" s="91" t="s">
        <v>244</v>
      </c>
      <c r="CP9"/>
      <c r="CQ9"/>
      <c r="CR9"/>
      <c r="CS9"/>
    </row>
    <row r="10" spans="1:97" ht="15.75" customHeight="1" x14ac:dyDescent="0.25">
      <c r="D10" s="5"/>
      <c r="E10" s="24"/>
      <c r="G10" s="421" t="s">
        <v>81</v>
      </c>
      <c r="H10" s="422">
        <v>0.13179008307934711</v>
      </c>
      <c r="I10" s="423" t="s">
        <v>244</v>
      </c>
      <c r="N10" s="421" t="s">
        <v>81</v>
      </c>
      <c r="O10" s="422">
        <v>0.9621906051087934</v>
      </c>
      <c r="P10" s="423" t="s">
        <v>244</v>
      </c>
      <c r="U10" s="421" t="s">
        <v>81</v>
      </c>
      <c r="V10" s="422">
        <v>0.11820627476560389</v>
      </c>
      <c r="W10" s="423" t="s">
        <v>244</v>
      </c>
      <c r="AB10" s="421" t="s">
        <v>81</v>
      </c>
      <c r="AC10" s="469">
        <v>3461.4392248056988</v>
      </c>
      <c r="AD10" s="423" t="s">
        <v>244</v>
      </c>
      <c r="AI10" s="421" t="s">
        <v>81</v>
      </c>
      <c r="AJ10" s="422">
        <v>0.32694576668735675</v>
      </c>
      <c r="AK10" s="423" t="s">
        <v>244</v>
      </c>
      <c r="AP10" s="421" t="s">
        <v>81</v>
      </c>
      <c r="AQ10" s="533">
        <v>4.1394290641567686</v>
      </c>
      <c r="AR10" s="423" t="s">
        <v>244</v>
      </c>
      <c r="AW10" s="421" t="s">
        <v>81</v>
      </c>
      <c r="AX10" s="422">
        <v>0.40258672687335112</v>
      </c>
      <c r="AY10" s="423" t="s">
        <v>244</v>
      </c>
      <c r="BD10" s="421" t="s">
        <v>81</v>
      </c>
      <c r="BE10" s="422">
        <v>8.1731297445219866</v>
      </c>
      <c r="BF10" s="423" t="s">
        <v>244</v>
      </c>
      <c r="BK10" s="421" t="s">
        <v>81</v>
      </c>
      <c r="BL10" s="534">
        <v>586.75504797157396</v>
      </c>
      <c r="BM10" s="423" t="s">
        <v>244</v>
      </c>
      <c r="BR10" s="421" t="s">
        <v>81</v>
      </c>
      <c r="BS10" s="422">
        <v>0.44789160534532807</v>
      </c>
      <c r="BT10" s="423" t="s">
        <v>244</v>
      </c>
      <c r="BY10" s="421" t="s">
        <v>81</v>
      </c>
      <c r="BZ10" s="469">
        <v>3427.8882307635031</v>
      </c>
      <c r="CA10" s="423" t="s">
        <v>244</v>
      </c>
      <c r="CF10" s="421" t="s">
        <v>81</v>
      </c>
      <c r="CG10" s="422">
        <v>6.5421863425277849</v>
      </c>
      <c r="CH10" s="423" t="s">
        <v>244</v>
      </c>
      <c r="CM10" s="421" t="s">
        <v>81</v>
      </c>
      <c r="CN10" s="422">
        <v>0.61648524511938296</v>
      </c>
      <c r="CO10" s="423" t="s">
        <v>244</v>
      </c>
    </row>
    <row r="11" spans="1:97" s="85" customFormat="1" ht="15.75" customHeight="1" x14ac:dyDescent="0.25">
      <c r="A11" s="6"/>
      <c r="B11" s="9" t="s">
        <v>83</v>
      </c>
      <c r="C11"/>
      <c r="D11" s="5"/>
      <c r="E11" s="2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s="85" customFormat="1" ht="15.75" customHeight="1" x14ac:dyDescent="0.25">
      <c r="A12" s="6"/>
      <c r="B12"/>
      <c r="C12" s="5"/>
      <c r="D12" s="5" t="s">
        <v>295</v>
      </c>
      <c r="E12" s="24">
        <f>Scenario_Info!N15/100</f>
        <v>1.3000000000000001E-2</v>
      </c>
      <c r="F12" t="s">
        <v>79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</row>
    <row r="13" spans="1:97" s="85" customFormat="1" ht="15.75" customHeight="1" x14ac:dyDescent="0.25">
      <c r="A13" s="6"/>
      <c r="B13"/>
      <c r="C13"/>
      <c r="D13" s="5" t="s">
        <v>296</v>
      </c>
      <c r="E13" s="24">
        <f>Scenario_Info!N16/100</f>
        <v>3.5000000000000003E-2</v>
      </c>
      <c r="F13" t="s">
        <v>79</v>
      </c>
      <c r="G13" s="352"/>
      <c r="H13" s="353"/>
      <c r="I13" s="353"/>
      <c r="J13" s="354" t="str">
        <f>Screening_Assessment!B14</f>
        <v>Antimony</v>
      </c>
      <c r="K13" s="354"/>
      <c r="L13" s="354"/>
      <c r="M13" s="425"/>
      <c r="N13" s="352"/>
      <c r="O13" s="353"/>
      <c r="P13" s="353"/>
      <c r="Q13" s="354" t="str">
        <f>Screening_Assessment!B15</f>
        <v>Arsenic</v>
      </c>
      <c r="R13" s="353"/>
      <c r="S13" s="353"/>
      <c r="T13" s="355"/>
      <c r="U13" s="353"/>
      <c r="V13" s="353"/>
      <c r="W13" s="353"/>
      <c r="X13" s="354" t="str">
        <f>Screening_Assessment!B19</f>
        <v>Cadmium</v>
      </c>
      <c r="Y13" s="353"/>
      <c r="Z13" s="353"/>
      <c r="AA13" s="355"/>
      <c r="AB13" s="357"/>
      <c r="AC13" s="357"/>
      <c r="AD13" s="357"/>
      <c r="AE13" s="358" t="str">
        <f>Screening_Assessment!B22</f>
        <v>Chloride</v>
      </c>
      <c r="AF13" s="357"/>
      <c r="AG13" s="357"/>
      <c r="AH13" s="439"/>
      <c r="AI13" s="353"/>
      <c r="AJ13" s="353"/>
      <c r="AK13" s="353"/>
      <c r="AL13" s="354" t="str">
        <f>Screening_Assessment!R23</f>
        <v>Chromium</v>
      </c>
      <c r="AM13" s="353"/>
      <c r="AN13" s="353"/>
      <c r="AO13" s="355"/>
      <c r="AP13" s="353"/>
      <c r="AQ13" s="353"/>
      <c r="AR13" s="353"/>
      <c r="AS13" s="354" t="str">
        <f>Screening_Assessment!B25</f>
        <v>Copper</v>
      </c>
      <c r="AT13" s="353"/>
      <c r="AU13" s="353"/>
      <c r="AV13" s="353"/>
      <c r="AW13" s="352"/>
      <c r="AX13" s="353"/>
      <c r="AY13" s="353"/>
      <c r="AZ13" s="354" t="str">
        <f>Screening_Assessment!B26</f>
        <v>Fluoride</v>
      </c>
      <c r="BA13" s="353"/>
      <c r="BB13" s="353"/>
      <c r="BC13" s="355"/>
      <c r="BD13" s="353"/>
      <c r="BE13" s="353"/>
      <c r="BF13" s="353"/>
      <c r="BG13" s="354" t="str">
        <f>Screening_Assessment!B28</f>
        <v>Lead</v>
      </c>
      <c r="BH13" s="353"/>
      <c r="BI13" s="353"/>
      <c r="BJ13" s="355"/>
      <c r="BK13" s="356"/>
      <c r="BL13" s="357"/>
      <c r="BM13" s="357"/>
      <c r="BN13" s="358" t="str">
        <f>Screening_Assessment!B34</f>
        <v>Nitrate</v>
      </c>
      <c r="BO13" s="357"/>
      <c r="BP13" s="357"/>
      <c r="BQ13" s="439"/>
      <c r="BR13" s="357"/>
      <c r="BS13" s="357"/>
      <c r="BT13" s="357"/>
      <c r="BU13" s="358" t="str">
        <f>Screening_Assessment!B36</f>
        <v>Selenium</v>
      </c>
      <c r="BV13" s="357"/>
      <c r="BW13" s="357"/>
      <c r="BX13" s="357"/>
      <c r="BY13" s="440"/>
      <c r="BZ13" s="441"/>
      <c r="CA13" s="441"/>
      <c r="CB13" s="358" t="str">
        <f>Screening_Assessment!R40</f>
        <v>Sulfate</v>
      </c>
      <c r="CC13" s="441"/>
      <c r="CD13" s="357"/>
      <c r="CE13" s="442"/>
      <c r="CF13" s="448"/>
      <c r="CG13" s="449"/>
      <c r="CH13" s="449"/>
      <c r="CI13" s="354" t="str">
        <f>Screening_Assessment!B41</f>
        <v>Thallium</v>
      </c>
      <c r="CJ13" s="449"/>
      <c r="CK13" s="353"/>
      <c r="CL13" s="449"/>
      <c r="CM13" s="448"/>
      <c r="CN13" s="449"/>
      <c r="CO13" s="449"/>
      <c r="CP13" s="450" t="str">
        <f>Screening_Assessment!B46</f>
        <v>Zinc</v>
      </c>
      <c r="CQ13" s="449"/>
      <c r="CR13" s="353"/>
      <c r="CS13" s="451"/>
    </row>
    <row r="14" spans="1:97" s="85" customFormat="1" ht="15.75" customHeight="1" x14ac:dyDescent="0.25">
      <c r="A14"/>
      <c r="B14"/>
      <c r="C14"/>
      <c r="D14"/>
      <c r="E14"/>
      <c r="F14"/>
      <c r="G14" s="359"/>
      <c r="H14" s="360"/>
      <c r="I14" s="360"/>
      <c r="J14" s="361" t="str">
        <f>Screening_Assessment!K14</f>
        <v>Solubility</v>
      </c>
      <c r="K14" s="361"/>
      <c r="L14" s="361"/>
      <c r="M14" s="424"/>
      <c r="N14" s="359"/>
      <c r="O14" s="360"/>
      <c r="P14" s="360"/>
      <c r="Q14" s="361" t="str">
        <f>Screening_Assessment!K15</f>
        <v>Solubility</v>
      </c>
      <c r="R14" s="360"/>
      <c r="S14" s="360"/>
      <c r="T14" s="362"/>
      <c r="U14" s="360"/>
      <c r="V14" s="360"/>
      <c r="W14" s="360"/>
      <c r="X14" s="361" t="str">
        <f>Screening_Assessment!K19</f>
        <v>Solubility</v>
      </c>
      <c r="Y14" s="360"/>
      <c r="Z14" s="360"/>
      <c r="AA14" s="362"/>
      <c r="AB14" s="364"/>
      <c r="AC14" s="364"/>
      <c r="AD14" s="364"/>
      <c r="AE14" s="365" t="str">
        <f>Screening_Assessment!K22</f>
        <v>Available Content</v>
      </c>
      <c r="AF14" s="364"/>
      <c r="AG14" s="364"/>
      <c r="AH14" s="434"/>
      <c r="AI14" s="360"/>
      <c r="AJ14" s="360"/>
      <c r="AK14" s="360"/>
      <c r="AL14" s="361" t="str">
        <f>Screening_Assessment!AA23</f>
        <v>Solubility</v>
      </c>
      <c r="AM14" s="360"/>
      <c r="AN14" s="360"/>
      <c r="AO14" s="362"/>
      <c r="AP14" s="360"/>
      <c r="AQ14" s="360"/>
      <c r="AR14" s="360"/>
      <c r="AS14" s="361" t="str">
        <f>Screening_Assessment!K25</f>
        <v>Solubility</v>
      </c>
      <c r="AT14" s="360"/>
      <c r="AU14" s="360"/>
      <c r="AV14" s="360"/>
      <c r="AW14" s="359"/>
      <c r="AX14" s="360"/>
      <c r="AY14" s="360"/>
      <c r="AZ14" s="361" t="str">
        <f>Screening_Assessment!K26</f>
        <v>Solubility</v>
      </c>
      <c r="BA14" s="360"/>
      <c r="BB14" s="360"/>
      <c r="BC14" s="362"/>
      <c r="BD14" s="360"/>
      <c r="BE14" s="360"/>
      <c r="BF14" s="360"/>
      <c r="BG14" s="361" t="str">
        <f>Screening_Assessment!K28</f>
        <v>Solubility</v>
      </c>
      <c r="BH14" s="360"/>
      <c r="BI14" s="360"/>
      <c r="BJ14" s="362"/>
      <c r="BK14" s="363"/>
      <c r="BL14" s="364"/>
      <c r="BM14" s="364"/>
      <c r="BN14" s="365" t="str">
        <f>Screening_Assessment!K34</f>
        <v>Available Content</v>
      </c>
      <c r="BO14" s="364"/>
      <c r="BP14" s="364"/>
      <c r="BQ14" s="434"/>
      <c r="BR14" s="364"/>
      <c r="BS14" s="364"/>
      <c r="BT14" s="364"/>
      <c r="BU14" s="365" t="str">
        <f>Screening_Assessment!K36</f>
        <v>Available Content</v>
      </c>
      <c r="BV14" s="364"/>
      <c r="BW14" s="364"/>
      <c r="BX14" s="364"/>
      <c r="BY14" s="435"/>
      <c r="BZ14" s="436"/>
      <c r="CA14" s="436"/>
      <c r="CB14" s="437" t="str">
        <f>Screening_Assessment!AA40</f>
        <v>Solubility</v>
      </c>
      <c r="CC14" s="436"/>
      <c r="CD14" s="364"/>
      <c r="CE14" s="438"/>
      <c r="CF14" s="443"/>
      <c r="CG14" s="444"/>
      <c r="CH14" s="444"/>
      <c r="CI14" s="445" t="str">
        <f>Screening_Assessment!K41</f>
        <v>Solubility</v>
      </c>
      <c r="CJ14" s="444"/>
      <c r="CK14" s="360"/>
      <c r="CL14" s="444"/>
      <c r="CM14" s="443"/>
      <c r="CN14" s="444"/>
      <c r="CO14" s="444"/>
      <c r="CP14" s="446" t="str">
        <f>Screening_Assessment!K46</f>
        <v>Solubility</v>
      </c>
      <c r="CQ14" s="444"/>
      <c r="CR14" s="360"/>
      <c r="CS14" s="447"/>
    </row>
    <row r="15" spans="1:97" s="85" customFormat="1" ht="15.75" customHeight="1" x14ac:dyDescent="0.25">
      <c r="D15" s="86"/>
      <c r="E15" s="86"/>
      <c r="F15" s="86" t="s">
        <v>5</v>
      </c>
      <c r="G15" s="92">
        <f>Screening_Assessment!C14</f>
        <v>6.0000000000000001E-3</v>
      </c>
      <c r="H15" s="88" t="s">
        <v>193</v>
      </c>
      <c r="I15" s="104"/>
      <c r="J15" s="104"/>
      <c r="K15" s="104"/>
      <c r="L15" s="104"/>
      <c r="M15" s="343"/>
      <c r="N15" s="94">
        <f>Screening_Assessment!C15</f>
        <v>0.01</v>
      </c>
      <c r="O15" s="88" t="s">
        <v>193</v>
      </c>
      <c r="P15" s="93"/>
      <c r="Q15" s="93"/>
      <c r="R15" s="89"/>
      <c r="T15" s="91"/>
      <c r="U15" s="94">
        <f>Screening_Assessment!C19</f>
        <v>5.0000000000000001E-3</v>
      </c>
      <c r="V15" s="88" t="s">
        <v>193</v>
      </c>
      <c r="W15" s="93"/>
      <c r="X15" s="93"/>
      <c r="Y15" s="89"/>
      <c r="AA15" s="91"/>
      <c r="AB15" s="95">
        <f>Screening_Assessment!C22</f>
        <v>250</v>
      </c>
      <c r="AC15" s="88" t="s">
        <v>193</v>
      </c>
      <c r="AD15" s="93"/>
      <c r="AE15" s="93"/>
      <c r="AF15" s="89"/>
      <c r="AH15" s="91"/>
      <c r="AI15" s="94">
        <f>Screening_Assessment!S23</f>
        <v>0.1</v>
      </c>
      <c r="AJ15" s="88" t="s">
        <v>193</v>
      </c>
      <c r="AK15" s="93"/>
      <c r="AL15" s="93"/>
      <c r="AM15" s="89"/>
      <c r="AO15" s="91"/>
      <c r="AP15" s="97">
        <f>Screening_Assessment!C25</f>
        <v>1.3</v>
      </c>
      <c r="AQ15" s="88" t="s">
        <v>193</v>
      </c>
      <c r="AR15" s="93"/>
      <c r="AS15" s="93"/>
      <c r="AT15" s="89"/>
      <c r="AV15" s="88"/>
      <c r="AW15" s="100">
        <f>Screening_Assessment!C26</f>
        <v>4</v>
      </c>
      <c r="AX15" s="88" t="s">
        <v>193</v>
      </c>
      <c r="AY15" s="93"/>
      <c r="AZ15" s="93"/>
      <c r="BA15" s="89"/>
      <c r="BC15" s="91"/>
      <c r="BD15" s="94">
        <f>Screening_Assessment!C28</f>
        <v>1.4999999999999999E-2</v>
      </c>
      <c r="BE15" s="88" t="s">
        <v>193</v>
      </c>
      <c r="BF15" s="93"/>
      <c r="BG15" s="93"/>
      <c r="BH15" s="89"/>
      <c r="BJ15" s="91"/>
      <c r="BK15" s="100">
        <f>Screening_Assessment!C34</f>
        <v>44</v>
      </c>
      <c r="BL15" s="88" t="s">
        <v>193</v>
      </c>
      <c r="BM15" s="93"/>
      <c r="BN15" s="93"/>
      <c r="BO15" s="89"/>
      <c r="BQ15" s="91"/>
      <c r="BR15" s="94">
        <f>Screening_Assessment!C36</f>
        <v>0.05</v>
      </c>
      <c r="BS15" s="88" t="s">
        <v>193</v>
      </c>
      <c r="BT15" s="93"/>
      <c r="BU15" s="93"/>
      <c r="BV15" s="89"/>
      <c r="BX15" s="88"/>
      <c r="BY15" s="98">
        <f>Screening_Assessment!C40</f>
        <v>250</v>
      </c>
      <c r="BZ15" s="88" t="s">
        <v>193</v>
      </c>
      <c r="CA15" s="93"/>
      <c r="CB15" s="93"/>
      <c r="CC15" s="89"/>
      <c r="CE15" s="91"/>
      <c r="CF15" s="92">
        <f>Screening_Assessment!C41</f>
        <v>2E-3</v>
      </c>
      <c r="CG15" s="88" t="s">
        <v>193</v>
      </c>
      <c r="CH15" s="93"/>
      <c r="CI15" s="93"/>
      <c r="CJ15" s="89"/>
      <c r="CL15" s="91"/>
      <c r="CM15" s="100">
        <f>Screening_Assessment!C46</f>
        <v>5</v>
      </c>
      <c r="CN15" s="88" t="s">
        <v>193</v>
      </c>
      <c r="CO15" s="93"/>
      <c r="CP15" s="93"/>
      <c r="CQ15" s="89"/>
      <c r="CS15" s="91"/>
    </row>
    <row r="16" spans="1:97" s="85" customFormat="1" ht="15.75" customHeight="1" x14ac:dyDescent="0.25">
      <c r="D16" s="86"/>
      <c r="E16" s="86"/>
      <c r="F16" s="322" t="s">
        <v>241</v>
      </c>
      <c r="G16" s="92">
        <f>Screening_Assessment!Z14</f>
        <v>0.20899999999999999</v>
      </c>
      <c r="H16" s="88" t="s">
        <v>193</v>
      </c>
      <c r="I16" s="104"/>
      <c r="J16" s="104"/>
      <c r="K16" s="104"/>
      <c r="L16" s="104"/>
      <c r="M16" s="343"/>
      <c r="N16" s="94">
        <f>Screening_Assessment!Z15</f>
        <v>0.35499999999999998</v>
      </c>
      <c r="O16" s="88" t="s">
        <v>193</v>
      </c>
      <c r="P16" s="93"/>
      <c r="Q16" s="93"/>
      <c r="R16" s="89"/>
      <c r="T16" s="91"/>
      <c r="U16" s="476">
        <f>Screening_Assessment!Z19</f>
        <v>9.4299999999999995E-2</v>
      </c>
      <c r="V16" s="88" t="s">
        <v>193</v>
      </c>
      <c r="W16" s="93"/>
      <c r="X16" s="93"/>
      <c r="Y16" s="89"/>
      <c r="AA16" s="91"/>
      <c r="AB16" s="474">
        <f>Screening_Assessment!Z22</f>
        <v>35.5</v>
      </c>
      <c r="AC16" s="88" t="s">
        <v>193</v>
      </c>
      <c r="AD16" s="93"/>
      <c r="AE16" s="93"/>
      <c r="AF16" s="89"/>
      <c r="AH16" s="91"/>
      <c r="AI16" s="94">
        <f>Screening_Assessment!Z23</f>
        <v>0.28899999999999998</v>
      </c>
      <c r="AJ16" s="88" t="s">
        <v>193</v>
      </c>
      <c r="AK16" s="93"/>
      <c r="AL16" s="93"/>
      <c r="AM16" s="89"/>
      <c r="AO16" s="91"/>
      <c r="AP16" s="97">
        <f>Screening_Assessment!Z25</f>
        <v>2.2999999999999998</v>
      </c>
      <c r="AQ16" s="88" t="s">
        <v>193</v>
      </c>
      <c r="AR16" s="93"/>
      <c r="AS16" s="93"/>
      <c r="AT16" s="89"/>
      <c r="AV16" s="88"/>
      <c r="AW16" s="100">
        <f>Screening_Assessment!Z26</f>
        <v>6.45</v>
      </c>
      <c r="AX16" s="88" t="s">
        <v>193</v>
      </c>
      <c r="AY16" s="93"/>
      <c r="AZ16" s="93"/>
      <c r="BA16" s="89"/>
      <c r="BC16" s="91"/>
      <c r="BD16" s="94">
        <f>Screening_Assessment!Z28</f>
        <v>7.2</v>
      </c>
      <c r="BE16" s="88" t="s">
        <v>193</v>
      </c>
      <c r="BF16" s="93"/>
      <c r="BG16" s="93"/>
      <c r="BH16" s="89"/>
      <c r="BJ16" s="91"/>
      <c r="BK16" s="97">
        <f>Screening_Assessment!Z34</f>
        <v>2.68</v>
      </c>
      <c r="BL16" s="88" t="s">
        <v>193</v>
      </c>
      <c r="BM16" s="93"/>
      <c r="BN16" s="93"/>
      <c r="BO16" s="89"/>
      <c r="BQ16" s="91"/>
      <c r="BR16" s="94">
        <f>Screening_Assessment!Z36</f>
        <v>0.249</v>
      </c>
      <c r="BS16" s="88" t="s">
        <v>193</v>
      </c>
      <c r="BT16" s="93"/>
      <c r="BU16" s="93"/>
      <c r="BV16" s="89"/>
      <c r="BX16" s="88"/>
      <c r="BY16" s="98">
        <f>Screening_Assessment!Z40</f>
        <v>1863</v>
      </c>
      <c r="BZ16" s="88" t="s">
        <v>193</v>
      </c>
      <c r="CA16" s="93"/>
      <c r="CB16" s="93"/>
      <c r="CC16" s="89"/>
      <c r="CE16" s="91"/>
      <c r="CF16" s="94">
        <f>Screening_Assessment!Z41</f>
        <v>0.23</v>
      </c>
      <c r="CG16" s="88" t="s">
        <v>193</v>
      </c>
      <c r="CH16" s="93"/>
      <c r="CI16" s="93"/>
      <c r="CJ16" s="89"/>
      <c r="CL16" s="91"/>
      <c r="CM16" s="478">
        <f>Screening_Assessment!Z46</f>
        <v>3.85</v>
      </c>
      <c r="CN16" s="88" t="s">
        <v>193</v>
      </c>
      <c r="CO16" s="93"/>
      <c r="CP16" s="93"/>
      <c r="CQ16" s="89"/>
      <c r="CS16" s="91"/>
    </row>
    <row r="17" spans="1:97" s="22" customFormat="1" ht="15.75" customHeight="1" x14ac:dyDescent="0.25">
      <c r="A17" s="85"/>
      <c r="B17" s="85"/>
      <c r="C17" s="85"/>
      <c r="D17" s="86"/>
      <c r="E17" s="86"/>
      <c r="F17" s="322" t="s">
        <v>224</v>
      </c>
      <c r="G17" s="275">
        <f>Screening_Assessment!W14</f>
        <v>53.95000000000001</v>
      </c>
      <c r="H17" s="104" t="s">
        <v>194</v>
      </c>
      <c r="I17" s="309" t="s">
        <v>243</v>
      </c>
      <c r="J17" s="397">
        <f>G17*$E$7/$E$8</f>
        <v>240185.40000000008</v>
      </c>
      <c r="K17" s="104" t="s">
        <v>245</v>
      </c>
      <c r="L17" s="104"/>
      <c r="M17" s="343"/>
      <c r="N17" s="85">
        <f>Screening_Assessment!W15</f>
        <v>767.4</v>
      </c>
      <c r="O17" s="104" t="s">
        <v>194</v>
      </c>
      <c r="P17" s="309" t="s">
        <v>243</v>
      </c>
      <c r="Q17" s="397">
        <f>N17*$E$7/$E$8</f>
        <v>3416464.8000000007</v>
      </c>
      <c r="R17" s="104" t="s">
        <v>245</v>
      </c>
      <c r="S17" s="85"/>
      <c r="T17" s="91"/>
      <c r="U17" s="102">
        <f>Screening_Assessment!W19</f>
        <v>380</v>
      </c>
      <c r="V17" s="104" t="s">
        <v>194</v>
      </c>
      <c r="W17" s="309" t="s">
        <v>243</v>
      </c>
      <c r="X17" s="397">
        <f>U17*$E$7/$E$8</f>
        <v>1691760.0000000002</v>
      </c>
      <c r="Y17" s="104" t="s">
        <v>245</v>
      </c>
      <c r="Z17" s="85"/>
      <c r="AA17" s="91"/>
      <c r="AB17" s="103">
        <f>Screening_Assessment!W22</f>
        <v>528</v>
      </c>
      <c r="AC17" s="104" t="s">
        <v>194</v>
      </c>
      <c r="AD17" s="309" t="s">
        <v>243</v>
      </c>
      <c r="AE17" s="397">
        <f>AB17*$E$7/$E$8</f>
        <v>2350656.0000000005</v>
      </c>
      <c r="AF17" s="104" t="s">
        <v>245</v>
      </c>
      <c r="AG17" s="85"/>
      <c r="AH17" s="91"/>
      <c r="AI17" s="477">
        <f>Screening_Assessment!W23</f>
        <v>21.1</v>
      </c>
      <c r="AJ17" s="104" t="s">
        <v>194</v>
      </c>
      <c r="AK17" s="309" t="s">
        <v>243</v>
      </c>
      <c r="AL17" s="397">
        <f>AI17*$E$7/$E$8</f>
        <v>93937.200000000012</v>
      </c>
      <c r="AM17" s="104" t="s">
        <v>245</v>
      </c>
      <c r="AN17" s="85"/>
      <c r="AO17" s="91"/>
      <c r="AP17" s="106">
        <f>Screening_Assessment!W25</f>
        <v>8988</v>
      </c>
      <c r="AQ17" s="104" t="s">
        <v>194</v>
      </c>
      <c r="AR17" s="309" t="s">
        <v>243</v>
      </c>
      <c r="AS17" s="397">
        <f>AP17*$E$7/$E$8</f>
        <v>40014576.000000007</v>
      </c>
      <c r="AT17" s="104" t="s">
        <v>245</v>
      </c>
      <c r="AU17" s="85"/>
      <c r="AV17" s="88"/>
      <c r="AW17" s="103">
        <f>Screening_Assessment!W26</f>
        <v>302</v>
      </c>
      <c r="AX17" s="104" t="s">
        <v>194</v>
      </c>
      <c r="AY17" s="309" t="s">
        <v>243</v>
      </c>
      <c r="AZ17" s="397">
        <f>AW17*$E$7/$E$8</f>
        <v>1344504.0000000002</v>
      </c>
      <c r="BA17" s="104" t="s">
        <v>245</v>
      </c>
      <c r="BB17" s="85"/>
      <c r="BC17" s="91"/>
      <c r="BD17" s="103">
        <f>Screening_Assessment!W28</f>
        <v>114</v>
      </c>
      <c r="BE17" s="104" t="s">
        <v>194</v>
      </c>
      <c r="BF17" s="309" t="s">
        <v>243</v>
      </c>
      <c r="BG17" s="397">
        <f>BD17*$E$7/$E$8</f>
        <v>507528.00000000006</v>
      </c>
      <c r="BH17" s="104" t="s">
        <v>245</v>
      </c>
      <c r="BI17" s="85"/>
      <c r="BJ17" s="91"/>
      <c r="BK17" s="105">
        <f>Screening_Assessment!W34</f>
        <v>26.8</v>
      </c>
      <c r="BL17" s="104" t="s">
        <v>194</v>
      </c>
      <c r="BM17" s="309" t="s">
        <v>243</v>
      </c>
      <c r="BN17" s="397">
        <f>BK17*$E$7/$E$8</f>
        <v>119313.60000000002</v>
      </c>
      <c r="BO17" s="104" t="s">
        <v>245</v>
      </c>
      <c r="BP17" s="85"/>
      <c r="BQ17" s="91"/>
      <c r="BR17" s="105">
        <f>Screening_Assessment!W36</f>
        <v>5.13</v>
      </c>
      <c r="BS17" s="104" t="s">
        <v>194</v>
      </c>
      <c r="BT17" s="309" t="s">
        <v>243</v>
      </c>
      <c r="BU17" s="397">
        <f>BR17*$E$7/$E$8</f>
        <v>22838.760000000006</v>
      </c>
      <c r="BV17" s="104" t="s">
        <v>245</v>
      </c>
      <c r="BW17" s="85"/>
      <c r="BX17" s="88"/>
      <c r="BY17" s="103">
        <f>Screening_Assessment!W40</f>
        <v>21323</v>
      </c>
      <c r="BZ17" s="104" t="s">
        <v>194</v>
      </c>
      <c r="CA17" s="309" t="s">
        <v>243</v>
      </c>
      <c r="CB17" s="397">
        <f>BY17*$E$7/$E$8</f>
        <v>94929996.000000015</v>
      </c>
      <c r="CC17" s="104" t="s">
        <v>245</v>
      </c>
      <c r="CD17" s="85"/>
      <c r="CE17" s="91"/>
      <c r="CF17" s="105">
        <f>Screening_Assessment!W41</f>
        <v>17.55</v>
      </c>
      <c r="CG17" s="104" t="s">
        <v>194</v>
      </c>
      <c r="CH17" s="309" t="s">
        <v>243</v>
      </c>
      <c r="CI17" s="397">
        <f>CF17*$E$7/$E$8</f>
        <v>78132.600000000006</v>
      </c>
      <c r="CJ17" s="104" t="s">
        <v>245</v>
      </c>
      <c r="CK17" s="85"/>
      <c r="CL17" s="91"/>
      <c r="CM17" s="103">
        <f>Screening_Assessment!W46</f>
        <v>1625</v>
      </c>
      <c r="CN17" s="104" t="s">
        <v>194</v>
      </c>
      <c r="CO17" s="309" t="s">
        <v>243</v>
      </c>
      <c r="CP17" s="397">
        <f>CM17*$E$7/$E$8</f>
        <v>7234500.0000000009</v>
      </c>
      <c r="CQ17" s="104" t="s">
        <v>245</v>
      </c>
      <c r="CR17" s="85"/>
      <c r="CS17" s="91"/>
    </row>
    <row r="18" spans="1:97" s="22" customFormat="1" ht="15.75" customHeight="1" x14ac:dyDescent="0.25">
      <c r="A18" s="85"/>
      <c r="B18" s="85"/>
      <c r="C18" s="85"/>
      <c r="D18" s="86"/>
      <c r="E18" s="86"/>
      <c r="F18" s="86" t="s">
        <v>242</v>
      </c>
      <c r="G18" s="263">
        <f>Screening_Assessment!T14</f>
        <v>444</v>
      </c>
      <c r="H18" s="104" t="s">
        <v>194</v>
      </c>
      <c r="I18" s="309" t="s">
        <v>243</v>
      </c>
      <c r="J18" s="397">
        <f>G18*$E$7/$E$8</f>
        <v>1976688.0000000002</v>
      </c>
      <c r="K18" s="396" t="s">
        <v>246</v>
      </c>
      <c r="L18" s="104"/>
      <c r="M18" s="91"/>
      <c r="N18" s="475">
        <f>Screening_Assessment!T15</f>
        <v>251.4</v>
      </c>
      <c r="O18" s="104" t="s">
        <v>194</v>
      </c>
      <c r="P18" s="309" t="s">
        <v>243</v>
      </c>
      <c r="Q18" s="397">
        <f>N18*$E$7/$E$8</f>
        <v>1119232.8</v>
      </c>
      <c r="R18" s="396" t="s">
        <v>246</v>
      </c>
      <c r="S18" s="90"/>
      <c r="T18" s="91"/>
      <c r="U18" s="102">
        <f>Screening_Assessment!T19</f>
        <v>13000</v>
      </c>
      <c r="V18" s="104" t="s">
        <v>194</v>
      </c>
      <c r="W18" s="309" t="s">
        <v>243</v>
      </c>
      <c r="X18" s="397">
        <f>U18*$E$7/$E$8</f>
        <v>57876000.000000007</v>
      </c>
      <c r="Y18" s="396" t="s">
        <v>246</v>
      </c>
      <c r="Z18" s="90"/>
      <c r="AA18" s="91"/>
      <c r="AB18" s="103" t="str">
        <f>Screening_Assessment!T22</f>
        <v>NA</v>
      </c>
      <c r="AC18" s="104" t="s">
        <v>194</v>
      </c>
      <c r="AD18" s="309" t="s">
        <v>243</v>
      </c>
      <c r="AE18" s="452" t="s">
        <v>44</v>
      </c>
      <c r="AF18" s="396" t="s">
        <v>246</v>
      </c>
      <c r="AG18" s="96"/>
      <c r="AH18" s="91"/>
      <c r="AI18" s="477">
        <f>Screening_Assessment!T23</f>
        <v>552.1</v>
      </c>
      <c r="AJ18" s="104" t="s">
        <v>194</v>
      </c>
      <c r="AK18" s="309" t="s">
        <v>243</v>
      </c>
      <c r="AL18" s="397">
        <f>AI18*$E$7/$E$8</f>
        <v>2457949.2000000002</v>
      </c>
      <c r="AM18" s="396" t="s">
        <v>246</v>
      </c>
      <c r="AN18" s="90"/>
      <c r="AO18" s="91"/>
      <c r="AP18" s="106">
        <f>Screening_Assessment!T25</f>
        <v>16348</v>
      </c>
      <c r="AQ18" s="104" t="s">
        <v>194</v>
      </c>
      <c r="AR18" s="309" t="s">
        <v>243</v>
      </c>
      <c r="AS18" s="397">
        <f>AP18*$E$7/$E$8</f>
        <v>72781296.000000015</v>
      </c>
      <c r="AT18" s="396" t="s">
        <v>246</v>
      </c>
      <c r="AU18" s="90"/>
      <c r="AV18" s="88"/>
      <c r="AW18" s="105" t="str">
        <f>Screening_Assessment!T26</f>
        <v>NA</v>
      </c>
      <c r="AX18" s="104" t="s">
        <v>194</v>
      </c>
      <c r="AY18" s="309" t="s">
        <v>243</v>
      </c>
      <c r="AZ18" s="452" t="s">
        <v>44</v>
      </c>
      <c r="BA18" s="396" t="s">
        <v>246</v>
      </c>
      <c r="BB18" s="90"/>
      <c r="BC18" s="91"/>
      <c r="BD18" s="103">
        <f>Screening_Assessment!T28</f>
        <v>3131</v>
      </c>
      <c r="BE18" s="104" t="s">
        <v>194</v>
      </c>
      <c r="BF18" s="309" t="s">
        <v>243</v>
      </c>
      <c r="BG18" s="397">
        <f>BD18*$E$7/$E$8</f>
        <v>13939212.000000002</v>
      </c>
      <c r="BH18" s="396" t="s">
        <v>246</v>
      </c>
      <c r="BI18" s="90"/>
      <c r="BJ18" s="91"/>
      <c r="BK18" s="105" t="str">
        <f>Screening_Assessment!T34</f>
        <v>NA</v>
      </c>
      <c r="BL18" s="104" t="s">
        <v>194</v>
      </c>
      <c r="BM18" s="309" t="s">
        <v>243</v>
      </c>
      <c r="BN18" s="452" t="s">
        <v>44</v>
      </c>
      <c r="BO18" s="396" t="s">
        <v>246</v>
      </c>
      <c r="BP18" s="90"/>
      <c r="BQ18" s="91"/>
      <c r="BR18" s="105">
        <f>Screening_Assessment!T36</f>
        <v>31.6</v>
      </c>
      <c r="BS18" s="104" t="s">
        <v>194</v>
      </c>
      <c r="BT18" s="309" t="s">
        <v>243</v>
      </c>
      <c r="BU18" s="397">
        <f>BR18*$E$7/$E$8</f>
        <v>140683.20000000001</v>
      </c>
      <c r="BV18" s="396" t="s">
        <v>246</v>
      </c>
      <c r="BW18" s="90"/>
      <c r="BX18" s="88"/>
      <c r="BY18" s="103" t="str">
        <f>Screening_Assessment!T40</f>
        <v>NA</v>
      </c>
      <c r="BZ18" s="104" t="s">
        <v>194</v>
      </c>
      <c r="CA18" s="309" t="s">
        <v>243</v>
      </c>
      <c r="CB18" s="452" t="s">
        <v>44</v>
      </c>
      <c r="CC18" s="396" t="s">
        <v>246</v>
      </c>
      <c r="CD18" s="96"/>
      <c r="CE18" s="91"/>
      <c r="CF18" s="105">
        <f>Screening_Assessment!T41</f>
        <v>24.3</v>
      </c>
      <c r="CG18" s="104" t="s">
        <v>194</v>
      </c>
      <c r="CH18" s="309" t="s">
        <v>243</v>
      </c>
      <c r="CI18" s="397">
        <f>CF18*$E$7/$E$8</f>
        <v>108183.60000000002</v>
      </c>
      <c r="CJ18" s="396" t="s">
        <v>246</v>
      </c>
      <c r="CK18" s="90"/>
      <c r="CL18" s="91"/>
      <c r="CM18" s="103">
        <f>Screening_Assessment!T46</f>
        <v>11184</v>
      </c>
      <c r="CN18" s="104" t="s">
        <v>194</v>
      </c>
      <c r="CO18" s="309" t="s">
        <v>243</v>
      </c>
      <c r="CP18" s="397">
        <f>CM18*$E$7/$E$8</f>
        <v>49791168.000000007</v>
      </c>
      <c r="CQ18" s="396" t="s">
        <v>246</v>
      </c>
      <c r="CR18" s="90"/>
      <c r="CS18" s="91"/>
    </row>
    <row r="19" spans="1:97" s="22" customFormat="1" ht="15.75" customHeight="1" x14ac:dyDescent="0.25">
      <c r="A19" s="85"/>
      <c r="B19" s="85"/>
      <c r="C19" s="85"/>
      <c r="D19" s="86"/>
      <c r="E19" s="86"/>
      <c r="F19" s="86"/>
      <c r="G19" s="275"/>
      <c r="H19" s="104"/>
      <c r="I19" s="101"/>
      <c r="J19" s="104"/>
      <c r="K19" s="396"/>
      <c r="L19" s="90"/>
      <c r="M19" s="91"/>
      <c r="N19" s="85"/>
      <c r="O19" s="104"/>
      <c r="P19" s="101"/>
      <c r="Q19" s="93"/>
      <c r="R19" s="89"/>
      <c r="S19" s="90"/>
      <c r="T19" s="91"/>
      <c r="U19" s="102"/>
      <c r="V19" s="104"/>
      <c r="W19" s="101"/>
      <c r="X19" s="93"/>
      <c r="Y19" s="89"/>
      <c r="Z19" s="90"/>
      <c r="AA19" s="91"/>
      <c r="AB19" s="103"/>
      <c r="AC19" s="104"/>
      <c r="AD19" s="101"/>
      <c r="AE19" s="93"/>
      <c r="AF19" s="89"/>
      <c r="AG19" s="96"/>
      <c r="AH19" s="91"/>
      <c r="AI19" s="105"/>
      <c r="AJ19" s="104"/>
      <c r="AK19" s="101"/>
      <c r="AL19" s="93"/>
      <c r="AM19" s="89"/>
      <c r="AN19" s="90"/>
      <c r="AO19" s="91"/>
      <c r="AP19" s="106"/>
      <c r="AQ19" s="104"/>
      <c r="AR19" s="101"/>
      <c r="AS19" s="93"/>
      <c r="AT19" s="89"/>
      <c r="AU19" s="90"/>
      <c r="AV19" s="88"/>
      <c r="AW19" s="105"/>
      <c r="AX19" s="104"/>
      <c r="AY19" s="101"/>
      <c r="AZ19" s="93"/>
      <c r="BA19" s="89"/>
      <c r="BB19" s="90"/>
      <c r="BC19" s="91"/>
      <c r="BD19" s="105"/>
      <c r="BE19" s="104"/>
      <c r="BF19" s="101"/>
      <c r="BG19" s="93"/>
      <c r="BH19" s="89"/>
      <c r="BI19" s="90"/>
      <c r="BJ19" s="91"/>
      <c r="BK19" s="105"/>
      <c r="BL19" s="104"/>
      <c r="BM19" s="101"/>
      <c r="BN19" s="93"/>
      <c r="BO19" s="89"/>
      <c r="BP19" s="90"/>
      <c r="BQ19" s="91"/>
      <c r="BR19" s="105"/>
      <c r="BS19" s="104"/>
      <c r="BT19" s="101"/>
      <c r="BU19" s="93"/>
      <c r="BV19" s="89"/>
      <c r="BW19" s="90"/>
      <c r="BX19" s="88"/>
      <c r="BY19" s="103"/>
      <c r="BZ19" s="104"/>
      <c r="CA19" s="101"/>
      <c r="CB19" s="93"/>
      <c r="CC19" s="89"/>
      <c r="CD19" s="96"/>
      <c r="CE19" s="91"/>
      <c r="CF19" s="105"/>
      <c r="CG19" s="104"/>
      <c r="CH19" s="101"/>
      <c r="CI19" s="93"/>
      <c r="CJ19" s="89"/>
      <c r="CK19" s="90"/>
      <c r="CL19" s="91"/>
      <c r="CM19" s="105"/>
      <c r="CN19" s="104"/>
      <c r="CO19" s="101"/>
      <c r="CP19" s="93"/>
      <c r="CQ19" s="89"/>
      <c r="CR19" s="90"/>
      <c r="CS19" s="91"/>
    </row>
    <row r="20" spans="1:97" s="22" customFormat="1" ht="15.75" customHeight="1" x14ac:dyDescent="0.25">
      <c r="A20" s="85"/>
      <c r="B20" s="85"/>
      <c r="C20" s="85"/>
      <c r="D20" s="86"/>
      <c r="E20" s="86"/>
      <c r="F20" s="317" t="s">
        <v>227</v>
      </c>
      <c r="G20" s="350" t="s">
        <v>228</v>
      </c>
      <c r="H20" s="104"/>
      <c r="I20" s="101" t="s">
        <v>38</v>
      </c>
      <c r="J20" s="104"/>
      <c r="K20" s="85"/>
      <c r="L20" s="85"/>
      <c r="M20" s="343"/>
      <c r="N20" s="85"/>
      <c r="O20" s="104"/>
      <c r="P20" s="101" t="s">
        <v>38</v>
      </c>
      <c r="Q20" s="93"/>
      <c r="R20" s="89"/>
      <c r="S20" s="90"/>
      <c r="T20" s="91"/>
      <c r="U20" s="102"/>
      <c r="V20" s="104"/>
      <c r="W20" s="101" t="s">
        <v>38</v>
      </c>
      <c r="X20" s="93"/>
      <c r="Y20" s="89"/>
      <c r="Z20" s="90"/>
      <c r="AA20" s="91"/>
      <c r="AB20" s="103"/>
      <c r="AC20" s="104"/>
      <c r="AD20" s="101" t="s">
        <v>38</v>
      </c>
      <c r="AE20" s="93"/>
      <c r="AF20" s="89"/>
      <c r="AG20" s="96"/>
      <c r="AH20" s="91"/>
      <c r="AI20" s="105"/>
      <c r="AJ20" s="104"/>
      <c r="AK20" s="101" t="s">
        <v>38</v>
      </c>
      <c r="AL20" s="93"/>
      <c r="AM20" s="89"/>
      <c r="AN20" s="90"/>
      <c r="AO20" s="91"/>
      <c r="AP20" s="106"/>
      <c r="AQ20" s="104"/>
      <c r="AR20" s="101" t="s">
        <v>38</v>
      </c>
      <c r="AS20" s="93"/>
      <c r="AT20" s="89"/>
      <c r="AU20" s="90"/>
      <c r="AV20" s="88"/>
      <c r="AW20" s="105"/>
      <c r="AX20" s="104"/>
      <c r="AY20" s="101" t="s">
        <v>38</v>
      </c>
      <c r="AZ20" s="93"/>
      <c r="BA20" s="89"/>
      <c r="BB20" s="90"/>
      <c r="BC20" s="91"/>
      <c r="BD20" s="105"/>
      <c r="BE20" s="104"/>
      <c r="BF20" s="101" t="s">
        <v>38</v>
      </c>
      <c r="BG20" s="93"/>
      <c r="BH20" s="89"/>
      <c r="BI20" s="90"/>
      <c r="BJ20" s="91"/>
      <c r="BK20" s="105"/>
      <c r="BL20" s="104"/>
      <c r="BM20" s="101" t="s">
        <v>38</v>
      </c>
      <c r="BN20" s="93"/>
      <c r="BO20" s="89"/>
      <c r="BP20" s="90"/>
      <c r="BQ20" s="91"/>
      <c r="BR20" s="105"/>
      <c r="BS20" s="104"/>
      <c r="BT20" s="101" t="s">
        <v>38</v>
      </c>
      <c r="BU20" s="93"/>
      <c r="BV20" s="89"/>
      <c r="BW20" s="90"/>
      <c r="BX20" s="88"/>
      <c r="BY20" s="103"/>
      <c r="BZ20" s="104"/>
      <c r="CA20" s="101" t="s">
        <v>38</v>
      </c>
      <c r="CB20" s="93"/>
      <c r="CC20" s="89"/>
      <c r="CD20" s="96"/>
      <c r="CE20" s="91"/>
      <c r="CF20" s="105"/>
      <c r="CG20" s="104"/>
      <c r="CH20" s="101" t="s">
        <v>38</v>
      </c>
      <c r="CI20" s="93"/>
      <c r="CJ20" s="89"/>
      <c r="CK20" s="90"/>
      <c r="CL20" s="91"/>
      <c r="CM20" s="105"/>
      <c r="CN20" s="104"/>
      <c r="CO20" s="101" t="s">
        <v>38</v>
      </c>
      <c r="CP20" s="93"/>
      <c r="CQ20" s="89"/>
      <c r="CR20" s="90"/>
      <c r="CS20" s="91"/>
    </row>
    <row r="21" spans="1:97" s="398" customFormat="1" ht="12.75" customHeight="1" x14ac:dyDescent="0.25">
      <c r="A21" s="22"/>
      <c r="B21" s="22"/>
      <c r="C21" s="23"/>
      <c r="D21" s="23"/>
      <c r="E21" s="23"/>
      <c r="F21" s="23" t="s">
        <v>85</v>
      </c>
      <c r="G21" s="79">
        <f>I29</f>
        <v>2.150100771730648E-3</v>
      </c>
      <c r="H21" s="31" t="s">
        <v>193</v>
      </c>
      <c r="I21" s="77">
        <f>G21/G$15</f>
        <v>0.35835012862177468</v>
      </c>
      <c r="J21" s="45"/>
      <c r="K21" s="22"/>
      <c r="L21" s="22"/>
      <c r="M21" s="28"/>
      <c r="N21" s="408">
        <f>P29</f>
        <v>1.8188869864443215E-2</v>
      </c>
      <c r="O21" s="31" t="s">
        <v>193</v>
      </c>
      <c r="P21" s="300">
        <f>N21/N$15</f>
        <v>1.8188869864443213</v>
      </c>
      <c r="Q21" s="45"/>
      <c r="R21" s="22"/>
      <c r="S21" s="22"/>
      <c r="T21" s="28"/>
      <c r="U21" s="79">
        <f>W29</f>
        <v>1.4037021808492465E-3</v>
      </c>
      <c r="V21" s="31" t="s">
        <v>193</v>
      </c>
      <c r="W21" s="77">
        <f>U21/U$15</f>
        <v>0.28074043616984928</v>
      </c>
      <c r="X21" s="45"/>
      <c r="Y21" s="22"/>
      <c r="Z21" s="22"/>
      <c r="AA21" s="28"/>
      <c r="AB21" s="78">
        <f>AD29</f>
        <v>35.5</v>
      </c>
      <c r="AC21" s="31" t="s">
        <v>193</v>
      </c>
      <c r="AD21" s="77">
        <f>AB21/AB$15</f>
        <v>0.14199999999999999</v>
      </c>
      <c r="AE21" s="45"/>
      <c r="AF21" s="22"/>
      <c r="AG21" s="22"/>
      <c r="AH21" s="28"/>
      <c r="AI21" s="76">
        <f>AK29</f>
        <v>1.4319431856941463E-2</v>
      </c>
      <c r="AJ21" s="31" t="s">
        <v>193</v>
      </c>
      <c r="AK21" s="77">
        <f>AI21/AI$15</f>
        <v>0.14319431856941461</v>
      </c>
      <c r="AL21" s="45"/>
      <c r="AM21" s="22"/>
      <c r="AN21" s="22"/>
      <c r="AO21" s="28"/>
      <c r="AP21" s="76">
        <f>AR29</f>
        <v>6.9728116747303268E-2</v>
      </c>
      <c r="AQ21" s="31" t="s">
        <v>193</v>
      </c>
      <c r="AR21" s="302">
        <f>AP21/AP$15</f>
        <v>5.3637012882540976E-2</v>
      </c>
      <c r="AS21" s="45"/>
      <c r="AT21" s="22"/>
      <c r="AU21" s="22"/>
      <c r="AV21" s="28"/>
      <c r="AW21" s="76">
        <f>AY29</f>
        <v>1.9277017717788617E-2</v>
      </c>
      <c r="AX21" s="31" t="s">
        <v>193</v>
      </c>
      <c r="AY21" s="302">
        <f>AW21/AW$15</f>
        <v>4.8192544294471543E-3</v>
      </c>
      <c r="AZ21" s="45"/>
      <c r="BA21" s="22"/>
      <c r="BB21" s="22"/>
      <c r="BC21" s="28"/>
      <c r="BD21" s="76">
        <f>BF29</f>
        <v>0.20280754973715356</v>
      </c>
      <c r="BE21" s="31" t="s">
        <v>193</v>
      </c>
      <c r="BF21" s="301">
        <f>BD21/BD$15</f>
        <v>13.520503315810238</v>
      </c>
      <c r="BG21" s="45"/>
      <c r="BH21" s="22"/>
      <c r="BI21" s="22"/>
      <c r="BJ21" s="28"/>
      <c r="BK21" s="78">
        <f>BM29</f>
        <v>2.6800000000000006</v>
      </c>
      <c r="BL21" s="31" t="s">
        <v>193</v>
      </c>
      <c r="BM21" s="302">
        <f>BK21/BK$15</f>
        <v>6.090909090909092E-2</v>
      </c>
      <c r="BN21" s="45"/>
      <c r="BO21" s="22"/>
      <c r="BP21" s="22"/>
      <c r="BQ21" s="28"/>
      <c r="BR21" s="76">
        <f>BT29</f>
        <v>1.3869052334547582E-2</v>
      </c>
      <c r="BS21" s="31" t="s">
        <v>193</v>
      </c>
      <c r="BT21" s="77">
        <f>BR21/BR$15</f>
        <v>0.27738104669095165</v>
      </c>
      <c r="BU21" s="45"/>
      <c r="BV21" s="22"/>
      <c r="BW21" s="22"/>
      <c r="BX21" s="28"/>
      <c r="BY21" s="33">
        <f>CA29</f>
        <v>139.88909355018458</v>
      </c>
      <c r="BZ21" s="31" t="s">
        <v>193</v>
      </c>
      <c r="CA21" s="77">
        <f>BY21/BY$15</f>
        <v>0.55955637420073834</v>
      </c>
      <c r="CB21" s="45"/>
      <c r="CC21" s="22"/>
      <c r="CD21" s="22"/>
      <c r="CE21" s="28"/>
      <c r="CF21" s="32">
        <f>CH29</f>
        <v>0.17447419083869345</v>
      </c>
      <c r="CG21" s="31" t="s">
        <v>193</v>
      </c>
      <c r="CH21" s="301">
        <f>CF21/CF$15</f>
        <v>87.23709541934673</v>
      </c>
      <c r="CI21" s="45"/>
      <c r="CJ21" s="22"/>
      <c r="CK21" s="22"/>
      <c r="CL21" s="28"/>
      <c r="CM21" s="76">
        <f>CO29</f>
        <v>1.8420873309874089E-2</v>
      </c>
      <c r="CN21" s="31" t="s">
        <v>193</v>
      </c>
      <c r="CO21" s="302">
        <f>CM21/CM$15</f>
        <v>3.684174661974818E-3</v>
      </c>
      <c r="CP21" s="45"/>
      <c r="CQ21" s="22"/>
      <c r="CR21" s="22"/>
      <c r="CS21" s="28"/>
    </row>
    <row r="22" spans="1:97" s="6" customFormat="1" ht="15.75" customHeight="1" x14ac:dyDescent="0.25">
      <c r="A22" s="22"/>
      <c r="B22" s="22"/>
      <c r="C22" s="23"/>
      <c r="D22" s="23"/>
      <c r="E22" s="23"/>
      <c r="F22" s="23" t="s">
        <v>86</v>
      </c>
      <c r="G22" s="79">
        <f>AVERAGE(I29:I33)</f>
        <v>2.150100771730648E-3</v>
      </c>
      <c r="H22" s="31" t="s">
        <v>193</v>
      </c>
      <c r="I22" s="77">
        <f>G22/G$15</f>
        <v>0.35835012862177468</v>
      </c>
      <c r="J22" s="45"/>
      <c r="K22" s="22"/>
      <c r="L22" s="22"/>
      <c r="M22" s="28"/>
      <c r="N22" s="408">
        <f>AVERAGE(P29:P33)</f>
        <v>1.8188869864443215E-2</v>
      </c>
      <c r="O22" s="31" t="s">
        <v>193</v>
      </c>
      <c r="P22" s="300">
        <f>N22/N$15</f>
        <v>1.8188869864443213</v>
      </c>
      <c r="Q22" s="45"/>
      <c r="R22" s="22"/>
      <c r="S22" s="22"/>
      <c r="T22" s="28"/>
      <c r="U22" s="79">
        <f>AVERAGE(W29:W33)</f>
        <v>1.4037021808492465E-3</v>
      </c>
      <c r="V22" s="31" t="s">
        <v>193</v>
      </c>
      <c r="W22" s="77">
        <f>U22/U$15</f>
        <v>0.28074043616984928</v>
      </c>
      <c r="X22" s="45"/>
      <c r="Y22" s="22"/>
      <c r="Z22" s="22"/>
      <c r="AA22" s="28"/>
      <c r="AB22" s="78">
        <f>AVERAGE(AD29:AD33)</f>
        <v>35.5</v>
      </c>
      <c r="AC22" s="31" t="s">
        <v>193</v>
      </c>
      <c r="AD22" s="77">
        <f>AB22/AB$15</f>
        <v>0.14199999999999999</v>
      </c>
      <c r="AE22" s="45"/>
      <c r="AF22" s="22"/>
      <c r="AG22" s="22"/>
      <c r="AH22" s="28"/>
      <c r="AI22" s="76">
        <f>AVERAGE(AK29:AK33)</f>
        <v>1.4319431856941461E-2</v>
      </c>
      <c r="AJ22" s="31" t="s">
        <v>193</v>
      </c>
      <c r="AK22" s="77">
        <f>AI22/AI$15</f>
        <v>0.14319431856941461</v>
      </c>
      <c r="AL22" s="45"/>
      <c r="AM22" s="22"/>
      <c r="AN22" s="22"/>
      <c r="AO22" s="28"/>
      <c r="AP22" s="76">
        <f>AVERAGE(AR29:AR33)</f>
        <v>6.9728116747303268E-2</v>
      </c>
      <c r="AQ22" s="31" t="s">
        <v>193</v>
      </c>
      <c r="AR22" s="302">
        <f>AP22/AP$15</f>
        <v>5.3637012882540976E-2</v>
      </c>
      <c r="AS22" s="45"/>
      <c r="AT22" s="22"/>
      <c r="AU22" s="22"/>
      <c r="AV22" s="28"/>
      <c r="AW22" s="76">
        <f>AVERAGE(AY29:AY33)</f>
        <v>1.9277017717788617E-2</v>
      </c>
      <c r="AX22" s="31" t="s">
        <v>193</v>
      </c>
      <c r="AY22" s="302">
        <f>AW22/AW$15</f>
        <v>4.8192544294471543E-3</v>
      </c>
      <c r="AZ22" s="45"/>
      <c r="BA22" s="22"/>
      <c r="BB22" s="22"/>
      <c r="BC22" s="28"/>
      <c r="BD22" s="76">
        <f>AVERAGE(BF29:BF33)</f>
        <v>0.20280754973715359</v>
      </c>
      <c r="BE22" s="31" t="s">
        <v>193</v>
      </c>
      <c r="BF22" s="301">
        <f>BD22/BD$15</f>
        <v>13.52050331581024</v>
      </c>
      <c r="BG22" s="45"/>
      <c r="BH22" s="22"/>
      <c r="BI22" s="22"/>
      <c r="BJ22" s="28"/>
      <c r="BK22" s="78">
        <f>AVERAGE(BM29:BM33)</f>
        <v>2.6800000000000006</v>
      </c>
      <c r="BL22" s="31" t="s">
        <v>193</v>
      </c>
      <c r="BM22" s="302">
        <f>BK22/BK$15</f>
        <v>6.090909090909092E-2</v>
      </c>
      <c r="BN22" s="45"/>
      <c r="BO22" s="22"/>
      <c r="BP22" s="22"/>
      <c r="BQ22" s="28"/>
      <c r="BR22" s="76">
        <f>AVERAGE(BT29:BT33)</f>
        <v>1.3869052334547582E-2</v>
      </c>
      <c r="BS22" s="31" t="s">
        <v>193</v>
      </c>
      <c r="BT22" s="77">
        <f>BR22/BR$15</f>
        <v>0.27738104669095165</v>
      </c>
      <c r="BU22" s="45"/>
      <c r="BV22" s="22"/>
      <c r="BW22" s="22"/>
      <c r="BX22" s="28"/>
      <c r="BY22" s="33">
        <f>AVERAGE(CA29:CA33)</f>
        <v>139.88909355018458</v>
      </c>
      <c r="BZ22" s="31" t="s">
        <v>193</v>
      </c>
      <c r="CA22" s="77">
        <f>BY22/BY$15</f>
        <v>0.55955637420073834</v>
      </c>
      <c r="CB22" s="45"/>
      <c r="CC22" s="22"/>
      <c r="CD22" s="22"/>
      <c r="CE22" s="28"/>
      <c r="CF22" s="32">
        <f>AVERAGE(CH29:CH33)</f>
        <v>0.17447419083869345</v>
      </c>
      <c r="CG22" s="31" t="s">
        <v>193</v>
      </c>
      <c r="CH22" s="301">
        <f>CF22/CF$15</f>
        <v>87.23709541934673</v>
      </c>
      <c r="CI22" s="45"/>
      <c r="CJ22" s="22"/>
      <c r="CK22" s="22"/>
      <c r="CL22" s="28"/>
      <c r="CM22" s="76">
        <f>AVERAGE(CO29:CO33)</f>
        <v>1.8420873309874089E-2</v>
      </c>
      <c r="CN22" s="31" t="s">
        <v>193</v>
      </c>
      <c r="CO22" s="302">
        <f>CM22/CM$15</f>
        <v>3.684174661974818E-3</v>
      </c>
      <c r="CP22" s="45"/>
      <c r="CQ22" s="22"/>
      <c r="CR22" s="22"/>
      <c r="CS22" s="28"/>
    </row>
    <row r="23" spans="1:97" s="6" customFormat="1" ht="15.75" customHeight="1" x14ac:dyDescent="0.25">
      <c r="A23" s="22"/>
      <c r="B23" s="22"/>
      <c r="C23" s="23"/>
      <c r="D23" s="23"/>
      <c r="E23" s="23"/>
      <c r="F23" s="23" t="s">
        <v>87</v>
      </c>
      <c r="G23" s="79">
        <f>AVERAGE(I29:I58)</f>
        <v>2.1501007717306471E-3</v>
      </c>
      <c r="H23" s="31" t="s">
        <v>193</v>
      </c>
      <c r="I23" s="77">
        <f>G23/G$15</f>
        <v>0.35835012862177451</v>
      </c>
      <c r="J23" s="45"/>
      <c r="K23" s="22"/>
      <c r="L23" s="22"/>
      <c r="M23" s="28"/>
      <c r="N23" s="408">
        <f>AVERAGE(P29:P58)</f>
        <v>1.8188869864443225E-2</v>
      </c>
      <c r="O23" s="31" t="s">
        <v>193</v>
      </c>
      <c r="P23" s="300">
        <f>N23/N$15</f>
        <v>1.8188869864443225</v>
      </c>
      <c r="Q23" s="45"/>
      <c r="R23" s="22"/>
      <c r="S23" s="22"/>
      <c r="T23" s="28"/>
      <c r="U23" s="79">
        <f>AVERAGE(W29:W58)</f>
        <v>1.4037021808492457E-3</v>
      </c>
      <c r="V23" s="31" t="s">
        <v>193</v>
      </c>
      <c r="W23" s="77">
        <f>U23/U$15</f>
        <v>0.28074043616984912</v>
      </c>
      <c r="X23" s="45"/>
      <c r="Y23" s="22"/>
      <c r="Z23" s="22"/>
      <c r="AA23" s="28"/>
      <c r="AB23" s="78">
        <f>AVERAGE(AD29:AD58)</f>
        <v>35.5</v>
      </c>
      <c r="AC23" s="31" t="s">
        <v>193</v>
      </c>
      <c r="AD23" s="77">
        <f>AB23/AB$15</f>
        <v>0.14199999999999999</v>
      </c>
      <c r="AE23" s="45"/>
      <c r="AF23" s="22"/>
      <c r="AG23" s="22"/>
      <c r="AH23" s="28"/>
      <c r="AI23" s="76">
        <f>AVERAGE(AK29:AK58)</f>
        <v>1.4319431856941458E-2</v>
      </c>
      <c r="AJ23" s="31" t="s">
        <v>193</v>
      </c>
      <c r="AK23" s="77">
        <f>AI23/AI$15</f>
        <v>0.14319431856941456</v>
      </c>
      <c r="AL23" s="45"/>
      <c r="AM23" s="22"/>
      <c r="AN23" s="22"/>
      <c r="AO23" s="28"/>
      <c r="AP23" s="76">
        <f>AVERAGE(AR29:AR58)</f>
        <v>6.9728116747303226E-2</v>
      </c>
      <c r="AQ23" s="31" t="s">
        <v>193</v>
      </c>
      <c r="AR23" s="302">
        <f>AP23/AP$15</f>
        <v>5.3637012882540941E-2</v>
      </c>
      <c r="AS23" s="45"/>
      <c r="AT23" s="22"/>
      <c r="AU23" s="22"/>
      <c r="AV23" s="28"/>
      <c r="AW23" s="76">
        <f>AVERAGE(AY29:AY58)</f>
        <v>1.9277017717788624E-2</v>
      </c>
      <c r="AX23" s="31" t="s">
        <v>193</v>
      </c>
      <c r="AY23" s="302">
        <f>AW23/AW$15</f>
        <v>4.819254429447156E-3</v>
      </c>
      <c r="AZ23" s="45"/>
      <c r="BA23" s="22"/>
      <c r="BB23" s="22"/>
      <c r="BC23" s="28"/>
      <c r="BD23" s="76">
        <f>AVERAGE(BF29:BF58)</f>
        <v>0.20280754973715356</v>
      </c>
      <c r="BE23" s="31" t="s">
        <v>193</v>
      </c>
      <c r="BF23" s="301">
        <f>BD23/BD$15</f>
        <v>13.520503315810238</v>
      </c>
      <c r="BG23" s="45"/>
      <c r="BH23" s="22"/>
      <c r="BI23" s="22"/>
      <c r="BJ23" s="28"/>
      <c r="BK23" s="78">
        <f>AVERAGE(BM29:BM58)</f>
        <v>2.6800000000000015</v>
      </c>
      <c r="BL23" s="31" t="s">
        <v>193</v>
      </c>
      <c r="BM23" s="302">
        <f>BK23/BK$15</f>
        <v>6.090909090909094E-2</v>
      </c>
      <c r="BN23" s="45"/>
      <c r="BO23" s="22"/>
      <c r="BP23" s="22"/>
      <c r="BQ23" s="28"/>
      <c r="BR23" s="76">
        <f>AVERAGE(BT29:BT58)</f>
        <v>1.3869052334547587E-2</v>
      </c>
      <c r="BS23" s="31" t="s">
        <v>193</v>
      </c>
      <c r="BT23" s="77">
        <f>BR23/BR$15</f>
        <v>0.2773810466909517</v>
      </c>
      <c r="BU23" s="45"/>
      <c r="BV23" s="22"/>
      <c r="BW23" s="22"/>
      <c r="BX23" s="28"/>
      <c r="BY23" s="33">
        <f>AVERAGE(CA29:CA58)</f>
        <v>139.88909355018453</v>
      </c>
      <c r="BZ23" s="31" t="s">
        <v>193</v>
      </c>
      <c r="CA23" s="77">
        <f>BY23/BY$15</f>
        <v>0.55955637420073812</v>
      </c>
      <c r="CB23" s="45"/>
      <c r="CC23" s="22"/>
      <c r="CD23" s="22"/>
      <c r="CE23" s="28"/>
      <c r="CF23" s="32">
        <f>AVERAGE(CH29:CH58)</f>
        <v>0.17447419083869339</v>
      </c>
      <c r="CG23" s="31" t="s">
        <v>193</v>
      </c>
      <c r="CH23" s="301">
        <f>CF23/CF$15</f>
        <v>87.237095419346701</v>
      </c>
      <c r="CI23" s="45"/>
      <c r="CJ23" s="22"/>
      <c r="CK23" s="22"/>
      <c r="CL23" s="28"/>
      <c r="CM23" s="76">
        <f>AVERAGE(CO29:CO58)</f>
        <v>1.8420873309874079E-2</v>
      </c>
      <c r="CN23" s="31" t="s">
        <v>193</v>
      </c>
      <c r="CO23" s="302">
        <f>CM23/CM$15</f>
        <v>3.6841746619748158E-3</v>
      </c>
      <c r="CP23" s="45"/>
      <c r="CQ23" s="22"/>
      <c r="CR23" s="22"/>
      <c r="CS23" s="28"/>
    </row>
    <row r="24" spans="1:97" ht="15.75" customHeight="1" x14ac:dyDescent="0.25">
      <c r="A24" s="22"/>
      <c r="B24" s="22"/>
      <c r="C24" s="23"/>
      <c r="D24" s="23"/>
      <c r="E24" s="23"/>
      <c r="F24" s="23"/>
      <c r="G24" s="409"/>
      <c r="H24" s="62"/>
      <c r="I24" s="62"/>
      <c r="J24" s="45"/>
      <c r="K24" s="39"/>
      <c r="L24" s="39"/>
      <c r="M24" s="28"/>
      <c r="N24" s="62"/>
      <c r="O24" s="62"/>
      <c r="P24" s="62"/>
      <c r="Q24" s="45"/>
      <c r="R24" s="22"/>
      <c r="S24" s="22"/>
      <c r="T24" s="28"/>
      <c r="U24" s="62"/>
      <c r="V24" s="62"/>
      <c r="W24" s="62"/>
      <c r="X24" s="45"/>
      <c r="Y24" s="22"/>
      <c r="Z24" s="22"/>
      <c r="AA24" s="28"/>
      <c r="AB24" s="62"/>
      <c r="AC24" s="62"/>
      <c r="AD24" s="62"/>
      <c r="AE24" s="45"/>
      <c r="AF24" s="22"/>
      <c r="AG24" s="22"/>
      <c r="AH24" s="28"/>
      <c r="AI24" s="62"/>
      <c r="AJ24" s="62"/>
      <c r="AK24" s="62"/>
      <c r="AL24" s="45"/>
      <c r="AM24" s="22"/>
      <c r="AN24" s="22"/>
      <c r="AO24" s="28"/>
      <c r="AP24" s="62"/>
      <c r="AQ24" s="62"/>
      <c r="AR24" s="62"/>
      <c r="AS24" s="45"/>
      <c r="AT24" s="22"/>
      <c r="AU24" s="22"/>
      <c r="AV24" s="28"/>
      <c r="AW24" s="62"/>
      <c r="AX24" s="62"/>
      <c r="AY24" s="62"/>
      <c r="AZ24" s="45"/>
      <c r="BA24" s="22"/>
      <c r="BB24" s="22"/>
      <c r="BC24" s="28"/>
      <c r="BD24" s="62"/>
      <c r="BE24" s="62"/>
      <c r="BF24" s="62"/>
      <c r="BG24" s="45"/>
      <c r="BH24" s="22"/>
      <c r="BI24" s="22"/>
      <c r="BJ24" s="28"/>
      <c r="BK24" s="48"/>
      <c r="BL24" s="61"/>
      <c r="BM24" s="62"/>
      <c r="BN24" s="45"/>
      <c r="BO24" s="22"/>
      <c r="BP24" s="22"/>
      <c r="BQ24" s="28"/>
      <c r="BR24" s="63"/>
      <c r="BS24" s="61"/>
      <c r="BT24" s="62"/>
      <c r="BU24" s="45"/>
      <c r="BV24" s="22"/>
      <c r="BW24" s="22"/>
      <c r="BX24" s="28"/>
      <c r="BY24" s="50"/>
      <c r="BZ24" s="61"/>
      <c r="CA24" s="62"/>
      <c r="CB24" s="45"/>
      <c r="CC24" s="22"/>
      <c r="CD24" s="22"/>
      <c r="CE24" s="28"/>
      <c r="CF24" s="63"/>
      <c r="CG24" s="61"/>
      <c r="CH24" s="62"/>
      <c r="CI24" s="45"/>
      <c r="CJ24" s="22"/>
      <c r="CK24" s="22"/>
      <c r="CL24" s="28"/>
      <c r="CM24" s="63"/>
      <c r="CN24" s="61"/>
      <c r="CO24" s="62"/>
      <c r="CP24" s="45"/>
      <c r="CQ24" s="22"/>
      <c r="CR24" s="22"/>
      <c r="CS24" s="28"/>
    </row>
    <row r="25" spans="1:97" ht="35.1" customHeight="1" x14ac:dyDescent="0.35">
      <c r="A25" s="398"/>
      <c r="B25" s="398"/>
      <c r="C25" s="399" t="s">
        <v>65</v>
      </c>
      <c r="D25" s="399" t="s">
        <v>255</v>
      </c>
      <c r="E25" s="399" t="s">
        <v>256</v>
      </c>
      <c r="F25" s="399" t="s">
        <v>230</v>
      </c>
      <c r="G25" s="410" t="s">
        <v>258</v>
      </c>
      <c r="H25" s="400" t="s">
        <v>257</v>
      </c>
      <c r="I25" s="400" t="s">
        <v>262</v>
      </c>
      <c r="J25" s="400" t="s">
        <v>264</v>
      </c>
      <c r="K25" s="400" t="s">
        <v>263</v>
      </c>
      <c r="L25" s="400" t="s">
        <v>265</v>
      </c>
      <c r="M25" s="401" t="s">
        <v>266</v>
      </c>
      <c r="N25" s="410" t="s">
        <v>258</v>
      </c>
      <c r="O25" s="400" t="s">
        <v>257</v>
      </c>
      <c r="P25" s="400" t="s">
        <v>262</v>
      </c>
      <c r="Q25" s="400" t="s">
        <v>264</v>
      </c>
      <c r="R25" s="400" t="s">
        <v>263</v>
      </c>
      <c r="S25" s="400" t="s">
        <v>265</v>
      </c>
      <c r="T25" s="401" t="s">
        <v>266</v>
      </c>
      <c r="U25" s="410" t="s">
        <v>258</v>
      </c>
      <c r="V25" s="400" t="s">
        <v>257</v>
      </c>
      <c r="W25" s="400" t="s">
        <v>262</v>
      </c>
      <c r="X25" s="400" t="s">
        <v>264</v>
      </c>
      <c r="Y25" s="400" t="s">
        <v>263</v>
      </c>
      <c r="Z25" s="400" t="s">
        <v>265</v>
      </c>
      <c r="AA25" s="401" t="s">
        <v>266</v>
      </c>
      <c r="AB25" s="410" t="s">
        <v>258</v>
      </c>
      <c r="AC25" s="400" t="s">
        <v>257</v>
      </c>
      <c r="AD25" s="400" t="s">
        <v>262</v>
      </c>
      <c r="AE25" s="400" t="s">
        <v>264</v>
      </c>
      <c r="AF25" s="400" t="s">
        <v>263</v>
      </c>
      <c r="AG25" s="400" t="s">
        <v>265</v>
      </c>
      <c r="AH25" s="401" t="s">
        <v>266</v>
      </c>
      <c r="AI25" s="410" t="s">
        <v>258</v>
      </c>
      <c r="AJ25" s="400" t="s">
        <v>257</v>
      </c>
      <c r="AK25" s="400" t="s">
        <v>262</v>
      </c>
      <c r="AL25" s="400" t="s">
        <v>264</v>
      </c>
      <c r="AM25" s="400" t="s">
        <v>263</v>
      </c>
      <c r="AN25" s="400" t="s">
        <v>265</v>
      </c>
      <c r="AO25" s="401" t="s">
        <v>266</v>
      </c>
      <c r="AP25" s="410" t="s">
        <v>258</v>
      </c>
      <c r="AQ25" s="400" t="s">
        <v>257</v>
      </c>
      <c r="AR25" s="400" t="s">
        <v>262</v>
      </c>
      <c r="AS25" s="400" t="s">
        <v>264</v>
      </c>
      <c r="AT25" s="400" t="s">
        <v>263</v>
      </c>
      <c r="AU25" s="400" t="s">
        <v>265</v>
      </c>
      <c r="AV25" s="401" t="s">
        <v>266</v>
      </c>
      <c r="AW25" s="410" t="s">
        <v>258</v>
      </c>
      <c r="AX25" s="400" t="s">
        <v>257</v>
      </c>
      <c r="AY25" s="400" t="s">
        <v>262</v>
      </c>
      <c r="AZ25" s="400" t="s">
        <v>264</v>
      </c>
      <c r="BA25" s="400" t="s">
        <v>263</v>
      </c>
      <c r="BB25" s="400" t="s">
        <v>265</v>
      </c>
      <c r="BC25" s="401" t="s">
        <v>266</v>
      </c>
      <c r="BD25" s="410" t="s">
        <v>258</v>
      </c>
      <c r="BE25" s="400" t="s">
        <v>257</v>
      </c>
      <c r="BF25" s="400" t="s">
        <v>262</v>
      </c>
      <c r="BG25" s="400" t="s">
        <v>264</v>
      </c>
      <c r="BH25" s="400" t="s">
        <v>263</v>
      </c>
      <c r="BI25" s="400" t="s">
        <v>265</v>
      </c>
      <c r="BJ25" s="401" t="s">
        <v>266</v>
      </c>
      <c r="BK25" s="410" t="s">
        <v>258</v>
      </c>
      <c r="BL25" s="400" t="s">
        <v>257</v>
      </c>
      <c r="BM25" s="400" t="s">
        <v>262</v>
      </c>
      <c r="BN25" s="400" t="s">
        <v>264</v>
      </c>
      <c r="BO25" s="400" t="s">
        <v>263</v>
      </c>
      <c r="BP25" s="400" t="s">
        <v>265</v>
      </c>
      <c r="BQ25" s="401" t="s">
        <v>266</v>
      </c>
      <c r="BR25" s="410" t="s">
        <v>258</v>
      </c>
      <c r="BS25" s="400" t="s">
        <v>257</v>
      </c>
      <c r="BT25" s="400" t="s">
        <v>262</v>
      </c>
      <c r="BU25" s="400" t="s">
        <v>264</v>
      </c>
      <c r="BV25" s="400" t="s">
        <v>263</v>
      </c>
      <c r="BW25" s="400" t="s">
        <v>265</v>
      </c>
      <c r="BX25" s="401" t="s">
        <v>266</v>
      </c>
      <c r="BY25" s="410" t="s">
        <v>258</v>
      </c>
      <c r="BZ25" s="400" t="s">
        <v>257</v>
      </c>
      <c r="CA25" s="400" t="s">
        <v>262</v>
      </c>
      <c r="CB25" s="400" t="s">
        <v>264</v>
      </c>
      <c r="CC25" s="400" t="s">
        <v>263</v>
      </c>
      <c r="CD25" s="400" t="s">
        <v>265</v>
      </c>
      <c r="CE25" s="401" t="s">
        <v>266</v>
      </c>
      <c r="CF25" s="410" t="s">
        <v>258</v>
      </c>
      <c r="CG25" s="400" t="s">
        <v>257</v>
      </c>
      <c r="CH25" s="400" t="s">
        <v>262</v>
      </c>
      <c r="CI25" s="400" t="s">
        <v>264</v>
      </c>
      <c r="CJ25" s="400" t="s">
        <v>263</v>
      </c>
      <c r="CK25" s="400" t="s">
        <v>265</v>
      </c>
      <c r="CL25" s="401" t="s">
        <v>266</v>
      </c>
      <c r="CM25" s="410" t="s">
        <v>258</v>
      </c>
      <c r="CN25" s="400" t="s">
        <v>257</v>
      </c>
      <c r="CO25" s="400" t="s">
        <v>262</v>
      </c>
      <c r="CP25" s="400" t="s">
        <v>264</v>
      </c>
      <c r="CQ25" s="400" t="s">
        <v>263</v>
      </c>
      <c r="CR25" s="400" t="s">
        <v>265</v>
      </c>
      <c r="CS25" s="401" t="s">
        <v>266</v>
      </c>
    </row>
    <row r="26" spans="1:97" ht="15.75" customHeight="1" x14ac:dyDescent="0.25">
      <c r="A26" s="6"/>
      <c r="B26" s="6"/>
      <c r="C26" s="7"/>
      <c r="D26" s="60" t="s">
        <v>252</v>
      </c>
      <c r="E26" s="60" t="s">
        <v>252</v>
      </c>
      <c r="F26" s="60" t="s">
        <v>251</v>
      </c>
      <c r="G26" s="411" t="s">
        <v>7</v>
      </c>
      <c r="H26" s="403" t="s">
        <v>7</v>
      </c>
      <c r="I26" s="403" t="s">
        <v>7</v>
      </c>
      <c r="J26" s="403" t="s">
        <v>253</v>
      </c>
      <c r="K26" s="403" t="s">
        <v>253</v>
      </c>
      <c r="L26" s="403" t="s">
        <v>254</v>
      </c>
      <c r="M26" s="404" t="s">
        <v>254</v>
      </c>
      <c r="N26" s="411" t="s">
        <v>7</v>
      </c>
      <c r="O26" s="403" t="s">
        <v>7</v>
      </c>
      <c r="P26" s="403" t="s">
        <v>7</v>
      </c>
      <c r="Q26" s="403" t="s">
        <v>253</v>
      </c>
      <c r="R26" s="403" t="s">
        <v>253</v>
      </c>
      <c r="S26" s="403" t="s">
        <v>254</v>
      </c>
      <c r="T26" s="404" t="s">
        <v>254</v>
      </c>
      <c r="U26" s="411" t="s">
        <v>7</v>
      </c>
      <c r="V26" s="403" t="s">
        <v>7</v>
      </c>
      <c r="W26" s="403" t="s">
        <v>7</v>
      </c>
      <c r="X26" s="403" t="s">
        <v>253</v>
      </c>
      <c r="Y26" s="403" t="s">
        <v>253</v>
      </c>
      <c r="Z26" s="403" t="s">
        <v>254</v>
      </c>
      <c r="AA26" s="404" t="s">
        <v>254</v>
      </c>
      <c r="AB26" s="411" t="s">
        <v>7</v>
      </c>
      <c r="AC26" s="403" t="s">
        <v>7</v>
      </c>
      <c r="AD26" s="403" t="s">
        <v>7</v>
      </c>
      <c r="AE26" s="403" t="s">
        <v>253</v>
      </c>
      <c r="AF26" s="403" t="s">
        <v>253</v>
      </c>
      <c r="AG26" s="403" t="s">
        <v>254</v>
      </c>
      <c r="AH26" s="404" t="s">
        <v>254</v>
      </c>
      <c r="AI26" s="411" t="s">
        <v>7</v>
      </c>
      <c r="AJ26" s="403" t="s">
        <v>7</v>
      </c>
      <c r="AK26" s="403" t="s">
        <v>7</v>
      </c>
      <c r="AL26" s="403" t="s">
        <v>253</v>
      </c>
      <c r="AM26" s="403" t="s">
        <v>253</v>
      </c>
      <c r="AN26" s="403" t="s">
        <v>254</v>
      </c>
      <c r="AO26" s="404" t="s">
        <v>254</v>
      </c>
      <c r="AP26" s="411" t="s">
        <v>7</v>
      </c>
      <c r="AQ26" s="403" t="s">
        <v>7</v>
      </c>
      <c r="AR26" s="403" t="s">
        <v>7</v>
      </c>
      <c r="AS26" s="403" t="s">
        <v>253</v>
      </c>
      <c r="AT26" s="403" t="s">
        <v>253</v>
      </c>
      <c r="AU26" s="403" t="s">
        <v>254</v>
      </c>
      <c r="AV26" s="404" t="s">
        <v>254</v>
      </c>
      <c r="AW26" s="411" t="s">
        <v>7</v>
      </c>
      <c r="AX26" s="403" t="s">
        <v>7</v>
      </c>
      <c r="AY26" s="403" t="s">
        <v>7</v>
      </c>
      <c r="AZ26" s="403" t="s">
        <v>253</v>
      </c>
      <c r="BA26" s="403" t="s">
        <v>253</v>
      </c>
      <c r="BB26" s="403" t="s">
        <v>254</v>
      </c>
      <c r="BC26" s="404" t="s">
        <v>254</v>
      </c>
      <c r="BD26" s="411" t="s">
        <v>7</v>
      </c>
      <c r="BE26" s="403" t="s">
        <v>7</v>
      </c>
      <c r="BF26" s="403" t="s">
        <v>7</v>
      </c>
      <c r="BG26" s="403" t="s">
        <v>253</v>
      </c>
      <c r="BH26" s="403" t="s">
        <v>253</v>
      </c>
      <c r="BI26" s="403" t="s">
        <v>254</v>
      </c>
      <c r="BJ26" s="404" t="s">
        <v>254</v>
      </c>
      <c r="BK26" s="411" t="s">
        <v>7</v>
      </c>
      <c r="BL26" s="403" t="s">
        <v>7</v>
      </c>
      <c r="BM26" s="403" t="s">
        <v>7</v>
      </c>
      <c r="BN26" s="403" t="s">
        <v>253</v>
      </c>
      <c r="BO26" s="403" t="s">
        <v>253</v>
      </c>
      <c r="BP26" s="403" t="s">
        <v>254</v>
      </c>
      <c r="BQ26" s="404" t="s">
        <v>254</v>
      </c>
      <c r="BR26" s="411" t="s">
        <v>7</v>
      </c>
      <c r="BS26" s="403" t="s">
        <v>7</v>
      </c>
      <c r="BT26" s="403" t="s">
        <v>7</v>
      </c>
      <c r="BU26" s="403" t="s">
        <v>253</v>
      </c>
      <c r="BV26" s="403" t="s">
        <v>253</v>
      </c>
      <c r="BW26" s="403" t="s">
        <v>254</v>
      </c>
      <c r="BX26" s="404" t="s">
        <v>254</v>
      </c>
      <c r="BY26" s="411" t="s">
        <v>7</v>
      </c>
      <c r="BZ26" s="403" t="s">
        <v>7</v>
      </c>
      <c r="CA26" s="403" t="s">
        <v>7</v>
      </c>
      <c r="CB26" s="403" t="s">
        <v>253</v>
      </c>
      <c r="CC26" s="403" t="s">
        <v>253</v>
      </c>
      <c r="CD26" s="403" t="s">
        <v>254</v>
      </c>
      <c r="CE26" s="404" t="s">
        <v>254</v>
      </c>
      <c r="CF26" s="411" t="s">
        <v>7</v>
      </c>
      <c r="CG26" s="403" t="s">
        <v>7</v>
      </c>
      <c r="CH26" s="403" t="s">
        <v>7</v>
      </c>
      <c r="CI26" s="403" t="s">
        <v>253</v>
      </c>
      <c r="CJ26" s="403" t="s">
        <v>253</v>
      </c>
      <c r="CK26" s="403" t="s">
        <v>254</v>
      </c>
      <c r="CL26" s="404" t="s">
        <v>254</v>
      </c>
      <c r="CM26" s="411" t="s">
        <v>7</v>
      </c>
      <c r="CN26" s="403" t="s">
        <v>7</v>
      </c>
      <c r="CO26" s="403" t="s">
        <v>7</v>
      </c>
      <c r="CP26" s="403" t="s">
        <v>253</v>
      </c>
      <c r="CQ26" s="403" t="s">
        <v>253</v>
      </c>
      <c r="CR26" s="403" t="s">
        <v>254</v>
      </c>
      <c r="CS26" s="404" t="s">
        <v>254</v>
      </c>
    </row>
    <row r="27" spans="1:97" ht="15.75" customHeight="1" thickBot="1" x14ac:dyDescent="0.3">
      <c r="A27" s="6"/>
      <c r="B27" s="6"/>
      <c r="C27" s="405"/>
      <c r="D27" s="406"/>
      <c r="E27" s="406"/>
      <c r="F27" s="406"/>
      <c r="G27" s="412" t="s">
        <v>259</v>
      </c>
      <c r="H27" s="407" t="s">
        <v>260</v>
      </c>
      <c r="I27" s="407" t="s">
        <v>261</v>
      </c>
      <c r="J27" s="407"/>
      <c r="K27" s="407"/>
      <c r="L27" s="407" t="s">
        <v>268</v>
      </c>
      <c r="M27" s="413"/>
      <c r="N27" s="412" t="s">
        <v>259</v>
      </c>
      <c r="O27" s="407" t="s">
        <v>260</v>
      </c>
      <c r="P27" s="407" t="s">
        <v>261</v>
      </c>
      <c r="Q27" s="407"/>
      <c r="R27" s="407"/>
      <c r="S27" s="407" t="s">
        <v>268</v>
      </c>
      <c r="T27" s="413"/>
      <c r="U27" s="412" t="s">
        <v>259</v>
      </c>
      <c r="V27" s="407" t="s">
        <v>260</v>
      </c>
      <c r="W27" s="407" t="s">
        <v>261</v>
      </c>
      <c r="X27" s="407"/>
      <c r="Y27" s="407"/>
      <c r="Z27" s="407" t="s">
        <v>268</v>
      </c>
      <c r="AA27" s="413"/>
      <c r="AB27" s="412" t="s">
        <v>259</v>
      </c>
      <c r="AC27" s="407" t="s">
        <v>260</v>
      </c>
      <c r="AD27" s="407" t="s">
        <v>261</v>
      </c>
      <c r="AE27" s="407"/>
      <c r="AF27" s="407"/>
      <c r="AG27" s="407" t="s">
        <v>268</v>
      </c>
      <c r="AH27" s="413"/>
      <c r="AI27" s="412" t="s">
        <v>259</v>
      </c>
      <c r="AJ27" s="407" t="s">
        <v>260</v>
      </c>
      <c r="AK27" s="407" t="s">
        <v>261</v>
      </c>
      <c r="AL27" s="407"/>
      <c r="AM27" s="407"/>
      <c r="AN27" s="407" t="s">
        <v>268</v>
      </c>
      <c r="AO27" s="413"/>
      <c r="AP27" s="412" t="s">
        <v>259</v>
      </c>
      <c r="AQ27" s="407" t="s">
        <v>260</v>
      </c>
      <c r="AR27" s="407" t="s">
        <v>261</v>
      </c>
      <c r="AS27" s="407"/>
      <c r="AT27" s="407"/>
      <c r="AU27" s="407" t="s">
        <v>268</v>
      </c>
      <c r="AV27" s="413"/>
      <c r="AW27" s="412" t="s">
        <v>259</v>
      </c>
      <c r="AX27" s="407" t="s">
        <v>260</v>
      </c>
      <c r="AY27" s="407" t="s">
        <v>261</v>
      </c>
      <c r="AZ27" s="407"/>
      <c r="BA27" s="407"/>
      <c r="BB27" s="407" t="s">
        <v>268</v>
      </c>
      <c r="BC27" s="413"/>
      <c r="BD27" s="412" t="s">
        <v>259</v>
      </c>
      <c r="BE27" s="407" t="s">
        <v>260</v>
      </c>
      <c r="BF27" s="407" t="s">
        <v>261</v>
      </c>
      <c r="BG27" s="407"/>
      <c r="BH27" s="407"/>
      <c r="BI27" s="407" t="s">
        <v>268</v>
      </c>
      <c r="BJ27" s="413"/>
      <c r="BK27" s="412" t="s">
        <v>259</v>
      </c>
      <c r="BL27" s="407" t="s">
        <v>260</v>
      </c>
      <c r="BM27" s="407" t="s">
        <v>261</v>
      </c>
      <c r="BN27" s="407"/>
      <c r="BO27" s="407"/>
      <c r="BP27" s="407" t="s">
        <v>268</v>
      </c>
      <c r="BQ27" s="413"/>
      <c r="BR27" s="412" t="s">
        <v>259</v>
      </c>
      <c r="BS27" s="407" t="s">
        <v>260</v>
      </c>
      <c r="BT27" s="407" t="s">
        <v>261</v>
      </c>
      <c r="BU27" s="407"/>
      <c r="BV27" s="407"/>
      <c r="BW27" s="407" t="s">
        <v>268</v>
      </c>
      <c r="BX27" s="413"/>
      <c r="BY27" s="412" t="s">
        <v>259</v>
      </c>
      <c r="BZ27" s="407" t="s">
        <v>260</v>
      </c>
      <c r="CA27" s="407" t="s">
        <v>261</v>
      </c>
      <c r="CB27" s="407"/>
      <c r="CC27" s="407"/>
      <c r="CD27" s="407" t="s">
        <v>268</v>
      </c>
      <c r="CE27" s="413"/>
      <c r="CF27" s="412" t="s">
        <v>259</v>
      </c>
      <c r="CG27" s="407" t="s">
        <v>260</v>
      </c>
      <c r="CH27" s="407" t="s">
        <v>261</v>
      </c>
      <c r="CI27" s="407"/>
      <c r="CJ27" s="407"/>
      <c r="CK27" s="407" t="s">
        <v>268</v>
      </c>
      <c r="CL27" s="413"/>
      <c r="CM27" s="412" t="s">
        <v>259</v>
      </c>
      <c r="CN27" s="407" t="s">
        <v>260</v>
      </c>
      <c r="CO27" s="407" t="s">
        <v>261</v>
      </c>
      <c r="CP27" s="407"/>
      <c r="CQ27" s="407"/>
      <c r="CR27" s="407" t="s">
        <v>268</v>
      </c>
      <c r="CS27" s="413"/>
    </row>
    <row r="28" spans="1:97" ht="15.75" customHeight="1" thickTop="1" x14ac:dyDescent="0.25">
      <c r="C28" s="1">
        <v>0</v>
      </c>
      <c r="D28" s="60" t="s">
        <v>46</v>
      </c>
      <c r="E28" s="60" t="s">
        <v>46</v>
      </c>
      <c r="F28" s="1" t="s">
        <v>46</v>
      </c>
      <c r="G28" s="411" t="s">
        <v>46</v>
      </c>
      <c r="H28" s="403" t="s">
        <v>46</v>
      </c>
      <c r="I28" s="403" t="s">
        <v>46</v>
      </c>
      <c r="J28" s="403" t="s">
        <v>46</v>
      </c>
      <c r="K28" s="403" t="s">
        <v>46</v>
      </c>
      <c r="L28" s="403" t="s">
        <v>46</v>
      </c>
      <c r="M28" s="457">
        <v>0</v>
      </c>
      <c r="N28" s="411" t="s">
        <v>46</v>
      </c>
      <c r="O28" s="403" t="s">
        <v>46</v>
      </c>
      <c r="P28" s="403" t="s">
        <v>46</v>
      </c>
      <c r="Q28" s="403" t="s">
        <v>46</v>
      </c>
      <c r="R28" s="403" t="s">
        <v>46</v>
      </c>
      <c r="S28" s="403" t="s">
        <v>46</v>
      </c>
      <c r="T28" s="457">
        <v>0</v>
      </c>
      <c r="U28" s="411" t="s">
        <v>46</v>
      </c>
      <c r="V28" s="403" t="s">
        <v>46</v>
      </c>
      <c r="W28" s="403" t="s">
        <v>46</v>
      </c>
      <c r="X28" s="403" t="s">
        <v>46</v>
      </c>
      <c r="Y28" s="403" t="s">
        <v>46</v>
      </c>
      <c r="Z28" s="403" t="s">
        <v>46</v>
      </c>
      <c r="AA28" s="457">
        <v>0</v>
      </c>
      <c r="AB28" s="411" t="s">
        <v>46</v>
      </c>
      <c r="AC28" s="403" t="s">
        <v>46</v>
      </c>
      <c r="AD28" s="403" t="s">
        <v>46</v>
      </c>
      <c r="AE28" s="403" t="s">
        <v>46</v>
      </c>
      <c r="AF28" s="403" t="s">
        <v>46</v>
      </c>
      <c r="AG28" s="403" t="s">
        <v>46</v>
      </c>
      <c r="AH28" s="457">
        <v>0</v>
      </c>
      <c r="AI28" s="411" t="s">
        <v>46</v>
      </c>
      <c r="AJ28" s="403" t="s">
        <v>46</v>
      </c>
      <c r="AK28" s="403" t="s">
        <v>46</v>
      </c>
      <c r="AL28" s="403" t="s">
        <v>46</v>
      </c>
      <c r="AM28" s="403" t="s">
        <v>46</v>
      </c>
      <c r="AN28" s="403" t="s">
        <v>46</v>
      </c>
      <c r="AO28" s="457">
        <v>0</v>
      </c>
      <c r="AP28" s="411" t="s">
        <v>46</v>
      </c>
      <c r="AQ28" s="403" t="s">
        <v>46</v>
      </c>
      <c r="AR28" s="403" t="s">
        <v>46</v>
      </c>
      <c r="AS28" s="403" t="s">
        <v>46</v>
      </c>
      <c r="AT28" s="403" t="s">
        <v>46</v>
      </c>
      <c r="AU28" s="403" t="s">
        <v>46</v>
      </c>
      <c r="AV28" s="457">
        <v>0</v>
      </c>
      <c r="AW28" s="411" t="s">
        <v>46</v>
      </c>
      <c r="AX28" s="403" t="s">
        <v>46</v>
      </c>
      <c r="AY28" s="403" t="s">
        <v>46</v>
      </c>
      <c r="AZ28" s="403" t="s">
        <v>46</v>
      </c>
      <c r="BA28" s="403" t="s">
        <v>46</v>
      </c>
      <c r="BB28" s="403" t="s">
        <v>46</v>
      </c>
      <c r="BC28" s="457">
        <v>0</v>
      </c>
      <c r="BD28" s="411" t="s">
        <v>46</v>
      </c>
      <c r="BE28" s="403" t="s">
        <v>46</v>
      </c>
      <c r="BF28" s="403" t="s">
        <v>46</v>
      </c>
      <c r="BG28" s="403" t="s">
        <v>46</v>
      </c>
      <c r="BH28" s="403" t="s">
        <v>46</v>
      </c>
      <c r="BI28" s="403" t="s">
        <v>46</v>
      </c>
      <c r="BJ28" s="457">
        <v>0</v>
      </c>
      <c r="BK28" s="411" t="s">
        <v>46</v>
      </c>
      <c r="BL28" s="403" t="s">
        <v>46</v>
      </c>
      <c r="BM28" s="403" t="s">
        <v>46</v>
      </c>
      <c r="BN28" s="403" t="s">
        <v>46</v>
      </c>
      <c r="BO28" s="403" t="s">
        <v>46</v>
      </c>
      <c r="BP28" s="403" t="s">
        <v>46</v>
      </c>
      <c r="BQ28" s="457">
        <v>0</v>
      </c>
      <c r="BR28" s="411" t="s">
        <v>46</v>
      </c>
      <c r="BS28" s="403" t="s">
        <v>46</v>
      </c>
      <c r="BT28" s="403" t="s">
        <v>46</v>
      </c>
      <c r="BU28" s="403" t="s">
        <v>46</v>
      </c>
      <c r="BV28" s="403" t="s">
        <v>46</v>
      </c>
      <c r="BW28" s="403" t="s">
        <v>46</v>
      </c>
      <c r="BX28" s="457">
        <v>0</v>
      </c>
      <c r="BY28" s="411" t="s">
        <v>46</v>
      </c>
      <c r="BZ28" s="403" t="s">
        <v>46</v>
      </c>
      <c r="CA28" s="403" t="s">
        <v>46</v>
      </c>
      <c r="CB28" s="403" t="s">
        <v>46</v>
      </c>
      <c r="CC28" s="403" t="s">
        <v>46</v>
      </c>
      <c r="CD28" s="403" t="s">
        <v>46</v>
      </c>
      <c r="CE28" s="457">
        <v>0</v>
      </c>
      <c r="CF28" s="411" t="s">
        <v>46</v>
      </c>
      <c r="CG28" s="403" t="s">
        <v>46</v>
      </c>
      <c r="CH28" s="403" t="s">
        <v>46</v>
      </c>
      <c r="CI28" s="403" t="s">
        <v>46</v>
      </c>
      <c r="CJ28" s="403" t="s">
        <v>46</v>
      </c>
      <c r="CK28" s="403" t="s">
        <v>46</v>
      </c>
      <c r="CL28" s="457">
        <v>0</v>
      </c>
      <c r="CM28" s="411" t="s">
        <v>46</v>
      </c>
      <c r="CN28" s="403" t="s">
        <v>46</v>
      </c>
      <c r="CO28" s="403" t="s">
        <v>46</v>
      </c>
      <c r="CP28" s="403" t="s">
        <v>46</v>
      </c>
      <c r="CQ28" s="403" t="s">
        <v>46</v>
      </c>
      <c r="CR28" s="403" t="s">
        <v>46</v>
      </c>
      <c r="CS28" s="457">
        <v>0</v>
      </c>
    </row>
    <row r="29" spans="1:97" ht="15.75" customHeight="1" x14ac:dyDescent="0.25">
      <c r="C29" s="1">
        <v>1</v>
      </c>
      <c r="D29" s="1">
        <f>Scenario_Info!$N$11</f>
        <v>33</v>
      </c>
      <c r="E29" s="1">
        <f>Scenario_Info!$N$12</f>
        <v>12</v>
      </c>
      <c r="F29" s="1">
        <f>Scenario_Info!$N$14/100</f>
        <v>0.77300000000000002</v>
      </c>
      <c r="G29" s="426">
        <f t="shared" ref="G29:G58" si="0">IF((H$9-H$8)*$E$8/($E$12*$E$9*1000)&lt;=G$16, (H$9-H$8)*$E$8/($E$12*$E$9*1000), G$16)</f>
        <v>2.347965595632683E-3</v>
      </c>
      <c r="H29" s="21">
        <f t="shared" ref="H29:H58" si="1">IF((H$10-H$8)*$E$8/($E$13*$E$9*1000)&lt;=G$16, (H$10-H$8)*$E$8/($E$13*$E$9*1000), G$16)</f>
        <v>1.6059725060000518E-3</v>
      </c>
      <c r="I29" s="21">
        <f t="shared" ref="I29:I58" si="2">($D29*G29+$E29*H29)/($D29+$E29)</f>
        <v>2.150100771730648E-3</v>
      </c>
      <c r="J29" s="42">
        <f t="shared" ref="J29:J58" si="3">G29*($E$12*$E$9*1000)</f>
        <v>12.209421097289951</v>
      </c>
      <c r="K29" s="42">
        <f>H29*($E$13*$E$9*1000)</f>
        <v>22.483615084000729</v>
      </c>
      <c r="L29" s="42">
        <f t="shared" ref="L29:L58" si="4">($D29*J29+$E29*K29)/$E$8</f>
        <v>0.84089284652322138</v>
      </c>
      <c r="M29" s="43">
        <f>L29</f>
        <v>0.84089284652322138</v>
      </c>
      <c r="N29" s="426">
        <f t="shared" ref="N29:N58" si="5">IF((O$9-O$8)*$E$8/($E$12*$E$9*1000)&lt;=N$16, (O$9-O$8)*$E$8/($E$12*$E$9*1000), N$16)</f>
        <v>1.810287971507309E-2</v>
      </c>
      <c r="O29" s="21">
        <f t="shared" ref="O29:O58" si="6">IF((O$10-O$8)*$E$8/($E$13*$E$9*1000)&lt;=N$16, (O$10-O$8)*$E$8/($E$13*$E$9*1000), N$16)</f>
        <v>1.8425342775211056E-2</v>
      </c>
      <c r="P29" s="21">
        <f t="shared" ref="P29:P58" si="7">($D29*N29+$E29*O29)/($D29+$E29)</f>
        <v>1.8188869864443215E-2</v>
      </c>
      <c r="Q29" s="42">
        <f t="shared" ref="Q29:Q58" si="8">N29*($E$12*$E$9*1000)</f>
        <v>94.134974518380062</v>
      </c>
      <c r="R29" s="42">
        <f>O29*($E$13*$E$9*1000)</f>
        <v>257.95479885295481</v>
      </c>
      <c r="S29" s="42">
        <f t="shared" ref="S29:S58" si="9">($D29*Q29+$E29*R29)/$E$8</f>
        <v>7.7523896816775002</v>
      </c>
      <c r="T29" s="43">
        <f>S29</f>
        <v>7.7523896816775002</v>
      </c>
      <c r="U29" s="21">
        <f t="shared" ref="U29:U58" si="10">IF((V$9-V$8)*$E$8/($E$12*$E$9*1000)&lt;=U$16, (V$9-V$8)*$E$8/($E$12*$E$9*1000), U$16)</f>
        <v>1.3955828940024489E-3</v>
      </c>
      <c r="V29" s="21">
        <f t="shared" ref="V29:V58" si="11">IF((V$10-V$8)*$E$8/($E$13*$E$9*1000)&lt;=U$16, (V$10-V$8)*$E$8/($E$13*$E$9*1000), U$16)</f>
        <v>1.4260302196779395E-3</v>
      </c>
      <c r="W29" s="21">
        <f t="shared" ref="W29:W58" si="12">($D29*U29+$E29*V29)/($D29+$E29)</f>
        <v>1.4037021808492465E-3</v>
      </c>
      <c r="X29" s="42">
        <f t="shared" ref="X29:X58" si="13">U29*($E$12*$E$9*1000)</f>
        <v>7.2570310488127348</v>
      </c>
      <c r="Y29" s="42">
        <f>V29*($E$13*$E$9*1000)</f>
        <v>19.964423075491155</v>
      </c>
      <c r="Z29" s="42">
        <f t="shared" ref="Z29:Z58" si="14">($D29*X29+$E29*Y29)/$E$8</f>
        <v>0.59881887689589264</v>
      </c>
      <c r="AA29" s="43">
        <f>Z29</f>
        <v>0.59881887689589264</v>
      </c>
      <c r="AB29" s="46">
        <f t="shared" ref="AB29:AB58" si="15">IF((AC$9-AC$8)*$E$8/($E$12*$E$9*1000)&lt;=AB$16, (AC$9-AC$8)*$E$8/($E$12*$E$9*1000), AB$16)</f>
        <v>35.5</v>
      </c>
      <c r="AC29" s="46">
        <f t="shared" ref="AC29:AC58" si="16">IF((AC$10-AC$8)*$E$8/($E$13*$E$9*1000)&lt;=AB$16, (AC$10-AC$8)*$E$8/($E$13*$E$9*1000), AB$16)</f>
        <v>35.5</v>
      </c>
      <c r="AD29" s="46">
        <f t="shared" ref="AD29:AD58" si="17">($D29*AB29+$E29*AC29)/($D29+$E29)</f>
        <v>35.5</v>
      </c>
      <c r="AE29" s="49">
        <f t="shared" ref="AE29:AE58" si="18">AB29*($E$12*$E$9*1000)</f>
        <v>184600</v>
      </c>
      <c r="AF29" s="49">
        <f>AC29*($E$13*$E$9*1000)</f>
        <v>497000.00000000006</v>
      </c>
      <c r="AG29" s="49">
        <f t="shared" ref="AG29:AG58" si="19">($D29*AE29+$E29*AF29)/$E$8</f>
        <v>15069.75</v>
      </c>
      <c r="AH29" s="47">
        <f>AG29</f>
        <v>15069.75</v>
      </c>
      <c r="AI29" s="41">
        <f t="shared" ref="AI29:AI58" si="20">IF((AJ$9-AJ$8)*$E$8/($E$12*$E$9*1000)&lt;=AI$16, (AJ$9-AJ$8)*$E$8/($E$12*$E$9*1000), AI$16)</f>
        <v>1.5482058261408303E-2</v>
      </c>
      <c r="AJ29" s="41">
        <f t="shared" ref="AJ29:AJ58" si="21">IF((AJ$10-AJ$8)*$E$8/($E$13*$E$9*1000)&lt;=AI$16, (AJ$10-AJ$8)*$E$8/($E$13*$E$9*1000), AI$16)</f>
        <v>1.1122209244657646E-2</v>
      </c>
      <c r="AK29" s="41">
        <f t="shared" ref="AK29:AK58" si="22">($D29*AI29+$E29*AJ29)/($D29+$E29)</f>
        <v>1.4319431856941463E-2</v>
      </c>
      <c r="AL29" s="42">
        <f t="shared" ref="AL29:AL58" si="23">AI29*($E$12*$E$9*1000)</f>
        <v>80.506702959323178</v>
      </c>
      <c r="AM29" s="42">
        <f>AJ29*($E$13*$E$9*1000)</f>
        <v>155.71092942520707</v>
      </c>
      <c r="AN29" s="49">
        <f t="shared" ref="AN29:AN58" si="24">($D29*AL29+$E29*AM29)/$E$8</f>
        <v>5.6565654384501878</v>
      </c>
      <c r="AO29" s="47">
        <f>AN29</f>
        <v>5.6565654384501878</v>
      </c>
      <c r="AP29" s="41">
        <f t="shared" ref="AP29:AP58" si="25">IF((AQ$9-AQ$8)*$E$8/($E$12*$E$9*1000)&lt;=AP$16, (AQ$9-AQ$8)*$E$8/($E$12*$E$9*1000), AP$16)</f>
        <v>7.3839928729178772E-2</v>
      </c>
      <c r="AQ29" s="41">
        <f t="shared" ref="AQ29:AQ58" si="26">IF((AQ$10-AQ$8)*$E$8/($E$13*$E$9*1000)&lt;=AP$16, (AQ$10-AQ$8)*$E$8/($E$13*$E$9*1000), AP$16)</f>
        <v>5.8420633797145641E-2</v>
      </c>
      <c r="AR29" s="41">
        <f t="shared" ref="AR29:AR58" si="27">($D29*AP29+$E29*AQ29)/($D29+$E29)</f>
        <v>6.9728116747303268E-2</v>
      </c>
      <c r="AS29" s="42">
        <f t="shared" ref="AS29:AS58" si="28">AP29*($E$12*$E$9*1000)</f>
        <v>383.96762939172959</v>
      </c>
      <c r="AT29" s="42">
        <f>AQ29*($E$13*$E$9*1000)</f>
        <v>817.88887316003911</v>
      </c>
      <c r="AU29" s="42">
        <f t="shared" ref="AU29:AU58" si="29">($D29*AS29+$E29*AT29)/$E$8</f>
        <v>28.106997809809432</v>
      </c>
      <c r="AV29" s="43">
        <f>AU29</f>
        <v>28.106997809809432</v>
      </c>
      <c r="AW29" s="41">
        <f t="shared" ref="AW29:AW58" si="30">IF((AX$9-AX$8)*$E$8/($E$12*$E$9*1000)&lt;=AW$16, (AX$9-AX$8)*$E$8/($E$12*$E$9*1000), AW$16)</f>
        <v>2.0674015041863527E-2</v>
      </c>
      <c r="AX29" s="41">
        <f t="shared" ref="AX29:AX58" si="31">IF((AX$10-AX$8)*$E$8/($E$13*$E$9*1000)&lt;=AW$16, (AX$10-AX$8)*$E$8/($E$13*$E$9*1000), AW$16)</f>
        <v>1.5435275076582617E-2</v>
      </c>
      <c r="AY29" s="41">
        <f t="shared" ref="AY29:AY58" si="32">($D29*AW29+$E29*AX29)/($D29+$E29)</f>
        <v>1.9277017717788617E-2</v>
      </c>
      <c r="AZ29" s="42">
        <f t="shared" ref="AZ29:AZ58" si="33">AW29*($E$12*$E$9*1000)</f>
        <v>107.50487821769035</v>
      </c>
      <c r="BA29" s="42">
        <f>AX29*($E$13*$E$9*1000)</f>
        <v>216.09385107215667</v>
      </c>
      <c r="BB29" s="42">
        <f t="shared" ref="BB29:BB58" si="34">($D29*AZ29+$E29*BA29)/$E$8</f>
        <v>7.6759839925620774</v>
      </c>
      <c r="BC29" s="43">
        <f>BB29</f>
        <v>7.6759839925620774</v>
      </c>
      <c r="BD29" s="41">
        <f t="shared" ref="BD29:BD58" si="35">IF((BE$9-BE$8)*$E$8/($E$12*$E$9*1000)&lt;=BD$16, (BE$9-BE$8)*$E$8/($E$12*$E$9*1000), BD$16)</f>
        <v>0.19227565504287997</v>
      </c>
      <c r="BE29" s="41">
        <f t="shared" ref="BE29:BE58" si="36">IF((BE$10-BE$8)*$E$8/($E$13*$E$9*1000)&lt;=BD$16, (BE$10-BE$8)*$E$8/($E$13*$E$9*1000), BD$16)</f>
        <v>0.23177026014640598</v>
      </c>
      <c r="BF29" s="41">
        <f t="shared" ref="BF29:BF58" si="37">($D29*BD29+$E29*BE29)/($D29+$E29)</f>
        <v>0.20280754973715356</v>
      </c>
      <c r="BG29" s="49">
        <f t="shared" ref="BG29:BG58" si="38">BD29*($E$12*$E$9*1000)</f>
        <v>999.83340622297578</v>
      </c>
      <c r="BH29" s="49">
        <f>BE29*($E$13*$E$9*1000)</f>
        <v>3244.7836420496842</v>
      </c>
      <c r="BI29" s="49">
        <f t="shared" ref="BI29:BI58" si="39">($D29*BG29+$E29*BH29)/$E$8</f>
        <v>89.914882637443</v>
      </c>
      <c r="BJ29" s="47">
        <f>BI29</f>
        <v>89.914882637443</v>
      </c>
      <c r="BK29" s="42">
        <f t="shared" ref="BK29:BK58" si="40">IF((BL$9-BL$8)*$E$8/($E$12*$E$9*1000)&lt;=BK$16, (BL$9-BL$8)*$E$8/($E$12*$E$9*1000), BK$16)</f>
        <v>2.68</v>
      </c>
      <c r="BL29" s="42">
        <f t="shared" ref="BL29:BL58" si="41">IF((BL$10-BL$8)*$E$8/($E$13*$E$9*1000)&lt;=BK$16, (BL$10-BL$8)*$E$8/($E$13*$E$9*1000), BK$16)</f>
        <v>2.68</v>
      </c>
      <c r="BM29" s="42">
        <f t="shared" ref="BM29:BM58" si="42">($D29*BK29+$E29*BL29)/($D29+$E29)</f>
        <v>2.6800000000000006</v>
      </c>
      <c r="BN29" s="49">
        <f t="shared" ref="BN29:BN58" si="43">BK29*($E$12*$E$9*1000)</f>
        <v>13936</v>
      </c>
      <c r="BO29" s="49">
        <f>BL29*($E$13*$E$9*1000)</f>
        <v>37520.000000000007</v>
      </c>
      <c r="BP29" s="49">
        <f t="shared" ref="BP29:BP58" si="44">($D29*BN29+$E29*BO29)/$E$8</f>
        <v>1137.6600000000001</v>
      </c>
      <c r="BQ29" s="47">
        <f>BP29</f>
        <v>1137.6600000000001</v>
      </c>
      <c r="BR29" s="21">
        <f t="shared" ref="BR29:BR58" si="45">IF((BS$9-BS$8)*$E$8/($E$12*$E$9*1000)&lt;=BR$16, (BS$9-BS$8)*$E$8/($E$12*$E$9*1000), BR$16)</f>
        <v>1.5599412508095822E-2</v>
      </c>
      <c r="BS29" s="21">
        <f t="shared" ref="BS29:BS58" si="46">IF((BS$10-BS$8)*$E$8/($E$13*$E$9*1000)&lt;=BR$16, (BS$10-BS$8)*$E$8/($E$13*$E$9*1000), BR$16)</f>
        <v>9.1105618572899193E-3</v>
      </c>
      <c r="BT29" s="21">
        <f t="shared" ref="BT29:BT58" si="47">($D29*BR29+$E29*BS29)/($D29+$E29)</f>
        <v>1.3869052334547582E-2</v>
      </c>
      <c r="BU29" s="42">
        <f t="shared" ref="BU29:BU58" si="48">BR29*($E$12*$E$9*1000)</f>
        <v>81.11694504209828</v>
      </c>
      <c r="BV29" s="42">
        <f>BS29*($E$13*$E$9*1000)</f>
        <v>127.54786600205888</v>
      </c>
      <c r="BW29" s="42">
        <f t="shared" ref="BW29:BW58" si="49">($D29*BU29+$E29*BV29)/$E$8</f>
        <v>5.2592919730174374</v>
      </c>
      <c r="BX29" s="43">
        <f>BW29</f>
        <v>5.2592919730174374</v>
      </c>
      <c r="BY29" s="49">
        <f t="shared" ref="BY29:BY58" si="50">IF((BZ$9-BZ$8)*$E$8/($E$12*$E$9*1000)&lt;=BY$16, (BZ$9-BZ$8)*$E$8/($E$12*$E$9*1000), BY$16)</f>
        <v>150.95212809889864</v>
      </c>
      <c r="BZ29" s="49">
        <f t="shared" ref="BZ29:BZ58" si="51">IF((BZ$10-BZ$8)*$E$8/($E$13*$E$9*1000)&lt;=BY$16, (BZ$10-BZ$8)*$E$8/($E$13*$E$9*1000), BY$16)</f>
        <v>109.46574854122099</v>
      </c>
      <c r="CA29" s="49">
        <f t="shared" ref="CA29:CA58" si="52">($D29*BY29+$E29*BZ29)/($D29+$E29)</f>
        <v>139.88909355018458</v>
      </c>
      <c r="CB29" s="49">
        <f t="shared" ref="CB29:CB58" si="53">BY29*($E$12*$E$9*1000)</f>
        <v>784951.06611427292</v>
      </c>
      <c r="CC29" s="49">
        <f>BZ29*($E$13*$E$9*1000)</f>
        <v>1532520.4795770941</v>
      </c>
      <c r="CD29" s="49">
        <f t="shared" ref="CD29:CD58" si="54">($D29*CB29+$E29*CC29)/$E$8</f>
        <v>55367.03867087017</v>
      </c>
      <c r="CE29" s="47">
        <f>CD29</f>
        <v>55367.03867087017</v>
      </c>
      <c r="CF29" s="21">
        <f t="shared" ref="CF29:CF58" si="55">IF((CG$9-CG$8)*$E$8/($E$12*$E$9*1000)&lt;=CF$16, (CG$9-CG$8)*$E$8/($E$12*$E$9*1000), CF$16)</f>
        <v>0.17350648111232075</v>
      </c>
      <c r="CG29" s="21">
        <f t="shared" ref="CG29:CG58" si="56">IF((CG$10-CG$8)*$E$8/($E$13*$E$9*1000)&lt;=CF$16, (CG$10-CG$8)*$E$8/($E$13*$E$9*1000), CF$16)</f>
        <v>0.17713539258621841</v>
      </c>
      <c r="CH29" s="21">
        <f t="shared" ref="CH29:CH58" si="57">($D29*CF29+$E29*CG29)/($D29+$E29)</f>
        <v>0.17447419083869345</v>
      </c>
      <c r="CI29" s="42">
        <f t="shared" ref="CI29:CI58" si="58">CF29*($E$12*$E$9*1000)</f>
        <v>902.23370178406788</v>
      </c>
      <c r="CJ29" s="42">
        <f>CG29*($E$13*$E$9*1000)</f>
        <v>2479.8954962070579</v>
      </c>
      <c r="CK29" s="42">
        <f t="shared" ref="CK29:CK58" si="59">($D29*CI29+$E29*CJ29)/$E$8</f>
        <v>74.415572641698674</v>
      </c>
      <c r="CL29" s="43">
        <f>CK29</f>
        <v>74.415572641698674</v>
      </c>
      <c r="CM29" s="21">
        <f t="shared" ref="CM29:CM58" si="60">IF((CN$9-CN$8)*$E$8/($E$12*$E$9*1000)&lt;=CM$16, (CN$9-CN$8)*$E$8/($E$12*$E$9*1000), CM$16)</f>
        <v>1.7248770077813249E-2</v>
      </c>
      <c r="CN29" s="21">
        <f t="shared" ref="CN29:CN58" si="61">IF((CN$10-CN$8)*$E$8/($E$13*$E$9*1000)&lt;=CM$16, (CN$10-CN$8)*$E$8/($E$13*$E$9*1000), CM$16)</f>
        <v>2.1644157198041396E-2</v>
      </c>
      <c r="CO29" s="41">
        <f t="shared" ref="CO29:CO58" si="62">($D29*CM29+$E29*CN29)/($D29+$E29)</f>
        <v>1.8420873309874089E-2</v>
      </c>
      <c r="CP29" s="46">
        <f t="shared" ref="CP29:CP58" si="63">CM29*($E$12*$E$9*1000)</f>
        <v>89.6936044046289</v>
      </c>
      <c r="CQ29" s="46">
        <f>CN29*($E$13*$E$9*1000)</f>
        <v>303.01820077257958</v>
      </c>
      <c r="CR29" s="42">
        <f t="shared" ref="CR29:CR58" si="64">($D29*CP29+$E29*CQ29)/$E$8</f>
        <v>8.245134193279636</v>
      </c>
      <c r="CS29" s="43">
        <f>CR29</f>
        <v>8.245134193279636</v>
      </c>
    </row>
    <row r="30" spans="1:97" ht="15.75" customHeight="1" x14ac:dyDescent="0.25">
      <c r="C30" s="1">
        <v>2</v>
      </c>
      <c r="D30" s="1">
        <f>Scenario_Info!$N$11</f>
        <v>33</v>
      </c>
      <c r="E30" s="1">
        <f>Scenario_Info!$N$12</f>
        <v>12</v>
      </c>
      <c r="F30" s="1">
        <f>Scenario_Info!$N$14/100</f>
        <v>0.77300000000000002</v>
      </c>
      <c r="G30" s="426">
        <f t="shared" si="0"/>
        <v>2.347965595632683E-3</v>
      </c>
      <c r="H30" s="21">
        <f t="shared" si="1"/>
        <v>1.6059725060000518E-3</v>
      </c>
      <c r="I30" s="21">
        <f t="shared" si="2"/>
        <v>2.150100771730648E-3</v>
      </c>
      <c r="J30" s="42">
        <f t="shared" si="3"/>
        <v>12.209421097289951</v>
      </c>
      <c r="K30" s="42">
        <f t="shared" ref="K30:K58" si="65">H30*($E$13*$E$9*1000)</f>
        <v>22.483615084000729</v>
      </c>
      <c r="L30" s="42">
        <f t="shared" si="4"/>
        <v>0.84089284652322138</v>
      </c>
      <c r="M30" s="43">
        <f t="shared" ref="M30:M58" si="66">L30+M29</f>
        <v>1.6817856930464428</v>
      </c>
      <c r="N30" s="426">
        <f t="shared" si="5"/>
        <v>1.810287971507309E-2</v>
      </c>
      <c r="O30" s="21">
        <f t="shared" si="6"/>
        <v>1.8425342775211056E-2</v>
      </c>
      <c r="P30" s="21">
        <f t="shared" si="7"/>
        <v>1.8188869864443215E-2</v>
      </c>
      <c r="Q30" s="42">
        <f t="shared" si="8"/>
        <v>94.134974518380062</v>
      </c>
      <c r="R30" s="42">
        <f t="shared" ref="R30:R58" si="67">O30*($E$13*$E$9*1000)</f>
        <v>257.95479885295481</v>
      </c>
      <c r="S30" s="42">
        <f t="shared" si="9"/>
        <v>7.7523896816775002</v>
      </c>
      <c r="T30" s="43">
        <f t="shared" ref="T30:T58" si="68">S30+T29</f>
        <v>15.504779363355</v>
      </c>
      <c r="U30" s="21">
        <f t="shared" si="10"/>
        <v>1.3955828940024489E-3</v>
      </c>
      <c r="V30" s="21">
        <f t="shared" si="11"/>
        <v>1.4260302196779395E-3</v>
      </c>
      <c r="W30" s="21">
        <f t="shared" si="12"/>
        <v>1.4037021808492465E-3</v>
      </c>
      <c r="X30" s="42">
        <f t="shared" si="13"/>
        <v>7.2570310488127348</v>
      </c>
      <c r="Y30" s="42">
        <f t="shared" ref="Y30:Y58" si="69">V30*($E$13*$E$9*1000)</f>
        <v>19.964423075491155</v>
      </c>
      <c r="Z30" s="42">
        <f t="shared" si="14"/>
        <v>0.59881887689589264</v>
      </c>
      <c r="AA30" s="43">
        <f t="shared" ref="AA30:AA58" si="70">Z30+AA29</f>
        <v>1.1976377537917853</v>
      </c>
      <c r="AB30" s="46">
        <f t="shared" si="15"/>
        <v>35.5</v>
      </c>
      <c r="AC30" s="46">
        <f t="shared" si="16"/>
        <v>35.5</v>
      </c>
      <c r="AD30" s="46">
        <f t="shared" si="17"/>
        <v>35.5</v>
      </c>
      <c r="AE30" s="49">
        <f t="shared" si="18"/>
        <v>184600</v>
      </c>
      <c r="AF30" s="49">
        <f t="shared" ref="AF30:AF58" si="71">AC30*($E$13*$E$9*1000)</f>
        <v>497000.00000000006</v>
      </c>
      <c r="AG30" s="49">
        <f t="shared" si="19"/>
        <v>15069.75</v>
      </c>
      <c r="AH30" s="47">
        <f t="shared" ref="AH30:AH58" si="72">AG30+AH29</f>
        <v>30139.5</v>
      </c>
      <c r="AI30" s="41">
        <f t="shared" si="20"/>
        <v>1.5482058261408303E-2</v>
      </c>
      <c r="AJ30" s="41">
        <f t="shared" si="21"/>
        <v>1.1122209244657646E-2</v>
      </c>
      <c r="AK30" s="41">
        <f t="shared" si="22"/>
        <v>1.4319431856941463E-2</v>
      </c>
      <c r="AL30" s="42">
        <f t="shared" si="23"/>
        <v>80.506702959323178</v>
      </c>
      <c r="AM30" s="42">
        <f t="shared" ref="AM30:AM58" si="73">AJ30*($E$13*$E$9*1000)</f>
        <v>155.71092942520707</v>
      </c>
      <c r="AN30" s="49">
        <f t="shared" si="24"/>
        <v>5.6565654384501878</v>
      </c>
      <c r="AO30" s="47">
        <f t="shared" ref="AO30:AO58" si="74">AN30+AO29</f>
        <v>11.313130876900376</v>
      </c>
      <c r="AP30" s="41">
        <f t="shared" si="25"/>
        <v>7.3839928729178772E-2</v>
      </c>
      <c r="AQ30" s="41">
        <f t="shared" si="26"/>
        <v>5.8420633797145641E-2</v>
      </c>
      <c r="AR30" s="41">
        <f t="shared" si="27"/>
        <v>6.9728116747303268E-2</v>
      </c>
      <c r="AS30" s="42">
        <f t="shared" si="28"/>
        <v>383.96762939172959</v>
      </c>
      <c r="AT30" s="42">
        <f t="shared" ref="AT30:AT58" si="75">AQ30*($E$13*$E$9*1000)</f>
        <v>817.88887316003911</v>
      </c>
      <c r="AU30" s="42">
        <f t="shared" si="29"/>
        <v>28.106997809809432</v>
      </c>
      <c r="AV30" s="43">
        <f t="shared" ref="AV30:AV58" si="76">AU30+AV29</f>
        <v>56.213995619618863</v>
      </c>
      <c r="AW30" s="41">
        <f t="shared" si="30"/>
        <v>2.0674015041863527E-2</v>
      </c>
      <c r="AX30" s="41">
        <f t="shared" si="31"/>
        <v>1.5435275076582617E-2</v>
      </c>
      <c r="AY30" s="41">
        <f t="shared" si="32"/>
        <v>1.9277017717788617E-2</v>
      </c>
      <c r="AZ30" s="42">
        <f t="shared" si="33"/>
        <v>107.50487821769035</v>
      </c>
      <c r="BA30" s="42">
        <f t="shared" ref="BA30:BA58" si="77">AX30*($E$13*$E$9*1000)</f>
        <v>216.09385107215667</v>
      </c>
      <c r="BB30" s="42">
        <f t="shared" si="34"/>
        <v>7.6759839925620774</v>
      </c>
      <c r="BC30" s="43">
        <f t="shared" ref="BC30:BC58" si="78">BB30+BC29</f>
        <v>15.351967985124155</v>
      </c>
      <c r="BD30" s="41">
        <f t="shared" si="35"/>
        <v>0.19227565504287997</v>
      </c>
      <c r="BE30" s="41">
        <f t="shared" si="36"/>
        <v>0.23177026014640598</v>
      </c>
      <c r="BF30" s="41">
        <f t="shared" si="37"/>
        <v>0.20280754973715356</v>
      </c>
      <c r="BG30" s="49">
        <f t="shared" si="38"/>
        <v>999.83340622297578</v>
      </c>
      <c r="BH30" s="49">
        <f t="shared" ref="BH30:BH58" si="79">BE30*($E$13*$E$9*1000)</f>
        <v>3244.7836420496842</v>
      </c>
      <c r="BI30" s="49">
        <f t="shared" si="39"/>
        <v>89.914882637443</v>
      </c>
      <c r="BJ30" s="47">
        <f t="shared" ref="BJ30:BJ58" si="80">BI30+BJ29</f>
        <v>179.829765274886</v>
      </c>
      <c r="BK30" s="42">
        <f t="shared" si="40"/>
        <v>2.68</v>
      </c>
      <c r="BL30" s="42">
        <f t="shared" si="41"/>
        <v>2.68</v>
      </c>
      <c r="BM30" s="42">
        <f t="shared" si="42"/>
        <v>2.6800000000000006</v>
      </c>
      <c r="BN30" s="49">
        <f t="shared" si="43"/>
        <v>13936</v>
      </c>
      <c r="BO30" s="49">
        <f t="shared" ref="BO30:BO58" si="81">BL30*($E$13*$E$9*1000)</f>
        <v>37520.000000000007</v>
      </c>
      <c r="BP30" s="49">
        <f t="shared" si="44"/>
        <v>1137.6600000000001</v>
      </c>
      <c r="BQ30" s="47">
        <f t="shared" ref="BQ30:BQ58" si="82">BP30+BQ29</f>
        <v>2275.3200000000002</v>
      </c>
      <c r="BR30" s="21">
        <f t="shared" si="45"/>
        <v>1.5599412508095822E-2</v>
      </c>
      <c r="BS30" s="21">
        <f t="shared" si="46"/>
        <v>9.1105618572899193E-3</v>
      </c>
      <c r="BT30" s="21">
        <f t="shared" si="47"/>
        <v>1.3869052334547582E-2</v>
      </c>
      <c r="BU30" s="42">
        <f t="shared" si="48"/>
        <v>81.11694504209828</v>
      </c>
      <c r="BV30" s="42">
        <f t="shared" ref="BV30:BV58" si="83">BS30*($E$13*$E$9*1000)</f>
        <v>127.54786600205888</v>
      </c>
      <c r="BW30" s="42">
        <f t="shared" si="49"/>
        <v>5.2592919730174374</v>
      </c>
      <c r="BX30" s="43">
        <f t="shared" ref="BX30:BX58" si="84">BW30+BX29</f>
        <v>10.518583946034875</v>
      </c>
      <c r="BY30" s="49">
        <f t="shared" si="50"/>
        <v>150.95212809889864</v>
      </c>
      <c r="BZ30" s="49">
        <f t="shared" si="51"/>
        <v>109.46574854122099</v>
      </c>
      <c r="CA30" s="49">
        <f t="shared" si="52"/>
        <v>139.88909355018458</v>
      </c>
      <c r="CB30" s="49">
        <f t="shared" si="53"/>
        <v>784951.06611427292</v>
      </c>
      <c r="CC30" s="49">
        <f t="shared" ref="CC30:CC58" si="85">BZ30*($E$13*$E$9*1000)</f>
        <v>1532520.4795770941</v>
      </c>
      <c r="CD30" s="49">
        <f t="shared" si="54"/>
        <v>55367.03867087017</v>
      </c>
      <c r="CE30" s="47">
        <f t="shared" ref="CE30:CE58" si="86">CD30+CE29</f>
        <v>110734.07734174034</v>
      </c>
      <c r="CF30" s="21">
        <f t="shared" si="55"/>
        <v>0.17350648111232075</v>
      </c>
      <c r="CG30" s="21">
        <f t="shared" si="56"/>
        <v>0.17713539258621841</v>
      </c>
      <c r="CH30" s="21">
        <f t="shared" si="57"/>
        <v>0.17447419083869345</v>
      </c>
      <c r="CI30" s="42">
        <f t="shared" si="58"/>
        <v>902.23370178406788</v>
      </c>
      <c r="CJ30" s="42">
        <f t="shared" ref="CJ30:CJ58" si="87">CG30*($E$13*$E$9*1000)</f>
        <v>2479.8954962070579</v>
      </c>
      <c r="CK30" s="42">
        <f t="shared" si="59"/>
        <v>74.415572641698674</v>
      </c>
      <c r="CL30" s="43">
        <f t="shared" ref="CL30:CL58" si="88">CK30+CL29</f>
        <v>148.83114528339735</v>
      </c>
      <c r="CM30" s="21">
        <f t="shared" si="60"/>
        <v>1.7248770077813249E-2</v>
      </c>
      <c r="CN30" s="21">
        <f t="shared" si="61"/>
        <v>2.1644157198041396E-2</v>
      </c>
      <c r="CO30" s="41">
        <f t="shared" si="62"/>
        <v>1.8420873309874089E-2</v>
      </c>
      <c r="CP30" s="46">
        <f t="shared" si="63"/>
        <v>89.6936044046289</v>
      </c>
      <c r="CQ30" s="46">
        <f t="shared" ref="CQ30:CQ58" si="89">CN30*($E$13*$E$9*1000)</f>
        <v>303.01820077257958</v>
      </c>
      <c r="CR30" s="42">
        <f t="shared" si="64"/>
        <v>8.245134193279636</v>
      </c>
      <c r="CS30" s="43">
        <f t="shared" ref="CS30:CS58" si="90">CR30+CS29</f>
        <v>16.490268386559272</v>
      </c>
    </row>
    <row r="31" spans="1:97" ht="15.75" customHeight="1" x14ac:dyDescent="0.25">
      <c r="C31" s="1">
        <v>3</v>
      </c>
      <c r="D31" s="1">
        <f>Scenario_Info!$N$11</f>
        <v>33</v>
      </c>
      <c r="E31" s="1">
        <f>Scenario_Info!$N$12</f>
        <v>12</v>
      </c>
      <c r="F31" s="1">
        <f>Scenario_Info!$N$14/100</f>
        <v>0.77300000000000002</v>
      </c>
      <c r="G31" s="426">
        <f t="shared" si="0"/>
        <v>2.347965595632683E-3</v>
      </c>
      <c r="H31" s="21">
        <f t="shared" si="1"/>
        <v>1.6059725060000518E-3</v>
      </c>
      <c r="I31" s="21">
        <f t="shared" si="2"/>
        <v>2.150100771730648E-3</v>
      </c>
      <c r="J31" s="42">
        <f t="shared" si="3"/>
        <v>12.209421097289951</v>
      </c>
      <c r="K31" s="42">
        <f t="shared" si="65"/>
        <v>22.483615084000729</v>
      </c>
      <c r="L31" s="42">
        <f t="shared" si="4"/>
        <v>0.84089284652322138</v>
      </c>
      <c r="M31" s="43">
        <f t="shared" si="66"/>
        <v>2.522678539569664</v>
      </c>
      <c r="N31" s="426">
        <f t="shared" si="5"/>
        <v>1.810287971507309E-2</v>
      </c>
      <c r="O31" s="21">
        <f t="shared" si="6"/>
        <v>1.8425342775211056E-2</v>
      </c>
      <c r="P31" s="21">
        <f t="shared" si="7"/>
        <v>1.8188869864443215E-2</v>
      </c>
      <c r="Q31" s="42">
        <f t="shared" si="8"/>
        <v>94.134974518380062</v>
      </c>
      <c r="R31" s="42">
        <f t="shared" si="67"/>
        <v>257.95479885295481</v>
      </c>
      <c r="S31" s="42">
        <f t="shared" si="9"/>
        <v>7.7523896816775002</v>
      </c>
      <c r="T31" s="43">
        <f t="shared" si="68"/>
        <v>23.257169045032501</v>
      </c>
      <c r="U31" s="21">
        <f t="shared" si="10"/>
        <v>1.3955828940024489E-3</v>
      </c>
      <c r="V31" s="21">
        <f t="shared" si="11"/>
        <v>1.4260302196779395E-3</v>
      </c>
      <c r="W31" s="21">
        <f t="shared" si="12"/>
        <v>1.4037021808492465E-3</v>
      </c>
      <c r="X31" s="42">
        <f t="shared" si="13"/>
        <v>7.2570310488127348</v>
      </c>
      <c r="Y31" s="42">
        <f t="shared" si="69"/>
        <v>19.964423075491155</v>
      </c>
      <c r="Z31" s="42">
        <f t="shared" si="14"/>
        <v>0.59881887689589264</v>
      </c>
      <c r="AA31" s="43">
        <f t="shared" si="70"/>
        <v>1.7964566306876779</v>
      </c>
      <c r="AB31" s="46">
        <f t="shared" si="15"/>
        <v>35.5</v>
      </c>
      <c r="AC31" s="46">
        <f t="shared" si="16"/>
        <v>35.5</v>
      </c>
      <c r="AD31" s="46">
        <f t="shared" si="17"/>
        <v>35.5</v>
      </c>
      <c r="AE31" s="49">
        <f t="shared" si="18"/>
        <v>184600</v>
      </c>
      <c r="AF31" s="49">
        <f t="shared" si="71"/>
        <v>497000.00000000006</v>
      </c>
      <c r="AG31" s="49">
        <f t="shared" si="19"/>
        <v>15069.75</v>
      </c>
      <c r="AH31" s="47">
        <f t="shared" si="72"/>
        <v>45209.25</v>
      </c>
      <c r="AI31" s="41">
        <f t="shared" si="20"/>
        <v>1.5482058261408303E-2</v>
      </c>
      <c r="AJ31" s="41">
        <f t="shared" si="21"/>
        <v>1.1122209244657646E-2</v>
      </c>
      <c r="AK31" s="41">
        <f t="shared" si="22"/>
        <v>1.4319431856941463E-2</v>
      </c>
      <c r="AL31" s="42">
        <f t="shared" si="23"/>
        <v>80.506702959323178</v>
      </c>
      <c r="AM31" s="42">
        <f t="shared" si="73"/>
        <v>155.71092942520707</v>
      </c>
      <c r="AN31" s="49">
        <f t="shared" si="24"/>
        <v>5.6565654384501878</v>
      </c>
      <c r="AO31" s="47">
        <f t="shared" si="74"/>
        <v>16.969696315350564</v>
      </c>
      <c r="AP31" s="41">
        <f t="shared" si="25"/>
        <v>7.3839928729178772E-2</v>
      </c>
      <c r="AQ31" s="41">
        <f t="shared" si="26"/>
        <v>5.8420633797145641E-2</v>
      </c>
      <c r="AR31" s="41">
        <f t="shared" si="27"/>
        <v>6.9728116747303268E-2</v>
      </c>
      <c r="AS31" s="42">
        <f t="shared" si="28"/>
        <v>383.96762939172959</v>
      </c>
      <c r="AT31" s="42">
        <f t="shared" si="75"/>
        <v>817.88887316003911</v>
      </c>
      <c r="AU31" s="42">
        <f t="shared" si="29"/>
        <v>28.106997809809432</v>
      </c>
      <c r="AV31" s="43">
        <f t="shared" si="76"/>
        <v>84.320993429428299</v>
      </c>
      <c r="AW31" s="41">
        <f t="shared" si="30"/>
        <v>2.0674015041863527E-2</v>
      </c>
      <c r="AX31" s="41">
        <f t="shared" si="31"/>
        <v>1.5435275076582617E-2</v>
      </c>
      <c r="AY31" s="41">
        <f t="shared" si="32"/>
        <v>1.9277017717788617E-2</v>
      </c>
      <c r="AZ31" s="42">
        <f t="shared" si="33"/>
        <v>107.50487821769035</v>
      </c>
      <c r="BA31" s="42">
        <f t="shared" si="77"/>
        <v>216.09385107215667</v>
      </c>
      <c r="BB31" s="42">
        <f t="shared" si="34"/>
        <v>7.6759839925620774</v>
      </c>
      <c r="BC31" s="43">
        <f t="shared" si="78"/>
        <v>23.027951977686232</v>
      </c>
      <c r="BD31" s="41">
        <f t="shared" si="35"/>
        <v>0.19227565504287997</v>
      </c>
      <c r="BE31" s="41">
        <f t="shared" si="36"/>
        <v>0.23177026014640598</v>
      </c>
      <c r="BF31" s="41">
        <f t="shared" si="37"/>
        <v>0.20280754973715356</v>
      </c>
      <c r="BG31" s="49">
        <f t="shared" si="38"/>
        <v>999.83340622297578</v>
      </c>
      <c r="BH31" s="49">
        <f t="shared" si="79"/>
        <v>3244.7836420496842</v>
      </c>
      <c r="BI31" s="49">
        <f t="shared" si="39"/>
        <v>89.914882637443</v>
      </c>
      <c r="BJ31" s="47">
        <f t="shared" si="80"/>
        <v>269.74464791232901</v>
      </c>
      <c r="BK31" s="42">
        <f t="shared" si="40"/>
        <v>2.68</v>
      </c>
      <c r="BL31" s="42">
        <f t="shared" si="41"/>
        <v>2.68</v>
      </c>
      <c r="BM31" s="42">
        <f t="shared" si="42"/>
        <v>2.6800000000000006</v>
      </c>
      <c r="BN31" s="49">
        <f t="shared" si="43"/>
        <v>13936</v>
      </c>
      <c r="BO31" s="49">
        <f t="shared" si="81"/>
        <v>37520.000000000007</v>
      </c>
      <c r="BP31" s="49">
        <f t="shared" si="44"/>
        <v>1137.6600000000001</v>
      </c>
      <c r="BQ31" s="47">
        <f t="shared" si="82"/>
        <v>3412.9800000000005</v>
      </c>
      <c r="BR31" s="21">
        <f t="shared" si="45"/>
        <v>1.5599412508095822E-2</v>
      </c>
      <c r="BS31" s="21">
        <f t="shared" si="46"/>
        <v>9.1105618572899193E-3</v>
      </c>
      <c r="BT31" s="21">
        <f t="shared" si="47"/>
        <v>1.3869052334547582E-2</v>
      </c>
      <c r="BU31" s="42">
        <f t="shared" si="48"/>
        <v>81.11694504209828</v>
      </c>
      <c r="BV31" s="42">
        <f t="shared" si="83"/>
        <v>127.54786600205888</v>
      </c>
      <c r="BW31" s="42">
        <f t="shared" si="49"/>
        <v>5.2592919730174374</v>
      </c>
      <c r="BX31" s="43">
        <f t="shared" si="84"/>
        <v>15.777875919052313</v>
      </c>
      <c r="BY31" s="49">
        <f t="shared" si="50"/>
        <v>150.95212809889864</v>
      </c>
      <c r="BZ31" s="49">
        <f t="shared" si="51"/>
        <v>109.46574854122099</v>
      </c>
      <c r="CA31" s="49">
        <f t="shared" si="52"/>
        <v>139.88909355018458</v>
      </c>
      <c r="CB31" s="49">
        <f t="shared" si="53"/>
        <v>784951.06611427292</v>
      </c>
      <c r="CC31" s="49">
        <f t="shared" si="85"/>
        <v>1532520.4795770941</v>
      </c>
      <c r="CD31" s="49">
        <f t="shared" si="54"/>
        <v>55367.03867087017</v>
      </c>
      <c r="CE31" s="47">
        <f t="shared" si="86"/>
        <v>166101.1160126105</v>
      </c>
      <c r="CF31" s="21">
        <f t="shared" si="55"/>
        <v>0.17350648111232075</v>
      </c>
      <c r="CG31" s="21">
        <f t="shared" si="56"/>
        <v>0.17713539258621841</v>
      </c>
      <c r="CH31" s="21">
        <f t="shared" si="57"/>
        <v>0.17447419083869345</v>
      </c>
      <c r="CI31" s="42">
        <f t="shared" si="58"/>
        <v>902.23370178406788</v>
      </c>
      <c r="CJ31" s="42">
        <f t="shared" si="87"/>
        <v>2479.8954962070579</v>
      </c>
      <c r="CK31" s="42">
        <f t="shared" si="59"/>
        <v>74.415572641698674</v>
      </c>
      <c r="CL31" s="43">
        <f t="shared" si="88"/>
        <v>223.24671792509602</v>
      </c>
      <c r="CM31" s="21">
        <f t="shared" si="60"/>
        <v>1.7248770077813249E-2</v>
      </c>
      <c r="CN31" s="21">
        <f t="shared" si="61"/>
        <v>2.1644157198041396E-2</v>
      </c>
      <c r="CO31" s="41">
        <f t="shared" si="62"/>
        <v>1.8420873309874089E-2</v>
      </c>
      <c r="CP31" s="46">
        <f t="shared" si="63"/>
        <v>89.6936044046289</v>
      </c>
      <c r="CQ31" s="46">
        <f t="shared" si="89"/>
        <v>303.01820077257958</v>
      </c>
      <c r="CR31" s="42">
        <f t="shared" si="64"/>
        <v>8.245134193279636</v>
      </c>
      <c r="CS31" s="43">
        <f t="shared" si="90"/>
        <v>24.735402579838908</v>
      </c>
    </row>
    <row r="32" spans="1:97" ht="15.75" customHeight="1" x14ac:dyDescent="0.25">
      <c r="C32" s="1">
        <v>4</v>
      </c>
      <c r="D32" s="1">
        <f>Scenario_Info!$N$11</f>
        <v>33</v>
      </c>
      <c r="E32" s="1">
        <f>Scenario_Info!$N$12</f>
        <v>12</v>
      </c>
      <c r="F32" s="1">
        <f>Scenario_Info!$N$14/100</f>
        <v>0.77300000000000002</v>
      </c>
      <c r="G32" s="426">
        <f t="shared" si="0"/>
        <v>2.347965595632683E-3</v>
      </c>
      <c r="H32" s="21">
        <f t="shared" si="1"/>
        <v>1.6059725060000518E-3</v>
      </c>
      <c r="I32" s="21">
        <f t="shared" si="2"/>
        <v>2.150100771730648E-3</v>
      </c>
      <c r="J32" s="42">
        <f t="shared" si="3"/>
        <v>12.209421097289951</v>
      </c>
      <c r="K32" s="42">
        <f t="shared" si="65"/>
        <v>22.483615084000729</v>
      </c>
      <c r="L32" s="42">
        <f t="shared" si="4"/>
        <v>0.84089284652322138</v>
      </c>
      <c r="M32" s="43">
        <f t="shared" si="66"/>
        <v>3.3635713860928855</v>
      </c>
      <c r="N32" s="426">
        <f t="shared" si="5"/>
        <v>1.810287971507309E-2</v>
      </c>
      <c r="O32" s="21">
        <f t="shared" si="6"/>
        <v>1.8425342775211056E-2</v>
      </c>
      <c r="P32" s="21">
        <f t="shared" si="7"/>
        <v>1.8188869864443215E-2</v>
      </c>
      <c r="Q32" s="42">
        <f t="shared" si="8"/>
        <v>94.134974518380062</v>
      </c>
      <c r="R32" s="42">
        <f t="shared" si="67"/>
        <v>257.95479885295481</v>
      </c>
      <c r="S32" s="42">
        <f t="shared" si="9"/>
        <v>7.7523896816775002</v>
      </c>
      <c r="T32" s="43">
        <f t="shared" si="68"/>
        <v>31.009558726710001</v>
      </c>
      <c r="U32" s="21">
        <f t="shared" si="10"/>
        <v>1.3955828940024489E-3</v>
      </c>
      <c r="V32" s="21">
        <f t="shared" si="11"/>
        <v>1.4260302196779395E-3</v>
      </c>
      <c r="W32" s="21">
        <f t="shared" si="12"/>
        <v>1.4037021808492465E-3</v>
      </c>
      <c r="X32" s="42">
        <f t="shared" si="13"/>
        <v>7.2570310488127348</v>
      </c>
      <c r="Y32" s="42">
        <f t="shared" si="69"/>
        <v>19.964423075491155</v>
      </c>
      <c r="Z32" s="42">
        <f t="shared" si="14"/>
        <v>0.59881887689589264</v>
      </c>
      <c r="AA32" s="43">
        <f t="shared" si="70"/>
        <v>2.3952755075835706</v>
      </c>
      <c r="AB32" s="46">
        <f t="shared" si="15"/>
        <v>35.5</v>
      </c>
      <c r="AC32" s="46">
        <f t="shared" si="16"/>
        <v>35.5</v>
      </c>
      <c r="AD32" s="46">
        <f t="shared" si="17"/>
        <v>35.5</v>
      </c>
      <c r="AE32" s="49">
        <f t="shared" si="18"/>
        <v>184600</v>
      </c>
      <c r="AF32" s="49">
        <f t="shared" si="71"/>
        <v>497000.00000000006</v>
      </c>
      <c r="AG32" s="49">
        <f t="shared" si="19"/>
        <v>15069.75</v>
      </c>
      <c r="AH32" s="47">
        <f t="shared" si="72"/>
        <v>60279</v>
      </c>
      <c r="AI32" s="41">
        <f t="shared" si="20"/>
        <v>1.5482058261408303E-2</v>
      </c>
      <c r="AJ32" s="41">
        <f t="shared" si="21"/>
        <v>1.1122209244657646E-2</v>
      </c>
      <c r="AK32" s="41">
        <f t="shared" si="22"/>
        <v>1.4319431856941463E-2</v>
      </c>
      <c r="AL32" s="42">
        <f t="shared" si="23"/>
        <v>80.506702959323178</v>
      </c>
      <c r="AM32" s="42">
        <f t="shared" si="73"/>
        <v>155.71092942520707</v>
      </c>
      <c r="AN32" s="49">
        <f t="shared" si="24"/>
        <v>5.6565654384501878</v>
      </c>
      <c r="AO32" s="47">
        <f t="shared" si="74"/>
        <v>22.626261753800751</v>
      </c>
      <c r="AP32" s="41">
        <f t="shared" si="25"/>
        <v>7.3839928729178772E-2</v>
      </c>
      <c r="AQ32" s="41">
        <f t="shared" si="26"/>
        <v>5.8420633797145641E-2</v>
      </c>
      <c r="AR32" s="41">
        <f t="shared" si="27"/>
        <v>6.9728116747303268E-2</v>
      </c>
      <c r="AS32" s="42">
        <f t="shared" si="28"/>
        <v>383.96762939172959</v>
      </c>
      <c r="AT32" s="42">
        <f t="shared" si="75"/>
        <v>817.88887316003911</v>
      </c>
      <c r="AU32" s="42">
        <f t="shared" si="29"/>
        <v>28.106997809809432</v>
      </c>
      <c r="AV32" s="43">
        <f t="shared" si="76"/>
        <v>112.42799123923773</v>
      </c>
      <c r="AW32" s="41">
        <f t="shared" si="30"/>
        <v>2.0674015041863527E-2</v>
      </c>
      <c r="AX32" s="41">
        <f t="shared" si="31"/>
        <v>1.5435275076582617E-2</v>
      </c>
      <c r="AY32" s="41">
        <f t="shared" si="32"/>
        <v>1.9277017717788617E-2</v>
      </c>
      <c r="AZ32" s="42">
        <f t="shared" si="33"/>
        <v>107.50487821769035</v>
      </c>
      <c r="BA32" s="42">
        <f t="shared" si="77"/>
        <v>216.09385107215667</v>
      </c>
      <c r="BB32" s="42">
        <f t="shared" si="34"/>
        <v>7.6759839925620774</v>
      </c>
      <c r="BC32" s="43">
        <f t="shared" si="78"/>
        <v>30.70393597024831</v>
      </c>
      <c r="BD32" s="41">
        <f t="shared" si="35"/>
        <v>0.19227565504287997</v>
      </c>
      <c r="BE32" s="41">
        <f t="shared" si="36"/>
        <v>0.23177026014640598</v>
      </c>
      <c r="BF32" s="41">
        <f t="shared" si="37"/>
        <v>0.20280754973715356</v>
      </c>
      <c r="BG32" s="49">
        <f t="shared" si="38"/>
        <v>999.83340622297578</v>
      </c>
      <c r="BH32" s="49">
        <f t="shared" si="79"/>
        <v>3244.7836420496842</v>
      </c>
      <c r="BI32" s="49">
        <f t="shared" si="39"/>
        <v>89.914882637443</v>
      </c>
      <c r="BJ32" s="47">
        <f t="shared" si="80"/>
        <v>359.659530549772</v>
      </c>
      <c r="BK32" s="42">
        <f t="shared" si="40"/>
        <v>2.68</v>
      </c>
      <c r="BL32" s="42">
        <f t="shared" si="41"/>
        <v>2.68</v>
      </c>
      <c r="BM32" s="42">
        <f t="shared" si="42"/>
        <v>2.6800000000000006</v>
      </c>
      <c r="BN32" s="49">
        <f t="shared" si="43"/>
        <v>13936</v>
      </c>
      <c r="BO32" s="49">
        <f t="shared" si="81"/>
        <v>37520.000000000007</v>
      </c>
      <c r="BP32" s="49">
        <f t="shared" si="44"/>
        <v>1137.6600000000001</v>
      </c>
      <c r="BQ32" s="47">
        <f t="shared" si="82"/>
        <v>4550.6400000000003</v>
      </c>
      <c r="BR32" s="21">
        <f t="shared" si="45"/>
        <v>1.5599412508095822E-2</v>
      </c>
      <c r="BS32" s="21">
        <f t="shared" si="46"/>
        <v>9.1105618572899193E-3</v>
      </c>
      <c r="BT32" s="21">
        <f t="shared" si="47"/>
        <v>1.3869052334547582E-2</v>
      </c>
      <c r="BU32" s="42">
        <f t="shared" si="48"/>
        <v>81.11694504209828</v>
      </c>
      <c r="BV32" s="42">
        <f t="shared" si="83"/>
        <v>127.54786600205888</v>
      </c>
      <c r="BW32" s="42">
        <f t="shared" si="49"/>
        <v>5.2592919730174374</v>
      </c>
      <c r="BX32" s="43">
        <f t="shared" si="84"/>
        <v>21.03716789206975</v>
      </c>
      <c r="BY32" s="49">
        <f t="shared" si="50"/>
        <v>150.95212809889864</v>
      </c>
      <c r="BZ32" s="49">
        <f t="shared" si="51"/>
        <v>109.46574854122099</v>
      </c>
      <c r="CA32" s="49">
        <f t="shared" si="52"/>
        <v>139.88909355018458</v>
      </c>
      <c r="CB32" s="49">
        <f t="shared" si="53"/>
        <v>784951.06611427292</v>
      </c>
      <c r="CC32" s="49">
        <f t="shared" si="85"/>
        <v>1532520.4795770941</v>
      </c>
      <c r="CD32" s="49">
        <f t="shared" si="54"/>
        <v>55367.03867087017</v>
      </c>
      <c r="CE32" s="47">
        <f t="shared" si="86"/>
        <v>221468.15468348068</v>
      </c>
      <c r="CF32" s="21">
        <f t="shared" si="55"/>
        <v>0.17350648111232075</v>
      </c>
      <c r="CG32" s="21">
        <f t="shared" si="56"/>
        <v>0.17713539258621841</v>
      </c>
      <c r="CH32" s="21">
        <f t="shared" si="57"/>
        <v>0.17447419083869345</v>
      </c>
      <c r="CI32" s="42">
        <f t="shared" si="58"/>
        <v>902.23370178406788</v>
      </c>
      <c r="CJ32" s="42">
        <f t="shared" si="87"/>
        <v>2479.8954962070579</v>
      </c>
      <c r="CK32" s="42">
        <f t="shared" si="59"/>
        <v>74.415572641698674</v>
      </c>
      <c r="CL32" s="43">
        <f t="shared" si="88"/>
        <v>297.6622905667947</v>
      </c>
      <c r="CM32" s="21">
        <f t="shared" si="60"/>
        <v>1.7248770077813249E-2</v>
      </c>
      <c r="CN32" s="21">
        <f t="shared" si="61"/>
        <v>2.1644157198041396E-2</v>
      </c>
      <c r="CO32" s="41">
        <f t="shared" si="62"/>
        <v>1.8420873309874089E-2</v>
      </c>
      <c r="CP32" s="46">
        <f t="shared" si="63"/>
        <v>89.6936044046289</v>
      </c>
      <c r="CQ32" s="46">
        <f t="shared" si="89"/>
        <v>303.01820077257958</v>
      </c>
      <c r="CR32" s="42">
        <f t="shared" si="64"/>
        <v>8.245134193279636</v>
      </c>
      <c r="CS32" s="43">
        <f t="shared" si="90"/>
        <v>32.980536773118544</v>
      </c>
    </row>
    <row r="33" spans="3:97" ht="15.75" customHeight="1" x14ac:dyDescent="0.25">
      <c r="C33" s="1">
        <v>5</v>
      </c>
      <c r="D33" s="1">
        <f>Scenario_Info!$N$11</f>
        <v>33</v>
      </c>
      <c r="E33" s="1">
        <f>Scenario_Info!$N$12</f>
        <v>12</v>
      </c>
      <c r="F33" s="1">
        <f>Scenario_Info!$N$14/100</f>
        <v>0.77300000000000002</v>
      </c>
      <c r="G33" s="426">
        <f t="shared" si="0"/>
        <v>2.347965595632683E-3</v>
      </c>
      <c r="H33" s="21">
        <f t="shared" si="1"/>
        <v>1.6059725060000518E-3</v>
      </c>
      <c r="I33" s="21">
        <f t="shared" si="2"/>
        <v>2.150100771730648E-3</v>
      </c>
      <c r="J33" s="42">
        <f t="shared" si="3"/>
        <v>12.209421097289951</v>
      </c>
      <c r="K33" s="42">
        <f t="shared" si="65"/>
        <v>22.483615084000729</v>
      </c>
      <c r="L33" s="42">
        <f t="shared" si="4"/>
        <v>0.84089284652322138</v>
      </c>
      <c r="M33" s="43">
        <f t="shared" si="66"/>
        <v>4.2044642326161066</v>
      </c>
      <c r="N33" s="426">
        <f t="shared" si="5"/>
        <v>1.810287971507309E-2</v>
      </c>
      <c r="O33" s="21">
        <f t="shared" si="6"/>
        <v>1.8425342775211056E-2</v>
      </c>
      <c r="P33" s="21">
        <f t="shared" si="7"/>
        <v>1.8188869864443215E-2</v>
      </c>
      <c r="Q33" s="42">
        <f t="shared" si="8"/>
        <v>94.134974518380062</v>
      </c>
      <c r="R33" s="42">
        <f t="shared" si="67"/>
        <v>257.95479885295481</v>
      </c>
      <c r="S33" s="42">
        <f t="shared" si="9"/>
        <v>7.7523896816775002</v>
      </c>
      <c r="T33" s="43">
        <f t="shared" si="68"/>
        <v>38.761948408387504</v>
      </c>
      <c r="U33" s="21">
        <f t="shared" si="10"/>
        <v>1.3955828940024489E-3</v>
      </c>
      <c r="V33" s="21">
        <f t="shared" si="11"/>
        <v>1.4260302196779395E-3</v>
      </c>
      <c r="W33" s="21">
        <f t="shared" si="12"/>
        <v>1.4037021808492465E-3</v>
      </c>
      <c r="X33" s="42">
        <f t="shared" si="13"/>
        <v>7.2570310488127348</v>
      </c>
      <c r="Y33" s="42">
        <f t="shared" si="69"/>
        <v>19.964423075491155</v>
      </c>
      <c r="Z33" s="42">
        <f t="shared" si="14"/>
        <v>0.59881887689589264</v>
      </c>
      <c r="AA33" s="43">
        <f t="shared" si="70"/>
        <v>2.994094384479463</v>
      </c>
      <c r="AB33" s="46">
        <f t="shared" si="15"/>
        <v>35.5</v>
      </c>
      <c r="AC33" s="46">
        <f t="shared" si="16"/>
        <v>35.5</v>
      </c>
      <c r="AD33" s="46">
        <f t="shared" si="17"/>
        <v>35.5</v>
      </c>
      <c r="AE33" s="49">
        <f t="shared" si="18"/>
        <v>184600</v>
      </c>
      <c r="AF33" s="49">
        <f t="shared" si="71"/>
        <v>497000.00000000006</v>
      </c>
      <c r="AG33" s="49">
        <f t="shared" si="19"/>
        <v>15069.75</v>
      </c>
      <c r="AH33" s="47">
        <f t="shared" si="72"/>
        <v>75348.75</v>
      </c>
      <c r="AI33" s="41">
        <f t="shared" si="20"/>
        <v>1.5482058261408303E-2</v>
      </c>
      <c r="AJ33" s="41">
        <f t="shared" si="21"/>
        <v>1.1122209244657646E-2</v>
      </c>
      <c r="AK33" s="41">
        <f t="shared" si="22"/>
        <v>1.4319431856941463E-2</v>
      </c>
      <c r="AL33" s="42">
        <f t="shared" si="23"/>
        <v>80.506702959323178</v>
      </c>
      <c r="AM33" s="42">
        <f t="shared" si="73"/>
        <v>155.71092942520707</v>
      </c>
      <c r="AN33" s="49">
        <f t="shared" si="24"/>
        <v>5.6565654384501878</v>
      </c>
      <c r="AO33" s="47">
        <f t="shared" si="74"/>
        <v>28.282827192250938</v>
      </c>
      <c r="AP33" s="41">
        <f t="shared" si="25"/>
        <v>7.3839928729178772E-2</v>
      </c>
      <c r="AQ33" s="41">
        <f t="shared" si="26"/>
        <v>5.8420633797145641E-2</v>
      </c>
      <c r="AR33" s="41">
        <f t="shared" si="27"/>
        <v>6.9728116747303268E-2</v>
      </c>
      <c r="AS33" s="42">
        <f t="shared" si="28"/>
        <v>383.96762939172959</v>
      </c>
      <c r="AT33" s="42">
        <f t="shared" si="75"/>
        <v>817.88887316003911</v>
      </c>
      <c r="AU33" s="42">
        <f t="shared" si="29"/>
        <v>28.106997809809432</v>
      </c>
      <c r="AV33" s="43">
        <f t="shared" si="76"/>
        <v>140.53498904904717</v>
      </c>
      <c r="AW33" s="41">
        <f t="shared" si="30"/>
        <v>2.0674015041863527E-2</v>
      </c>
      <c r="AX33" s="41">
        <f t="shared" si="31"/>
        <v>1.5435275076582617E-2</v>
      </c>
      <c r="AY33" s="41">
        <f t="shared" si="32"/>
        <v>1.9277017717788617E-2</v>
      </c>
      <c r="AZ33" s="42">
        <f t="shared" si="33"/>
        <v>107.50487821769035</v>
      </c>
      <c r="BA33" s="42">
        <f t="shared" si="77"/>
        <v>216.09385107215667</v>
      </c>
      <c r="BB33" s="42">
        <f t="shared" si="34"/>
        <v>7.6759839925620774</v>
      </c>
      <c r="BC33" s="43">
        <f t="shared" si="78"/>
        <v>38.379919962810391</v>
      </c>
      <c r="BD33" s="41">
        <f t="shared" si="35"/>
        <v>0.19227565504287997</v>
      </c>
      <c r="BE33" s="41">
        <f t="shared" si="36"/>
        <v>0.23177026014640598</v>
      </c>
      <c r="BF33" s="41">
        <f t="shared" si="37"/>
        <v>0.20280754973715356</v>
      </c>
      <c r="BG33" s="49">
        <f t="shared" si="38"/>
        <v>999.83340622297578</v>
      </c>
      <c r="BH33" s="49">
        <f t="shared" si="79"/>
        <v>3244.7836420496842</v>
      </c>
      <c r="BI33" s="49">
        <f t="shared" si="39"/>
        <v>89.914882637443</v>
      </c>
      <c r="BJ33" s="47">
        <f t="shared" si="80"/>
        <v>449.57441318721499</v>
      </c>
      <c r="BK33" s="42">
        <f t="shared" si="40"/>
        <v>2.68</v>
      </c>
      <c r="BL33" s="42">
        <f t="shared" si="41"/>
        <v>2.68</v>
      </c>
      <c r="BM33" s="42">
        <f t="shared" si="42"/>
        <v>2.6800000000000006</v>
      </c>
      <c r="BN33" s="49">
        <f t="shared" si="43"/>
        <v>13936</v>
      </c>
      <c r="BO33" s="49">
        <f t="shared" si="81"/>
        <v>37520.000000000007</v>
      </c>
      <c r="BP33" s="49">
        <f t="shared" si="44"/>
        <v>1137.6600000000001</v>
      </c>
      <c r="BQ33" s="47">
        <f t="shared" si="82"/>
        <v>5688.3</v>
      </c>
      <c r="BR33" s="21">
        <f t="shared" si="45"/>
        <v>1.5599412508095822E-2</v>
      </c>
      <c r="BS33" s="21">
        <f t="shared" si="46"/>
        <v>9.1105618572899193E-3</v>
      </c>
      <c r="BT33" s="21">
        <f t="shared" si="47"/>
        <v>1.3869052334547582E-2</v>
      </c>
      <c r="BU33" s="42">
        <f t="shared" si="48"/>
        <v>81.11694504209828</v>
      </c>
      <c r="BV33" s="42">
        <f t="shared" si="83"/>
        <v>127.54786600205888</v>
      </c>
      <c r="BW33" s="42">
        <f t="shared" si="49"/>
        <v>5.2592919730174374</v>
      </c>
      <c r="BX33" s="43">
        <f t="shared" si="84"/>
        <v>26.296459865087186</v>
      </c>
      <c r="BY33" s="49">
        <f t="shared" si="50"/>
        <v>150.95212809889864</v>
      </c>
      <c r="BZ33" s="49">
        <f t="shared" si="51"/>
        <v>109.46574854122099</v>
      </c>
      <c r="CA33" s="49">
        <f t="shared" si="52"/>
        <v>139.88909355018458</v>
      </c>
      <c r="CB33" s="49">
        <f t="shared" si="53"/>
        <v>784951.06611427292</v>
      </c>
      <c r="CC33" s="49">
        <f t="shared" si="85"/>
        <v>1532520.4795770941</v>
      </c>
      <c r="CD33" s="49">
        <f t="shared" si="54"/>
        <v>55367.03867087017</v>
      </c>
      <c r="CE33" s="47">
        <f t="shared" si="86"/>
        <v>276835.19335435086</v>
      </c>
      <c r="CF33" s="21">
        <f t="shared" si="55"/>
        <v>0.17350648111232075</v>
      </c>
      <c r="CG33" s="21">
        <f t="shared" si="56"/>
        <v>0.17713539258621841</v>
      </c>
      <c r="CH33" s="21">
        <f t="shared" si="57"/>
        <v>0.17447419083869345</v>
      </c>
      <c r="CI33" s="42">
        <f t="shared" si="58"/>
        <v>902.23370178406788</v>
      </c>
      <c r="CJ33" s="42">
        <f t="shared" si="87"/>
        <v>2479.8954962070579</v>
      </c>
      <c r="CK33" s="42">
        <f t="shared" si="59"/>
        <v>74.415572641698674</v>
      </c>
      <c r="CL33" s="43">
        <f t="shared" si="88"/>
        <v>372.07786320849334</v>
      </c>
      <c r="CM33" s="21">
        <f t="shared" si="60"/>
        <v>1.7248770077813249E-2</v>
      </c>
      <c r="CN33" s="21">
        <f t="shared" si="61"/>
        <v>2.1644157198041396E-2</v>
      </c>
      <c r="CO33" s="41">
        <f t="shared" si="62"/>
        <v>1.8420873309874089E-2</v>
      </c>
      <c r="CP33" s="46">
        <f t="shared" si="63"/>
        <v>89.6936044046289</v>
      </c>
      <c r="CQ33" s="46">
        <f t="shared" si="89"/>
        <v>303.01820077257958</v>
      </c>
      <c r="CR33" s="42">
        <f t="shared" si="64"/>
        <v>8.245134193279636</v>
      </c>
      <c r="CS33" s="43">
        <f t="shared" si="90"/>
        <v>41.225670966398184</v>
      </c>
    </row>
    <row r="34" spans="3:97" ht="15.75" customHeight="1" x14ac:dyDescent="0.25">
      <c r="C34" s="1">
        <v>6</v>
      </c>
      <c r="D34" s="1">
        <f>Scenario_Info!$N$11</f>
        <v>33</v>
      </c>
      <c r="E34" s="1">
        <f>Scenario_Info!$N$12</f>
        <v>12</v>
      </c>
      <c r="F34" s="1">
        <f>Scenario_Info!$N$14/100</f>
        <v>0.77300000000000002</v>
      </c>
      <c r="G34" s="426">
        <f t="shared" si="0"/>
        <v>2.347965595632683E-3</v>
      </c>
      <c r="H34" s="21">
        <f t="shared" si="1"/>
        <v>1.6059725060000518E-3</v>
      </c>
      <c r="I34" s="21">
        <f t="shared" si="2"/>
        <v>2.150100771730648E-3</v>
      </c>
      <c r="J34" s="42">
        <f t="shared" si="3"/>
        <v>12.209421097289951</v>
      </c>
      <c r="K34" s="42">
        <f t="shared" si="65"/>
        <v>22.483615084000729</v>
      </c>
      <c r="L34" s="42">
        <f t="shared" si="4"/>
        <v>0.84089284652322138</v>
      </c>
      <c r="M34" s="43">
        <f t="shared" si="66"/>
        <v>5.0453570791393281</v>
      </c>
      <c r="N34" s="426">
        <f t="shared" si="5"/>
        <v>1.810287971507309E-2</v>
      </c>
      <c r="O34" s="21">
        <f t="shared" si="6"/>
        <v>1.8425342775211056E-2</v>
      </c>
      <c r="P34" s="21">
        <f t="shared" si="7"/>
        <v>1.8188869864443215E-2</v>
      </c>
      <c r="Q34" s="42">
        <f t="shared" si="8"/>
        <v>94.134974518380062</v>
      </c>
      <c r="R34" s="42">
        <f t="shared" si="67"/>
        <v>257.95479885295481</v>
      </c>
      <c r="S34" s="42">
        <f t="shared" si="9"/>
        <v>7.7523896816775002</v>
      </c>
      <c r="T34" s="43">
        <f t="shared" si="68"/>
        <v>46.514338090065003</v>
      </c>
      <c r="U34" s="21">
        <f t="shared" si="10"/>
        <v>1.3955828940024489E-3</v>
      </c>
      <c r="V34" s="21">
        <f t="shared" si="11"/>
        <v>1.4260302196779395E-3</v>
      </c>
      <c r="W34" s="21">
        <f t="shared" si="12"/>
        <v>1.4037021808492465E-3</v>
      </c>
      <c r="X34" s="42">
        <f t="shared" si="13"/>
        <v>7.2570310488127348</v>
      </c>
      <c r="Y34" s="42">
        <f t="shared" si="69"/>
        <v>19.964423075491155</v>
      </c>
      <c r="Z34" s="42">
        <f t="shared" si="14"/>
        <v>0.59881887689589264</v>
      </c>
      <c r="AA34" s="43">
        <f t="shared" si="70"/>
        <v>3.5929132613753554</v>
      </c>
      <c r="AB34" s="46">
        <f t="shared" si="15"/>
        <v>35.5</v>
      </c>
      <c r="AC34" s="46">
        <f t="shared" si="16"/>
        <v>35.5</v>
      </c>
      <c r="AD34" s="46">
        <f t="shared" si="17"/>
        <v>35.5</v>
      </c>
      <c r="AE34" s="49">
        <f t="shared" si="18"/>
        <v>184600</v>
      </c>
      <c r="AF34" s="49">
        <f t="shared" si="71"/>
        <v>497000.00000000006</v>
      </c>
      <c r="AG34" s="49">
        <f t="shared" si="19"/>
        <v>15069.75</v>
      </c>
      <c r="AH34" s="47">
        <f t="shared" si="72"/>
        <v>90418.5</v>
      </c>
      <c r="AI34" s="41">
        <f t="shared" si="20"/>
        <v>1.5482058261408303E-2</v>
      </c>
      <c r="AJ34" s="41">
        <f t="shared" si="21"/>
        <v>1.1122209244657646E-2</v>
      </c>
      <c r="AK34" s="41">
        <f t="shared" si="22"/>
        <v>1.4319431856941463E-2</v>
      </c>
      <c r="AL34" s="42">
        <f t="shared" si="23"/>
        <v>80.506702959323178</v>
      </c>
      <c r="AM34" s="42">
        <f t="shared" si="73"/>
        <v>155.71092942520707</v>
      </c>
      <c r="AN34" s="49">
        <f t="shared" si="24"/>
        <v>5.6565654384501878</v>
      </c>
      <c r="AO34" s="47">
        <f t="shared" si="74"/>
        <v>33.939392630701128</v>
      </c>
      <c r="AP34" s="41">
        <f t="shared" si="25"/>
        <v>7.3839928729178772E-2</v>
      </c>
      <c r="AQ34" s="41">
        <f t="shared" si="26"/>
        <v>5.8420633797145641E-2</v>
      </c>
      <c r="AR34" s="41">
        <f t="shared" si="27"/>
        <v>6.9728116747303268E-2</v>
      </c>
      <c r="AS34" s="42">
        <f t="shared" si="28"/>
        <v>383.96762939172959</v>
      </c>
      <c r="AT34" s="42">
        <f t="shared" si="75"/>
        <v>817.88887316003911</v>
      </c>
      <c r="AU34" s="42">
        <f t="shared" si="29"/>
        <v>28.106997809809432</v>
      </c>
      <c r="AV34" s="43">
        <f t="shared" si="76"/>
        <v>168.6419868588566</v>
      </c>
      <c r="AW34" s="41">
        <f t="shared" si="30"/>
        <v>2.0674015041863527E-2</v>
      </c>
      <c r="AX34" s="41">
        <f t="shared" si="31"/>
        <v>1.5435275076582617E-2</v>
      </c>
      <c r="AY34" s="41">
        <f t="shared" si="32"/>
        <v>1.9277017717788617E-2</v>
      </c>
      <c r="AZ34" s="42">
        <f t="shared" si="33"/>
        <v>107.50487821769035</v>
      </c>
      <c r="BA34" s="42">
        <f t="shared" si="77"/>
        <v>216.09385107215667</v>
      </c>
      <c r="BB34" s="42">
        <f t="shared" si="34"/>
        <v>7.6759839925620774</v>
      </c>
      <c r="BC34" s="43">
        <f t="shared" si="78"/>
        <v>46.055903955372472</v>
      </c>
      <c r="BD34" s="41">
        <f t="shared" si="35"/>
        <v>0.19227565504287997</v>
      </c>
      <c r="BE34" s="41">
        <f t="shared" si="36"/>
        <v>0.23177026014640598</v>
      </c>
      <c r="BF34" s="41">
        <f t="shared" si="37"/>
        <v>0.20280754973715356</v>
      </c>
      <c r="BG34" s="49">
        <f t="shared" si="38"/>
        <v>999.83340622297578</v>
      </c>
      <c r="BH34" s="49">
        <f t="shared" si="79"/>
        <v>3244.7836420496842</v>
      </c>
      <c r="BI34" s="49">
        <f t="shared" si="39"/>
        <v>89.914882637443</v>
      </c>
      <c r="BJ34" s="47">
        <f t="shared" si="80"/>
        <v>539.48929582465803</v>
      </c>
      <c r="BK34" s="42">
        <f t="shared" si="40"/>
        <v>2.68</v>
      </c>
      <c r="BL34" s="42">
        <f t="shared" si="41"/>
        <v>2.68</v>
      </c>
      <c r="BM34" s="42">
        <f t="shared" si="42"/>
        <v>2.6800000000000006</v>
      </c>
      <c r="BN34" s="49">
        <f t="shared" si="43"/>
        <v>13936</v>
      </c>
      <c r="BO34" s="49">
        <f t="shared" si="81"/>
        <v>37520.000000000007</v>
      </c>
      <c r="BP34" s="49">
        <f t="shared" si="44"/>
        <v>1137.6600000000001</v>
      </c>
      <c r="BQ34" s="47">
        <f t="shared" si="82"/>
        <v>6825.96</v>
      </c>
      <c r="BR34" s="21">
        <f t="shared" si="45"/>
        <v>1.5599412508095822E-2</v>
      </c>
      <c r="BS34" s="21">
        <f t="shared" si="46"/>
        <v>9.1105618572899193E-3</v>
      </c>
      <c r="BT34" s="21">
        <f t="shared" si="47"/>
        <v>1.3869052334547582E-2</v>
      </c>
      <c r="BU34" s="42">
        <f t="shared" si="48"/>
        <v>81.11694504209828</v>
      </c>
      <c r="BV34" s="42">
        <f t="shared" si="83"/>
        <v>127.54786600205888</v>
      </c>
      <c r="BW34" s="42">
        <f t="shared" si="49"/>
        <v>5.2592919730174374</v>
      </c>
      <c r="BX34" s="43">
        <f t="shared" si="84"/>
        <v>31.555751838104623</v>
      </c>
      <c r="BY34" s="49">
        <f t="shared" si="50"/>
        <v>150.95212809889864</v>
      </c>
      <c r="BZ34" s="49">
        <f t="shared" si="51"/>
        <v>109.46574854122099</v>
      </c>
      <c r="CA34" s="49">
        <f t="shared" si="52"/>
        <v>139.88909355018458</v>
      </c>
      <c r="CB34" s="49">
        <f t="shared" si="53"/>
        <v>784951.06611427292</v>
      </c>
      <c r="CC34" s="49">
        <f t="shared" si="85"/>
        <v>1532520.4795770941</v>
      </c>
      <c r="CD34" s="49">
        <f t="shared" si="54"/>
        <v>55367.03867087017</v>
      </c>
      <c r="CE34" s="47">
        <f t="shared" si="86"/>
        <v>332202.23202522105</v>
      </c>
      <c r="CF34" s="21">
        <f t="shared" si="55"/>
        <v>0.17350648111232075</v>
      </c>
      <c r="CG34" s="21">
        <f t="shared" si="56"/>
        <v>0.17713539258621841</v>
      </c>
      <c r="CH34" s="21">
        <f t="shared" si="57"/>
        <v>0.17447419083869345</v>
      </c>
      <c r="CI34" s="42">
        <f t="shared" si="58"/>
        <v>902.23370178406788</v>
      </c>
      <c r="CJ34" s="42">
        <f t="shared" si="87"/>
        <v>2479.8954962070579</v>
      </c>
      <c r="CK34" s="42">
        <f t="shared" si="59"/>
        <v>74.415572641698674</v>
      </c>
      <c r="CL34" s="43">
        <f t="shared" si="88"/>
        <v>446.49343585019199</v>
      </c>
      <c r="CM34" s="21">
        <f t="shared" si="60"/>
        <v>1.7248770077813249E-2</v>
      </c>
      <c r="CN34" s="21">
        <f t="shared" si="61"/>
        <v>2.1644157198041396E-2</v>
      </c>
      <c r="CO34" s="41">
        <f t="shared" si="62"/>
        <v>1.8420873309874089E-2</v>
      </c>
      <c r="CP34" s="46">
        <f t="shared" si="63"/>
        <v>89.6936044046289</v>
      </c>
      <c r="CQ34" s="46">
        <f t="shared" si="89"/>
        <v>303.01820077257958</v>
      </c>
      <c r="CR34" s="42">
        <f t="shared" si="64"/>
        <v>8.245134193279636</v>
      </c>
      <c r="CS34" s="43">
        <f t="shared" si="90"/>
        <v>49.470805159677823</v>
      </c>
    </row>
    <row r="35" spans="3:97" ht="15.75" customHeight="1" x14ac:dyDescent="0.25">
      <c r="C35" s="1">
        <v>7</v>
      </c>
      <c r="D35" s="1">
        <f>Scenario_Info!$N$11</f>
        <v>33</v>
      </c>
      <c r="E35" s="1">
        <f>Scenario_Info!$N$12</f>
        <v>12</v>
      </c>
      <c r="F35" s="1">
        <f>Scenario_Info!$N$14/100</f>
        <v>0.77300000000000002</v>
      </c>
      <c r="G35" s="426">
        <f t="shared" si="0"/>
        <v>2.347965595632683E-3</v>
      </c>
      <c r="H35" s="21">
        <f t="shared" si="1"/>
        <v>1.6059725060000518E-3</v>
      </c>
      <c r="I35" s="21">
        <f t="shared" si="2"/>
        <v>2.150100771730648E-3</v>
      </c>
      <c r="J35" s="42">
        <f t="shared" si="3"/>
        <v>12.209421097289951</v>
      </c>
      <c r="K35" s="42">
        <f t="shared" si="65"/>
        <v>22.483615084000729</v>
      </c>
      <c r="L35" s="42">
        <f t="shared" si="4"/>
        <v>0.84089284652322138</v>
      </c>
      <c r="M35" s="43">
        <f t="shared" si="66"/>
        <v>5.8862499256625496</v>
      </c>
      <c r="N35" s="426">
        <f t="shared" si="5"/>
        <v>1.810287971507309E-2</v>
      </c>
      <c r="O35" s="21">
        <f t="shared" si="6"/>
        <v>1.8425342775211056E-2</v>
      </c>
      <c r="P35" s="21">
        <f t="shared" si="7"/>
        <v>1.8188869864443215E-2</v>
      </c>
      <c r="Q35" s="42">
        <f t="shared" si="8"/>
        <v>94.134974518380062</v>
      </c>
      <c r="R35" s="42">
        <f t="shared" si="67"/>
        <v>257.95479885295481</v>
      </c>
      <c r="S35" s="42">
        <f t="shared" si="9"/>
        <v>7.7523896816775002</v>
      </c>
      <c r="T35" s="43">
        <f t="shared" si="68"/>
        <v>54.266727771742502</v>
      </c>
      <c r="U35" s="21">
        <f t="shared" si="10"/>
        <v>1.3955828940024489E-3</v>
      </c>
      <c r="V35" s="21">
        <f t="shared" si="11"/>
        <v>1.4260302196779395E-3</v>
      </c>
      <c r="W35" s="21">
        <f t="shared" si="12"/>
        <v>1.4037021808492465E-3</v>
      </c>
      <c r="X35" s="42">
        <f t="shared" si="13"/>
        <v>7.2570310488127348</v>
      </c>
      <c r="Y35" s="42">
        <f t="shared" si="69"/>
        <v>19.964423075491155</v>
      </c>
      <c r="Z35" s="42">
        <f t="shared" si="14"/>
        <v>0.59881887689589264</v>
      </c>
      <c r="AA35" s="43">
        <f t="shared" si="70"/>
        <v>4.1917321382712478</v>
      </c>
      <c r="AB35" s="46">
        <f t="shared" si="15"/>
        <v>35.5</v>
      </c>
      <c r="AC35" s="46">
        <f t="shared" si="16"/>
        <v>35.5</v>
      </c>
      <c r="AD35" s="46">
        <f t="shared" si="17"/>
        <v>35.5</v>
      </c>
      <c r="AE35" s="49">
        <f t="shared" si="18"/>
        <v>184600</v>
      </c>
      <c r="AF35" s="49">
        <f t="shared" si="71"/>
        <v>497000.00000000006</v>
      </c>
      <c r="AG35" s="49">
        <f t="shared" si="19"/>
        <v>15069.75</v>
      </c>
      <c r="AH35" s="47">
        <f t="shared" si="72"/>
        <v>105488.25</v>
      </c>
      <c r="AI35" s="41">
        <f t="shared" si="20"/>
        <v>1.5482058261408303E-2</v>
      </c>
      <c r="AJ35" s="41">
        <f t="shared" si="21"/>
        <v>1.1122209244657646E-2</v>
      </c>
      <c r="AK35" s="41">
        <f t="shared" si="22"/>
        <v>1.4319431856941463E-2</v>
      </c>
      <c r="AL35" s="42">
        <f t="shared" si="23"/>
        <v>80.506702959323178</v>
      </c>
      <c r="AM35" s="42">
        <f t="shared" si="73"/>
        <v>155.71092942520707</v>
      </c>
      <c r="AN35" s="49">
        <f t="shared" si="24"/>
        <v>5.6565654384501878</v>
      </c>
      <c r="AO35" s="47">
        <f t="shared" si="74"/>
        <v>39.595958069151315</v>
      </c>
      <c r="AP35" s="41">
        <f t="shared" si="25"/>
        <v>7.3839928729178772E-2</v>
      </c>
      <c r="AQ35" s="41">
        <f t="shared" si="26"/>
        <v>5.8420633797145641E-2</v>
      </c>
      <c r="AR35" s="41">
        <f t="shared" si="27"/>
        <v>6.9728116747303268E-2</v>
      </c>
      <c r="AS35" s="42">
        <f t="shared" si="28"/>
        <v>383.96762939172959</v>
      </c>
      <c r="AT35" s="42">
        <f t="shared" si="75"/>
        <v>817.88887316003911</v>
      </c>
      <c r="AU35" s="42">
        <f t="shared" si="29"/>
        <v>28.106997809809432</v>
      </c>
      <c r="AV35" s="43">
        <f t="shared" si="76"/>
        <v>196.74898466866603</v>
      </c>
      <c r="AW35" s="41">
        <f t="shared" si="30"/>
        <v>2.0674015041863527E-2</v>
      </c>
      <c r="AX35" s="41">
        <f t="shared" si="31"/>
        <v>1.5435275076582617E-2</v>
      </c>
      <c r="AY35" s="41">
        <f t="shared" si="32"/>
        <v>1.9277017717788617E-2</v>
      </c>
      <c r="AZ35" s="42">
        <f t="shared" si="33"/>
        <v>107.50487821769035</v>
      </c>
      <c r="BA35" s="42">
        <f t="shared" si="77"/>
        <v>216.09385107215667</v>
      </c>
      <c r="BB35" s="42">
        <f t="shared" si="34"/>
        <v>7.6759839925620774</v>
      </c>
      <c r="BC35" s="43">
        <f t="shared" si="78"/>
        <v>53.731887947934553</v>
      </c>
      <c r="BD35" s="41">
        <f t="shared" si="35"/>
        <v>0.19227565504287997</v>
      </c>
      <c r="BE35" s="41">
        <f t="shared" si="36"/>
        <v>0.23177026014640598</v>
      </c>
      <c r="BF35" s="41">
        <f t="shared" si="37"/>
        <v>0.20280754973715356</v>
      </c>
      <c r="BG35" s="49">
        <f t="shared" si="38"/>
        <v>999.83340622297578</v>
      </c>
      <c r="BH35" s="49">
        <f t="shared" si="79"/>
        <v>3244.7836420496842</v>
      </c>
      <c r="BI35" s="49">
        <f t="shared" si="39"/>
        <v>89.914882637443</v>
      </c>
      <c r="BJ35" s="47">
        <f t="shared" si="80"/>
        <v>629.40417846210107</v>
      </c>
      <c r="BK35" s="42">
        <f t="shared" si="40"/>
        <v>2.68</v>
      </c>
      <c r="BL35" s="42">
        <f t="shared" si="41"/>
        <v>2.68</v>
      </c>
      <c r="BM35" s="42">
        <f t="shared" si="42"/>
        <v>2.6800000000000006</v>
      </c>
      <c r="BN35" s="49">
        <f t="shared" si="43"/>
        <v>13936</v>
      </c>
      <c r="BO35" s="49">
        <f t="shared" si="81"/>
        <v>37520.000000000007</v>
      </c>
      <c r="BP35" s="49">
        <f t="shared" si="44"/>
        <v>1137.6600000000001</v>
      </c>
      <c r="BQ35" s="47">
        <f t="shared" si="82"/>
        <v>7963.62</v>
      </c>
      <c r="BR35" s="21">
        <f t="shared" si="45"/>
        <v>1.5599412508095822E-2</v>
      </c>
      <c r="BS35" s="21">
        <f t="shared" si="46"/>
        <v>9.1105618572899193E-3</v>
      </c>
      <c r="BT35" s="21">
        <f t="shared" si="47"/>
        <v>1.3869052334547582E-2</v>
      </c>
      <c r="BU35" s="42">
        <f t="shared" si="48"/>
        <v>81.11694504209828</v>
      </c>
      <c r="BV35" s="42">
        <f t="shared" si="83"/>
        <v>127.54786600205888</v>
      </c>
      <c r="BW35" s="42">
        <f t="shared" si="49"/>
        <v>5.2592919730174374</v>
      </c>
      <c r="BX35" s="43">
        <f t="shared" si="84"/>
        <v>36.815043811122059</v>
      </c>
      <c r="BY35" s="49">
        <f t="shared" si="50"/>
        <v>150.95212809889864</v>
      </c>
      <c r="BZ35" s="49">
        <f t="shared" si="51"/>
        <v>109.46574854122099</v>
      </c>
      <c r="CA35" s="49">
        <f t="shared" si="52"/>
        <v>139.88909355018458</v>
      </c>
      <c r="CB35" s="49">
        <f t="shared" si="53"/>
        <v>784951.06611427292</v>
      </c>
      <c r="CC35" s="49">
        <f t="shared" si="85"/>
        <v>1532520.4795770941</v>
      </c>
      <c r="CD35" s="49">
        <f t="shared" si="54"/>
        <v>55367.03867087017</v>
      </c>
      <c r="CE35" s="47">
        <f t="shared" si="86"/>
        <v>387569.27069609123</v>
      </c>
      <c r="CF35" s="21">
        <f t="shared" si="55"/>
        <v>0.17350648111232075</v>
      </c>
      <c r="CG35" s="21">
        <f t="shared" si="56"/>
        <v>0.17713539258621841</v>
      </c>
      <c r="CH35" s="21">
        <f t="shared" si="57"/>
        <v>0.17447419083869345</v>
      </c>
      <c r="CI35" s="42">
        <f t="shared" si="58"/>
        <v>902.23370178406788</v>
      </c>
      <c r="CJ35" s="42">
        <f t="shared" si="87"/>
        <v>2479.8954962070579</v>
      </c>
      <c r="CK35" s="42">
        <f t="shared" si="59"/>
        <v>74.415572641698674</v>
      </c>
      <c r="CL35" s="43">
        <f t="shared" si="88"/>
        <v>520.90900849189063</v>
      </c>
      <c r="CM35" s="21">
        <f t="shared" si="60"/>
        <v>1.7248770077813249E-2</v>
      </c>
      <c r="CN35" s="21">
        <f t="shared" si="61"/>
        <v>2.1644157198041396E-2</v>
      </c>
      <c r="CO35" s="41">
        <f t="shared" si="62"/>
        <v>1.8420873309874089E-2</v>
      </c>
      <c r="CP35" s="46">
        <f t="shared" si="63"/>
        <v>89.6936044046289</v>
      </c>
      <c r="CQ35" s="46">
        <f t="shared" si="89"/>
        <v>303.01820077257958</v>
      </c>
      <c r="CR35" s="42">
        <f t="shared" si="64"/>
        <v>8.245134193279636</v>
      </c>
      <c r="CS35" s="43">
        <f t="shared" si="90"/>
        <v>57.715939352957463</v>
      </c>
    </row>
    <row r="36" spans="3:97" ht="15.75" customHeight="1" x14ac:dyDescent="0.25">
      <c r="C36" s="1">
        <v>8</v>
      </c>
      <c r="D36" s="1">
        <f>Scenario_Info!$N$11</f>
        <v>33</v>
      </c>
      <c r="E36" s="1">
        <f>Scenario_Info!$N$12</f>
        <v>12</v>
      </c>
      <c r="F36" s="1">
        <f>Scenario_Info!$N$14/100</f>
        <v>0.77300000000000002</v>
      </c>
      <c r="G36" s="426">
        <f t="shared" si="0"/>
        <v>2.347965595632683E-3</v>
      </c>
      <c r="H36" s="21">
        <f t="shared" si="1"/>
        <v>1.6059725060000518E-3</v>
      </c>
      <c r="I36" s="21">
        <f t="shared" si="2"/>
        <v>2.150100771730648E-3</v>
      </c>
      <c r="J36" s="42">
        <f t="shared" si="3"/>
        <v>12.209421097289951</v>
      </c>
      <c r="K36" s="42">
        <f t="shared" si="65"/>
        <v>22.483615084000729</v>
      </c>
      <c r="L36" s="42">
        <f t="shared" si="4"/>
        <v>0.84089284652322138</v>
      </c>
      <c r="M36" s="43">
        <f t="shared" si="66"/>
        <v>6.7271427721857711</v>
      </c>
      <c r="N36" s="426">
        <f t="shared" si="5"/>
        <v>1.810287971507309E-2</v>
      </c>
      <c r="O36" s="21">
        <f t="shared" si="6"/>
        <v>1.8425342775211056E-2</v>
      </c>
      <c r="P36" s="21">
        <f t="shared" si="7"/>
        <v>1.8188869864443215E-2</v>
      </c>
      <c r="Q36" s="42">
        <f t="shared" si="8"/>
        <v>94.134974518380062</v>
      </c>
      <c r="R36" s="42">
        <f t="shared" si="67"/>
        <v>257.95479885295481</v>
      </c>
      <c r="S36" s="42">
        <f t="shared" si="9"/>
        <v>7.7523896816775002</v>
      </c>
      <c r="T36" s="43">
        <f t="shared" si="68"/>
        <v>62.019117453420002</v>
      </c>
      <c r="U36" s="21">
        <f t="shared" si="10"/>
        <v>1.3955828940024489E-3</v>
      </c>
      <c r="V36" s="21">
        <f t="shared" si="11"/>
        <v>1.4260302196779395E-3</v>
      </c>
      <c r="W36" s="21">
        <f t="shared" si="12"/>
        <v>1.4037021808492465E-3</v>
      </c>
      <c r="X36" s="42">
        <f t="shared" si="13"/>
        <v>7.2570310488127348</v>
      </c>
      <c r="Y36" s="42">
        <f t="shared" si="69"/>
        <v>19.964423075491155</v>
      </c>
      <c r="Z36" s="42">
        <f t="shared" si="14"/>
        <v>0.59881887689589264</v>
      </c>
      <c r="AA36" s="43">
        <f t="shared" si="70"/>
        <v>4.7905510151671402</v>
      </c>
      <c r="AB36" s="46">
        <f t="shared" si="15"/>
        <v>35.5</v>
      </c>
      <c r="AC36" s="46">
        <f t="shared" si="16"/>
        <v>35.5</v>
      </c>
      <c r="AD36" s="46">
        <f t="shared" si="17"/>
        <v>35.5</v>
      </c>
      <c r="AE36" s="49">
        <f t="shared" si="18"/>
        <v>184600</v>
      </c>
      <c r="AF36" s="49">
        <f t="shared" si="71"/>
        <v>497000.00000000006</v>
      </c>
      <c r="AG36" s="49">
        <f t="shared" si="19"/>
        <v>15069.75</v>
      </c>
      <c r="AH36" s="47">
        <f t="shared" si="72"/>
        <v>120558</v>
      </c>
      <c r="AI36" s="41">
        <f t="shared" si="20"/>
        <v>1.5482058261408303E-2</v>
      </c>
      <c r="AJ36" s="41">
        <f t="shared" si="21"/>
        <v>1.1122209244657646E-2</v>
      </c>
      <c r="AK36" s="41">
        <f t="shared" si="22"/>
        <v>1.4319431856941463E-2</v>
      </c>
      <c r="AL36" s="42">
        <f t="shared" si="23"/>
        <v>80.506702959323178</v>
      </c>
      <c r="AM36" s="42">
        <f t="shared" si="73"/>
        <v>155.71092942520707</v>
      </c>
      <c r="AN36" s="49">
        <f t="shared" si="24"/>
        <v>5.6565654384501878</v>
      </c>
      <c r="AO36" s="47">
        <f t="shared" si="74"/>
        <v>45.252523507601502</v>
      </c>
      <c r="AP36" s="41">
        <f t="shared" si="25"/>
        <v>7.3839928729178772E-2</v>
      </c>
      <c r="AQ36" s="41">
        <f t="shared" si="26"/>
        <v>5.8420633797145641E-2</v>
      </c>
      <c r="AR36" s="41">
        <f t="shared" si="27"/>
        <v>6.9728116747303268E-2</v>
      </c>
      <c r="AS36" s="42">
        <f t="shared" si="28"/>
        <v>383.96762939172959</v>
      </c>
      <c r="AT36" s="42">
        <f t="shared" si="75"/>
        <v>817.88887316003911</v>
      </c>
      <c r="AU36" s="42">
        <f t="shared" si="29"/>
        <v>28.106997809809432</v>
      </c>
      <c r="AV36" s="43">
        <f t="shared" si="76"/>
        <v>224.85598247847545</v>
      </c>
      <c r="AW36" s="41">
        <f t="shared" si="30"/>
        <v>2.0674015041863527E-2</v>
      </c>
      <c r="AX36" s="41">
        <f t="shared" si="31"/>
        <v>1.5435275076582617E-2</v>
      </c>
      <c r="AY36" s="41">
        <f t="shared" si="32"/>
        <v>1.9277017717788617E-2</v>
      </c>
      <c r="AZ36" s="42">
        <f t="shared" si="33"/>
        <v>107.50487821769035</v>
      </c>
      <c r="BA36" s="42">
        <f t="shared" si="77"/>
        <v>216.09385107215667</v>
      </c>
      <c r="BB36" s="42">
        <f t="shared" si="34"/>
        <v>7.6759839925620774</v>
      </c>
      <c r="BC36" s="43">
        <f t="shared" si="78"/>
        <v>61.407871940496634</v>
      </c>
      <c r="BD36" s="41">
        <f t="shared" si="35"/>
        <v>0.19227565504287997</v>
      </c>
      <c r="BE36" s="41">
        <f t="shared" si="36"/>
        <v>0.23177026014640598</v>
      </c>
      <c r="BF36" s="41">
        <f t="shared" si="37"/>
        <v>0.20280754973715356</v>
      </c>
      <c r="BG36" s="49">
        <f t="shared" si="38"/>
        <v>999.83340622297578</v>
      </c>
      <c r="BH36" s="49">
        <f t="shared" si="79"/>
        <v>3244.7836420496842</v>
      </c>
      <c r="BI36" s="49">
        <f t="shared" si="39"/>
        <v>89.914882637443</v>
      </c>
      <c r="BJ36" s="47">
        <f t="shared" si="80"/>
        <v>719.31906109954411</v>
      </c>
      <c r="BK36" s="42">
        <f t="shared" si="40"/>
        <v>2.68</v>
      </c>
      <c r="BL36" s="42">
        <f t="shared" si="41"/>
        <v>2.68</v>
      </c>
      <c r="BM36" s="42">
        <f t="shared" si="42"/>
        <v>2.6800000000000006</v>
      </c>
      <c r="BN36" s="49">
        <f t="shared" si="43"/>
        <v>13936</v>
      </c>
      <c r="BO36" s="49">
        <f t="shared" si="81"/>
        <v>37520.000000000007</v>
      </c>
      <c r="BP36" s="49">
        <f t="shared" si="44"/>
        <v>1137.6600000000001</v>
      </c>
      <c r="BQ36" s="47">
        <f t="shared" si="82"/>
        <v>9101.2800000000007</v>
      </c>
      <c r="BR36" s="21">
        <f t="shared" si="45"/>
        <v>1.5599412508095822E-2</v>
      </c>
      <c r="BS36" s="21">
        <f t="shared" si="46"/>
        <v>9.1105618572899193E-3</v>
      </c>
      <c r="BT36" s="21">
        <f t="shared" si="47"/>
        <v>1.3869052334547582E-2</v>
      </c>
      <c r="BU36" s="42">
        <f t="shared" si="48"/>
        <v>81.11694504209828</v>
      </c>
      <c r="BV36" s="42">
        <f t="shared" si="83"/>
        <v>127.54786600205888</v>
      </c>
      <c r="BW36" s="42">
        <f t="shared" si="49"/>
        <v>5.2592919730174374</v>
      </c>
      <c r="BX36" s="43">
        <f t="shared" si="84"/>
        <v>42.0743357841395</v>
      </c>
      <c r="BY36" s="49">
        <f t="shared" si="50"/>
        <v>150.95212809889864</v>
      </c>
      <c r="BZ36" s="49">
        <f t="shared" si="51"/>
        <v>109.46574854122099</v>
      </c>
      <c r="CA36" s="49">
        <f t="shared" si="52"/>
        <v>139.88909355018458</v>
      </c>
      <c r="CB36" s="49">
        <f t="shared" si="53"/>
        <v>784951.06611427292</v>
      </c>
      <c r="CC36" s="49">
        <f t="shared" si="85"/>
        <v>1532520.4795770941</v>
      </c>
      <c r="CD36" s="49">
        <f t="shared" si="54"/>
        <v>55367.03867087017</v>
      </c>
      <c r="CE36" s="47">
        <f t="shared" si="86"/>
        <v>442936.30936696142</v>
      </c>
      <c r="CF36" s="21">
        <f t="shared" si="55"/>
        <v>0.17350648111232075</v>
      </c>
      <c r="CG36" s="21">
        <f t="shared" si="56"/>
        <v>0.17713539258621841</v>
      </c>
      <c r="CH36" s="21">
        <f t="shared" si="57"/>
        <v>0.17447419083869345</v>
      </c>
      <c r="CI36" s="42">
        <f t="shared" si="58"/>
        <v>902.23370178406788</v>
      </c>
      <c r="CJ36" s="42">
        <f t="shared" si="87"/>
        <v>2479.8954962070579</v>
      </c>
      <c r="CK36" s="42">
        <f t="shared" si="59"/>
        <v>74.415572641698674</v>
      </c>
      <c r="CL36" s="43">
        <f t="shared" si="88"/>
        <v>595.32458113358928</v>
      </c>
      <c r="CM36" s="21">
        <f t="shared" si="60"/>
        <v>1.7248770077813249E-2</v>
      </c>
      <c r="CN36" s="21">
        <f t="shared" si="61"/>
        <v>2.1644157198041396E-2</v>
      </c>
      <c r="CO36" s="41">
        <f t="shared" si="62"/>
        <v>1.8420873309874089E-2</v>
      </c>
      <c r="CP36" s="46">
        <f t="shared" si="63"/>
        <v>89.6936044046289</v>
      </c>
      <c r="CQ36" s="46">
        <f t="shared" si="89"/>
        <v>303.01820077257958</v>
      </c>
      <c r="CR36" s="42">
        <f t="shared" si="64"/>
        <v>8.245134193279636</v>
      </c>
      <c r="CS36" s="43">
        <f t="shared" si="90"/>
        <v>65.961073546237103</v>
      </c>
    </row>
    <row r="37" spans="3:97" ht="15.75" customHeight="1" x14ac:dyDescent="0.25">
      <c r="C37" s="1">
        <v>9</v>
      </c>
      <c r="D37" s="1">
        <f>Scenario_Info!$N$11</f>
        <v>33</v>
      </c>
      <c r="E37" s="1">
        <f>Scenario_Info!$N$12</f>
        <v>12</v>
      </c>
      <c r="F37" s="1">
        <f>Scenario_Info!$N$14/100</f>
        <v>0.77300000000000002</v>
      </c>
      <c r="G37" s="426">
        <f t="shared" si="0"/>
        <v>2.347965595632683E-3</v>
      </c>
      <c r="H37" s="21">
        <f t="shared" si="1"/>
        <v>1.6059725060000518E-3</v>
      </c>
      <c r="I37" s="21">
        <f t="shared" si="2"/>
        <v>2.150100771730648E-3</v>
      </c>
      <c r="J37" s="42">
        <f t="shared" si="3"/>
        <v>12.209421097289951</v>
      </c>
      <c r="K37" s="42">
        <f t="shared" si="65"/>
        <v>22.483615084000729</v>
      </c>
      <c r="L37" s="42">
        <f t="shared" si="4"/>
        <v>0.84089284652322138</v>
      </c>
      <c r="M37" s="43">
        <f t="shared" si="66"/>
        <v>7.5680356187089926</v>
      </c>
      <c r="N37" s="426">
        <f t="shared" si="5"/>
        <v>1.810287971507309E-2</v>
      </c>
      <c r="O37" s="21">
        <f t="shared" si="6"/>
        <v>1.8425342775211056E-2</v>
      </c>
      <c r="P37" s="21">
        <f t="shared" si="7"/>
        <v>1.8188869864443215E-2</v>
      </c>
      <c r="Q37" s="42">
        <f t="shared" si="8"/>
        <v>94.134974518380062</v>
      </c>
      <c r="R37" s="42">
        <f t="shared" si="67"/>
        <v>257.95479885295481</v>
      </c>
      <c r="S37" s="42">
        <f t="shared" si="9"/>
        <v>7.7523896816775002</v>
      </c>
      <c r="T37" s="43">
        <f t="shared" si="68"/>
        <v>69.771507135097508</v>
      </c>
      <c r="U37" s="21">
        <f t="shared" si="10"/>
        <v>1.3955828940024489E-3</v>
      </c>
      <c r="V37" s="21">
        <f t="shared" si="11"/>
        <v>1.4260302196779395E-3</v>
      </c>
      <c r="W37" s="21">
        <f t="shared" si="12"/>
        <v>1.4037021808492465E-3</v>
      </c>
      <c r="X37" s="42">
        <f t="shared" si="13"/>
        <v>7.2570310488127348</v>
      </c>
      <c r="Y37" s="42">
        <f t="shared" si="69"/>
        <v>19.964423075491155</v>
      </c>
      <c r="Z37" s="42">
        <f t="shared" si="14"/>
        <v>0.59881887689589264</v>
      </c>
      <c r="AA37" s="43">
        <f t="shared" si="70"/>
        <v>5.3893698920630326</v>
      </c>
      <c r="AB37" s="46">
        <f t="shared" si="15"/>
        <v>35.5</v>
      </c>
      <c r="AC37" s="46">
        <f t="shared" si="16"/>
        <v>35.5</v>
      </c>
      <c r="AD37" s="46">
        <f t="shared" si="17"/>
        <v>35.5</v>
      </c>
      <c r="AE37" s="49">
        <f t="shared" si="18"/>
        <v>184600</v>
      </c>
      <c r="AF37" s="49">
        <f t="shared" si="71"/>
        <v>497000.00000000006</v>
      </c>
      <c r="AG37" s="49">
        <f t="shared" si="19"/>
        <v>15069.75</v>
      </c>
      <c r="AH37" s="47">
        <f t="shared" si="72"/>
        <v>135627.75</v>
      </c>
      <c r="AI37" s="41">
        <f t="shared" si="20"/>
        <v>1.5482058261408303E-2</v>
      </c>
      <c r="AJ37" s="41">
        <f t="shared" si="21"/>
        <v>1.1122209244657646E-2</v>
      </c>
      <c r="AK37" s="41">
        <f t="shared" si="22"/>
        <v>1.4319431856941463E-2</v>
      </c>
      <c r="AL37" s="42">
        <f t="shared" si="23"/>
        <v>80.506702959323178</v>
      </c>
      <c r="AM37" s="42">
        <f t="shared" si="73"/>
        <v>155.71092942520707</v>
      </c>
      <c r="AN37" s="49">
        <f t="shared" si="24"/>
        <v>5.6565654384501878</v>
      </c>
      <c r="AO37" s="47">
        <f t="shared" si="74"/>
        <v>50.909088946051689</v>
      </c>
      <c r="AP37" s="41">
        <f t="shared" si="25"/>
        <v>7.3839928729178772E-2</v>
      </c>
      <c r="AQ37" s="41">
        <f t="shared" si="26"/>
        <v>5.8420633797145641E-2</v>
      </c>
      <c r="AR37" s="41">
        <f t="shared" si="27"/>
        <v>6.9728116747303268E-2</v>
      </c>
      <c r="AS37" s="42">
        <f t="shared" si="28"/>
        <v>383.96762939172959</v>
      </c>
      <c r="AT37" s="42">
        <f t="shared" si="75"/>
        <v>817.88887316003911</v>
      </c>
      <c r="AU37" s="42">
        <f t="shared" si="29"/>
        <v>28.106997809809432</v>
      </c>
      <c r="AV37" s="43">
        <f t="shared" si="76"/>
        <v>252.96298028828488</v>
      </c>
      <c r="AW37" s="41">
        <f t="shared" si="30"/>
        <v>2.0674015041863527E-2</v>
      </c>
      <c r="AX37" s="41">
        <f t="shared" si="31"/>
        <v>1.5435275076582617E-2</v>
      </c>
      <c r="AY37" s="41">
        <f t="shared" si="32"/>
        <v>1.9277017717788617E-2</v>
      </c>
      <c r="AZ37" s="42">
        <f t="shared" si="33"/>
        <v>107.50487821769035</v>
      </c>
      <c r="BA37" s="42">
        <f t="shared" si="77"/>
        <v>216.09385107215667</v>
      </c>
      <c r="BB37" s="42">
        <f t="shared" si="34"/>
        <v>7.6759839925620774</v>
      </c>
      <c r="BC37" s="43">
        <f t="shared" si="78"/>
        <v>69.083855933058715</v>
      </c>
      <c r="BD37" s="41">
        <f t="shared" si="35"/>
        <v>0.19227565504287997</v>
      </c>
      <c r="BE37" s="41">
        <f t="shared" si="36"/>
        <v>0.23177026014640598</v>
      </c>
      <c r="BF37" s="41">
        <f t="shared" si="37"/>
        <v>0.20280754973715356</v>
      </c>
      <c r="BG37" s="49">
        <f t="shared" si="38"/>
        <v>999.83340622297578</v>
      </c>
      <c r="BH37" s="49">
        <f t="shared" si="79"/>
        <v>3244.7836420496842</v>
      </c>
      <c r="BI37" s="49">
        <f t="shared" si="39"/>
        <v>89.914882637443</v>
      </c>
      <c r="BJ37" s="47">
        <f t="shared" si="80"/>
        <v>809.23394373698716</v>
      </c>
      <c r="BK37" s="42">
        <f t="shared" si="40"/>
        <v>2.68</v>
      </c>
      <c r="BL37" s="42">
        <f t="shared" si="41"/>
        <v>2.68</v>
      </c>
      <c r="BM37" s="42">
        <f t="shared" si="42"/>
        <v>2.6800000000000006</v>
      </c>
      <c r="BN37" s="49">
        <f t="shared" si="43"/>
        <v>13936</v>
      </c>
      <c r="BO37" s="49">
        <f t="shared" si="81"/>
        <v>37520.000000000007</v>
      </c>
      <c r="BP37" s="49">
        <f t="shared" si="44"/>
        <v>1137.6600000000001</v>
      </c>
      <c r="BQ37" s="47">
        <f t="shared" si="82"/>
        <v>10238.94</v>
      </c>
      <c r="BR37" s="21">
        <f t="shared" si="45"/>
        <v>1.5599412508095822E-2</v>
      </c>
      <c r="BS37" s="21">
        <f t="shared" si="46"/>
        <v>9.1105618572899193E-3</v>
      </c>
      <c r="BT37" s="21">
        <f t="shared" si="47"/>
        <v>1.3869052334547582E-2</v>
      </c>
      <c r="BU37" s="42">
        <f t="shared" si="48"/>
        <v>81.11694504209828</v>
      </c>
      <c r="BV37" s="42">
        <f t="shared" si="83"/>
        <v>127.54786600205888</v>
      </c>
      <c r="BW37" s="42">
        <f t="shared" si="49"/>
        <v>5.2592919730174374</v>
      </c>
      <c r="BX37" s="43">
        <f t="shared" si="84"/>
        <v>47.33362775715694</v>
      </c>
      <c r="BY37" s="49">
        <f t="shared" si="50"/>
        <v>150.95212809889864</v>
      </c>
      <c r="BZ37" s="49">
        <f t="shared" si="51"/>
        <v>109.46574854122099</v>
      </c>
      <c r="CA37" s="49">
        <f t="shared" si="52"/>
        <v>139.88909355018458</v>
      </c>
      <c r="CB37" s="49">
        <f t="shared" si="53"/>
        <v>784951.06611427292</v>
      </c>
      <c r="CC37" s="49">
        <f t="shared" si="85"/>
        <v>1532520.4795770941</v>
      </c>
      <c r="CD37" s="49">
        <f t="shared" si="54"/>
        <v>55367.03867087017</v>
      </c>
      <c r="CE37" s="47">
        <f t="shared" si="86"/>
        <v>498303.3480378316</v>
      </c>
      <c r="CF37" s="21">
        <f t="shared" si="55"/>
        <v>0.17350648111232075</v>
      </c>
      <c r="CG37" s="21">
        <f t="shared" si="56"/>
        <v>0.17713539258621841</v>
      </c>
      <c r="CH37" s="21">
        <f t="shared" si="57"/>
        <v>0.17447419083869345</v>
      </c>
      <c r="CI37" s="42">
        <f t="shared" si="58"/>
        <v>902.23370178406788</v>
      </c>
      <c r="CJ37" s="42">
        <f t="shared" si="87"/>
        <v>2479.8954962070579</v>
      </c>
      <c r="CK37" s="42">
        <f t="shared" si="59"/>
        <v>74.415572641698674</v>
      </c>
      <c r="CL37" s="43">
        <f t="shared" si="88"/>
        <v>669.74015377528792</v>
      </c>
      <c r="CM37" s="21">
        <f t="shared" si="60"/>
        <v>1.7248770077813249E-2</v>
      </c>
      <c r="CN37" s="21">
        <f t="shared" si="61"/>
        <v>2.1644157198041396E-2</v>
      </c>
      <c r="CO37" s="41">
        <f t="shared" si="62"/>
        <v>1.8420873309874089E-2</v>
      </c>
      <c r="CP37" s="46">
        <f t="shared" si="63"/>
        <v>89.6936044046289</v>
      </c>
      <c r="CQ37" s="46">
        <f t="shared" si="89"/>
        <v>303.01820077257958</v>
      </c>
      <c r="CR37" s="42">
        <f t="shared" si="64"/>
        <v>8.245134193279636</v>
      </c>
      <c r="CS37" s="43">
        <f t="shared" si="90"/>
        <v>74.206207739516742</v>
      </c>
    </row>
    <row r="38" spans="3:97" ht="15.75" customHeight="1" x14ac:dyDescent="0.25">
      <c r="C38" s="1">
        <v>10</v>
      </c>
      <c r="D38" s="1">
        <f>Scenario_Info!$N$11</f>
        <v>33</v>
      </c>
      <c r="E38" s="1">
        <f>Scenario_Info!$N$12</f>
        <v>12</v>
      </c>
      <c r="F38" s="1">
        <f>Scenario_Info!$N$14/100</f>
        <v>0.77300000000000002</v>
      </c>
      <c r="G38" s="426">
        <f t="shared" si="0"/>
        <v>2.347965595632683E-3</v>
      </c>
      <c r="H38" s="21">
        <f t="shared" si="1"/>
        <v>1.6059725060000518E-3</v>
      </c>
      <c r="I38" s="21">
        <f t="shared" si="2"/>
        <v>2.150100771730648E-3</v>
      </c>
      <c r="J38" s="42">
        <f t="shared" si="3"/>
        <v>12.209421097289951</v>
      </c>
      <c r="K38" s="42">
        <f t="shared" si="65"/>
        <v>22.483615084000729</v>
      </c>
      <c r="L38" s="42">
        <f t="shared" si="4"/>
        <v>0.84089284652322138</v>
      </c>
      <c r="M38" s="43">
        <f t="shared" si="66"/>
        <v>8.4089284652322132</v>
      </c>
      <c r="N38" s="426">
        <f t="shared" si="5"/>
        <v>1.810287971507309E-2</v>
      </c>
      <c r="O38" s="21">
        <f t="shared" si="6"/>
        <v>1.8425342775211056E-2</v>
      </c>
      <c r="P38" s="21">
        <f t="shared" si="7"/>
        <v>1.8188869864443215E-2</v>
      </c>
      <c r="Q38" s="42">
        <f t="shared" si="8"/>
        <v>94.134974518380062</v>
      </c>
      <c r="R38" s="42">
        <f t="shared" si="67"/>
        <v>257.95479885295481</v>
      </c>
      <c r="S38" s="42">
        <f t="shared" si="9"/>
        <v>7.7523896816775002</v>
      </c>
      <c r="T38" s="43">
        <f t="shared" si="68"/>
        <v>77.523896816775007</v>
      </c>
      <c r="U38" s="21">
        <f t="shared" si="10"/>
        <v>1.3955828940024489E-3</v>
      </c>
      <c r="V38" s="21">
        <f t="shared" si="11"/>
        <v>1.4260302196779395E-3</v>
      </c>
      <c r="W38" s="21">
        <f t="shared" si="12"/>
        <v>1.4037021808492465E-3</v>
      </c>
      <c r="X38" s="42">
        <f t="shared" si="13"/>
        <v>7.2570310488127348</v>
      </c>
      <c r="Y38" s="42">
        <f t="shared" si="69"/>
        <v>19.964423075491155</v>
      </c>
      <c r="Z38" s="42">
        <f t="shared" si="14"/>
        <v>0.59881887689589264</v>
      </c>
      <c r="AA38" s="43">
        <f t="shared" si="70"/>
        <v>5.988188768958925</v>
      </c>
      <c r="AB38" s="46">
        <f t="shared" si="15"/>
        <v>35.5</v>
      </c>
      <c r="AC38" s="46">
        <f t="shared" si="16"/>
        <v>35.5</v>
      </c>
      <c r="AD38" s="46">
        <f t="shared" si="17"/>
        <v>35.5</v>
      </c>
      <c r="AE38" s="49">
        <f t="shared" si="18"/>
        <v>184600</v>
      </c>
      <c r="AF38" s="49">
        <f t="shared" si="71"/>
        <v>497000.00000000006</v>
      </c>
      <c r="AG38" s="49">
        <f t="shared" si="19"/>
        <v>15069.75</v>
      </c>
      <c r="AH38" s="47">
        <f t="shared" si="72"/>
        <v>150697.5</v>
      </c>
      <c r="AI38" s="41">
        <f t="shared" si="20"/>
        <v>1.5482058261408303E-2</v>
      </c>
      <c r="AJ38" s="41">
        <f t="shared" si="21"/>
        <v>1.1122209244657646E-2</v>
      </c>
      <c r="AK38" s="41">
        <f t="shared" si="22"/>
        <v>1.4319431856941463E-2</v>
      </c>
      <c r="AL38" s="42">
        <f t="shared" si="23"/>
        <v>80.506702959323178</v>
      </c>
      <c r="AM38" s="42">
        <f t="shared" si="73"/>
        <v>155.71092942520707</v>
      </c>
      <c r="AN38" s="49">
        <f t="shared" si="24"/>
        <v>5.6565654384501878</v>
      </c>
      <c r="AO38" s="47">
        <f t="shared" si="74"/>
        <v>56.565654384501876</v>
      </c>
      <c r="AP38" s="41">
        <f t="shared" si="25"/>
        <v>7.3839928729178772E-2</v>
      </c>
      <c r="AQ38" s="41">
        <f t="shared" si="26"/>
        <v>5.8420633797145641E-2</v>
      </c>
      <c r="AR38" s="41">
        <f t="shared" si="27"/>
        <v>6.9728116747303268E-2</v>
      </c>
      <c r="AS38" s="42">
        <f t="shared" si="28"/>
        <v>383.96762939172959</v>
      </c>
      <c r="AT38" s="42">
        <f t="shared" si="75"/>
        <v>817.88887316003911</v>
      </c>
      <c r="AU38" s="42">
        <f t="shared" si="29"/>
        <v>28.106997809809432</v>
      </c>
      <c r="AV38" s="43">
        <f t="shared" si="76"/>
        <v>281.06997809809434</v>
      </c>
      <c r="AW38" s="41">
        <f t="shared" si="30"/>
        <v>2.0674015041863527E-2</v>
      </c>
      <c r="AX38" s="41">
        <f t="shared" si="31"/>
        <v>1.5435275076582617E-2</v>
      </c>
      <c r="AY38" s="41">
        <f t="shared" si="32"/>
        <v>1.9277017717788617E-2</v>
      </c>
      <c r="AZ38" s="42">
        <f t="shared" si="33"/>
        <v>107.50487821769035</v>
      </c>
      <c r="BA38" s="42">
        <f t="shared" si="77"/>
        <v>216.09385107215667</v>
      </c>
      <c r="BB38" s="42">
        <f t="shared" si="34"/>
        <v>7.6759839925620774</v>
      </c>
      <c r="BC38" s="43">
        <f t="shared" si="78"/>
        <v>76.759839925620795</v>
      </c>
      <c r="BD38" s="41">
        <f t="shared" si="35"/>
        <v>0.19227565504287997</v>
      </c>
      <c r="BE38" s="41">
        <f t="shared" si="36"/>
        <v>0.23177026014640598</v>
      </c>
      <c r="BF38" s="41">
        <f t="shared" si="37"/>
        <v>0.20280754973715356</v>
      </c>
      <c r="BG38" s="49">
        <f t="shared" si="38"/>
        <v>999.83340622297578</v>
      </c>
      <c r="BH38" s="49">
        <f t="shared" si="79"/>
        <v>3244.7836420496842</v>
      </c>
      <c r="BI38" s="49">
        <f t="shared" si="39"/>
        <v>89.914882637443</v>
      </c>
      <c r="BJ38" s="47">
        <f t="shared" si="80"/>
        <v>899.1488263744302</v>
      </c>
      <c r="BK38" s="42">
        <f t="shared" si="40"/>
        <v>2.68</v>
      </c>
      <c r="BL38" s="42">
        <f t="shared" si="41"/>
        <v>2.68</v>
      </c>
      <c r="BM38" s="42">
        <f t="shared" si="42"/>
        <v>2.6800000000000006</v>
      </c>
      <c r="BN38" s="49">
        <f t="shared" si="43"/>
        <v>13936</v>
      </c>
      <c r="BO38" s="49">
        <f t="shared" si="81"/>
        <v>37520.000000000007</v>
      </c>
      <c r="BP38" s="49">
        <f t="shared" si="44"/>
        <v>1137.6600000000001</v>
      </c>
      <c r="BQ38" s="47">
        <f t="shared" si="82"/>
        <v>11376.6</v>
      </c>
      <c r="BR38" s="21">
        <f t="shared" si="45"/>
        <v>1.5599412508095822E-2</v>
      </c>
      <c r="BS38" s="21">
        <f t="shared" si="46"/>
        <v>9.1105618572899193E-3</v>
      </c>
      <c r="BT38" s="21">
        <f t="shared" si="47"/>
        <v>1.3869052334547582E-2</v>
      </c>
      <c r="BU38" s="42">
        <f t="shared" si="48"/>
        <v>81.11694504209828</v>
      </c>
      <c r="BV38" s="42">
        <f t="shared" si="83"/>
        <v>127.54786600205888</v>
      </c>
      <c r="BW38" s="42">
        <f t="shared" si="49"/>
        <v>5.2592919730174374</v>
      </c>
      <c r="BX38" s="43">
        <f t="shared" si="84"/>
        <v>52.59291973017438</v>
      </c>
      <c r="BY38" s="49">
        <f t="shared" si="50"/>
        <v>150.95212809889864</v>
      </c>
      <c r="BZ38" s="49">
        <f t="shared" si="51"/>
        <v>109.46574854122099</v>
      </c>
      <c r="CA38" s="49">
        <f t="shared" si="52"/>
        <v>139.88909355018458</v>
      </c>
      <c r="CB38" s="49">
        <f t="shared" si="53"/>
        <v>784951.06611427292</v>
      </c>
      <c r="CC38" s="49">
        <f t="shared" si="85"/>
        <v>1532520.4795770941</v>
      </c>
      <c r="CD38" s="49">
        <f t="shared" si="54"/>
        <v>55367.03867087017</v>
      </c>
      <c r="CE38" s="47">
        <f t="shared" si="86"/>
        <v>553670.38670870173</v>
      </c>
      <c r="CF38" s="21">
        <f t="shared" si="55"/>
        <v>0.17350648111232075</v>
      </c>
      <c r="CG38" s="21">
        <f t="shared" si="56"/>
        <v>0.17713539258621841</v>
      </c>
      <c r="CH38" s="21">
        <f t="shared" si="57"/>
        <v>0.17447419083869345</v>
      </c>
      <c r="CI38" s="42">
        <f t="shared" si="58"/>
        <v>902.23370178406788</v>
      </c>
      <c r="CJ38" s="42">
        <f t="shared" si="87"/>
        <v>2479.8954962070579</v>
      </c>
      <c r="CK38" s="42">
        <f t="shared" si="59"/>
        <v>74.415572641698674</v>
      </c>
      <c r="CL38" s="43">
        <f t="shared" si="88"/>
        <v>744.15572641698657</v>
      </c>
      <c r="CM38" s="21">
        <f t="shared" si="60"/>
        <v>1.7248770077813249E-2</v>
      </c>
      <c r="CN38" s="21">
        <f t="shared" si="61"/>
        <v>2.1644157198041396E-2</v>
      </c>
      <c r="CO38" s="41">
        <f t="shared" si="62"/>
        <v>1.8420873309874089E-2</v>
      </c>
      <c r="CP38" s="46">
        <f t="shared" si="63"/>
        <v>89.6936044046289</v>
      </c>
      <c r="CQ38" s="46">
        <f t="shared" si="89"/>
        <v>303.01820077257958</v>
      </c>
      <c r="CR38" s="42">
        <f t="shared" si="64"/>
        <v>8.245134193279636</v>
      </c>
      <c r="CS38" s="43">
        <f t="shared" si="90"/>
        <v>82.451341932796382</v>
      </c>
    </row>
    <row r="39" spans="3:97" ht="15.75" customHeight="1" x14ac:dyDescent="0.25">
      <c r="C39" s="1">
        <v>11</v>
      </c>
      <c r="D39" s="1">
        <f>Scenario_Info!$N$11</f>
        <v>33</v>
      </c>
      <c r="E39" s="1">
        <f>Scenario_Info!$N$12</f>
        <v>12</v>
      </c>
      <c r="F39" s="1">
        <f>Scenario_Info!$N$14/100</f>
        <v>0.77300000000000002</v>
      </c>
      <c r="G39" s="426">
        <f t="shared" si="0"/>
        <v>2.347965595632683E-3</v>
      </c>
      <c r="H39" s="21">
        <f t="shared" si="1"/>
        <v>1.6059725060000518E-3</v>
      </c>
      <c r="I39" s="21">
        <f t="shared" si="2"/>
        <v>2.150100771730648E-3</v>
      </c>
      <c r="J39" s="42">
        <f t="shared" si="3"/>
        <v>12.209421097289951</v>
      </c>
      <c r="K39" s="42">
        <f t="shared" si="65"/>
        <v>22.483615084000729</v>
      </c>
      <c r="L39" s="42">
        <f t="shared" si="4"/>
        <v>0.84089284652322138</v>
      </c>
      <c r="M39" s="43">
        <f t="shared" si="66"/>
        <v>9.2498213117554346</v>
      </c>
      <c r="N39" s="426">
        <f t="shared" si="5"/>
        <v>1.810287971507309E-2</v>
      </c>
      <c r="O39" s="21">
        <f t="shared" si="6"/>
        <v>1.8425342775211056E-2</v>
      </c>
      <c r="P39" s="21">
        <f t="shared" si="7"/>
        <v>1.8188869864443215E-2</v>
      </c>
      <c r="Q39" s="42">
        <f t="shared" si="8"/>
        <v>94.134974518380062</v>
      </c>
      <c r="R39" s="42">
        <f t="shared" si="67"/>
        <v>257.95479885295481</v>
      </c>
      <c r="S39" s="42">
        <f t="shared" si="9"/>
        <v>7.7523896816775002</v>
      </c>
      <c r="T39" s="43">
        <f t="shared" si="68"/>
        <v>85.276286498452507</v>
      </c>
      <c r="U39" s="21">
        <f t="shared" si="10"/>
        <v>1.3955828940024489E-3</v>
      </c>
      <c r="V39" s="21">
        <f t="shared" si="11"/>
        <v>1.4260302196779395E-3</v>
      </c>
      <c r="W39" s="21">
        <f t="shared" si="12"/>
        <v>1.4037021808492465E-3</v>
      </c>
      <c r="X39" s="42">
        <f t="shared" si="13"/>
        <v>7.2570310488127348</v>
      </c>
      <c r="Y39" s="42">
        <f t="shared" si="69"/>
        <v>19.964423075491155</v>
      </c>
      <c r="Z39" s="42">
        <f t="shared" si="14"/>
        <v>0.59881887689589264</v>
      </c>
      <c r="AA39" s="43">
        <f t="shared" si="70"/>
        <v>6.5870076458548175</v>
      </c>
      <c r="AB39" s="46">
        <f t="shared" si="15"/>
        <v>35.5</v>
      </c>
      <c r="AC39" s="46">
        <f t="shared" si="16"/>
        <v>35.5</v>
      </c>
      <c r="AD39" s="46">
        <f t="shared" si="17"/>
        <v>35.5</v>
      </c>
      <c r="AE39" s="49">
        <f t="shared" si="18"/>
        <v>184600</v>
      </c>
      <c r="AF39" s="49">
        <f t="shared" si="71"/>
        <v>497000.00000000006</v>
      </c>
      <c r="AG39" s="49">
        <f t="shared" si="19"/>
        <v>15069.75</v>
      </c>
      <c r="AH39" s="47">
        <f t="shared" si="72"/>
        <v>165767.25</v>
      </c>
      <c r="AI39" s="41">
        <f t="shared" si="20"/>
        <v>1.5482058261408303E-2</v>
      </c>
      <c r="AJ39" s="41">
        <f t="shared" si="21"/>
        <v>1.1122209244657646E-2</v>
      </c>
      <c r="AK39" s="41">
        <f t="shared" si="22"/>
        <v>1.4319431856941463E-2</v>
      </c>
      <c r="AL39" s="42">
        <f t="shared" si="23"/>
        <v>80.506702959323178</v>
      </c>
      <c r="AM39" s="42">
        <f t="shared" si="73"/>
        <v>155.71092942520707</v>
      </c>
      <c r="AN39" s="49">
        <f t="shared" si="24"/>
        <v>5.6565654384501878</v>
      </c>
      <c r="AO39" s="47">
        <f t="shared" si="74"/>
        <v>62.222219822952063</v>
      </c>
      <c r="AP39" s="41">
        <f t="shared" si="25"/>
        <v>7.3839928729178772E-2</v>
      </c>
      <c r="AQ39" s="41">
        <f t="shared" si="26"/>
        <v>5.8420633797145641E-2</v>
      </c>
      <c r="AR39" s="41">
        <f t="shared" si="27"/>
        <v>6.9728116747303268E-2</v>
      </c>
      <c r="AS39" s="42">
        <f t="shared" si="28"/>
        <v>383.96762939172959</v>
      </c>
      <c r="AT39" s="42">
        <f t="shared" si="75"/>
        <v>817.88887316003911</v>
      </c>
      <c r="AU39" s="42">
        <f t="shared" si="29"/>
        <v>28.106997809809432</v>
      </c>
      <c r="AV39" s="43">
        <f t="shared" si="76"/>
        <v>309.1769759079038</v>
      </c>
      <c r="AW39" s="41">
        <f t="shared" si="30"/>
        <v>2.0674015041863527E-2</v>
      </c>
      <c r="AX39" s="41">
        <f t="shared" si="31"/>
        <v>1.5435275076582617E-2</v>
      </c>
      <c r="AY39" s="41">
        <f t="shared" si="32"/>
        <v>1.9277017717788617E-2</v>
      </c>
      <c r="AZ39" s="42">
        <f t="shared" si="33"/>
        <v>107.50487821769035</v>
      </c>
      <c r="BA39" s="42">
        <f t="shared" si="77"/>
        <v>216.09385107215667</v>
      </c>
      <c r="BB39" s="42">
        <f t="shared" si="34"/>
        <v>7.6759839925620774</v>
      </c>
      <c r="BC39" s="43">
        <f t="shared" si="78"/>
        <v>84.435823918182876</v>
      </c>
      <c r="BD39" s="41">
        <f t="shared" si="35"/>
        <v>0.19227565504287997</v>
      </c>
      <c r="BE39" s="41">
        <f t="shared" si="36"/>
        <v>0.23177026014640598</v>
      </c>
      <c r="BF39" s="41">
        <f t="shared" si="37"/>
        <v>0.20280754973715356</v>
      </c>
      <c r="BG39" s="49">
        <f t="shared" si="38"/>
        <v>999.83340622297578</v>
      </c>
      <c r="BH39" s="49">
        <f t="shared" si="79"/>
        <v>3244.7836420496842</v>
      </c>
      <c r="BI39" s="49">
        <f t="shared" si="39"/>
        <v>89.914882637443</v>
      </c>
      <c r="BJ39" s="47">
        <f t="shared" si="80"/>
        <v>989.06370901187324</v>
      </c>
      <c r="BK39" s="42">
        <f t="shared" si="40"/>
        <v>2.68</v>
      </c>
      <c r="BL39" s="42">
        <f t="shared" si="41"/>
        <v>2.68</v>
      </c>
      <c r="BM39" s="42">
        <f t="shared" si="42"/>
        <v>2.6800000000000006</v>
      </c>
      <c r="BN39" s="49">
        <f t="shared" si="43"/>
        <v>13936</v>
      </c>
      <c r="BO39" s="49">
        <f t="shared" si="81"/>
        <v>37520.000000000007</v>
      </c>
      <c r="BP39" s="49">
        <f t="shared" si="44"/>
        <v>1137.6600000000001</v>
      </c>
      <c r="BQ39" s="47">
        <f t="shared" si="82"/>
        <v>12514.26</v>
      </c>
      <c r="BR39" s="21">
        <f t="shared" si="45"/>
        <v>1.5599412508095822E-2</v>
      </c>
      <c r="BS39" s="21">
        <f t="shared" si="46"/>
        <v>9.1105618572899193E-3</v>
      </c>
      <c r="BT39" s="21">
        <f t="shared" si="47"/>
        <v>1.3869052334547582E-2</v>
      </c>
      <c r="BU39" s="42">
        <f t="shared" si="48"/>
        <v>81.11694504209828</v>
      </c>
      <c r="BV39" s="42">
        <f t="shared" si="83"/>
        <v>127.54786600205888</v>
      </c>
      <c r="BW39" s="42">
        <f t="shared" si="49"/>
        <v>5.2592919730174374</v>
      </c>
      <c r="BX39" s="43">
        <f t="shared" si="84"/>
        <v>57.85221170319182</v>
      </c>
      <c r="BY39" s="49">
        <f t="shared" si="50"/>
        <v>150.95212809889864</v>
      </c>
      <c r="BZ39" s="49">
        <f t="shared" si="51"/>
        <v>109.46574854122099</v>
      </c>
      <c r="CA39" s="49">
        <f t="shared" si="52"/>
        <v>139.88909355018458</v>
      </c>
      <c r="CB39" s="49">
        <f t="shared" si="53"/>
        <v>784951.06611427292</v>
      </c>
      <c r="CC39" s="49">
        <f t="shared" si="85"/>
        <v>1532520.4795770941</v>
      </c>
      <c r="CD39" s="49">
        <f t="shared" si="54"/>
        <v>55367.03867087017</v>
      </c>
      <c r="CE39" s="47">
        <f t="shared" si="86"/>
        <v>609037.42537957185</v>
      </c>
      <c r="CF39" s="21">
        <f t="shared" si="55"/>
        <v>0.17350648111232075</v>
      </c>
      <c r="CG39" s="21">
        <f t="shared" si="56"/>
        <v>0.17713539258621841</v>
      </c>
      <c r="CH39" s="21">
        <f t="shared" si="57"/>
        <v>0.17447419083869345</v>
      </c>
      <c r="CI39" s="42">
        <f t="shared" si="58"/>
        <v>902.23370178406788</v>
      </c>
      <c r="CJ39" s="42">
        <f t="shared" si="87"/>
        <v>2479.8954962070579</v>
      </c>
      <c r="CK39" s="42">
        <f t="shared" si="59"/>
        <v>74.415572641698674</v>
      </c>
      <c r="CL39" s="43">
        <f t="shared" si="88"/>
        <v>818.57129905868521</v>
      </c>
      <c r="CM39" s="21">
        <f t="shared" si="60"/>
        <v>1.7248770077813249E-2</v>
      </c>
      <c r="CN39" s="21">
        <f t="shared" si="61"/>
        <v>2.1644157198041396E-2</v>
      </c>
      <c r="CO39" s="41">
        <f t="shared" si="62"/>
        <v>1.8420873309874089E-2</v>
      </c>
      <c r="CP39" s="46">
        <f t="shared" si="63"/>
        <v>89.6936044046289</v>
      </c>
      <c r="CQ39" s="46">
        <f t="shared" si="89"/>
        <v>303.01820077257958</v>
      </c>
      <c r="CR39" s="42">
        <f t="shared" si="64"/>
        <v>8.245134193279636</v>
      </c>
      <c r="CS39" s="43">
        <f t="shared" si="90"/>
        <v>90.696476126076021</v>
      </c>
    </row>
    <row r="40" spans="3:97" ht="15.75" customHeight="1" x14ac:dyDescent="0.25">
      <c r="C40" s="1">
        <v>12</v>
      </c>
      <c r="D40" s="1">
        <f>Scenario_Info!$N$11</f>
        <v>33</v>
      </c>
      <c r="E40" s="1">
        <f>Scenario_Info!$N$12</f>
        <v>12</v>
      </c>
      <c r="F40" s="1">
        <f>Scenario_Info!$N$14/100</f>
        <v>0.77300000000000002</v>
      </c>
      <c r="G40" s="426">
        <f t="shared" si="0"/>
        <v>2.347965595632683E-3</v>
      </c>
      <c r="H40" s="21">
        <f t="shared" si="1"/>
        <v>1.6059725060000518E-3</v>
      </c>
      <c r="I40" s="21">
        <f t="shared" si="2"/>
        <v>2.150100771730648E-3</v>
      </c>
      <c r="J40" s="42">
        <f t="shared" si="3"/>
        <v>12.209421097289951</v>
      </c>
      <c r="K40" s="42">
        <f t="shared" si="65"/>
        <v>22.483615084000729</v>
      </c>
      <c r="L40" s="42">
        <f t="shared" si="4"/>
        <v>0.84089284652322138</v>
      </c>
      <c r="M40" s="43">
        <f t="shared" si="66"/>
        <v>10.090714158278656</v>
      </c>
      <c r="N40" s="426">
        <f t="shared" si="5"/>
        <v>1.810287971507309E-2</v>
      </c>
      <c r="O40" s="21">
        <f t="shared" si="6"/>
        <v>1.8425342775211056E-2</v>
      </c>
      <c r="P40" s="21">
        <f t="shared" si="7"/>
        <v>1.8188869864443215E-2</v>
      </c>
      <c r="Q40" s="42">
        <f t="shared" si="8"/>
        <v>94.134974518380062</v>
      </c>
      <c r="R40" s="42">
        <f t="shared" si="67"/>
        <v>257.95479885295481</v>
      </c>
      <c r="S40" s="42">
        <f t="shared" si="9"/>
        <v>7.7523896816775002</v>
      </c>
      <c r="T40" s="43">
        <f t="shared" si="68"/>
        <v>93.028676180130006</v>
      </c>
      <c r="U40" s="21">
        <f t="shared" si="10"/>
        <v>1.3955828940024489E-3</v>
      </c>
      <c r="V40" s="21">
        <f t="shared" si="11"/>
        <v>1.4260302196779395E-3</v>
      </c>
      <c r="W40" s="21">
        <f t="shared" si="12"/>
        <v>1.4037021808492465E-3</v>
      </c>
      <c r="X40" s="42">
        <f t="shared" si="13"/>
        <v>7.2570310488127348</v>
      </c>
      <c r="Y40" s="42">
        <f t="shared" si="69"/>
        <v>19.964423075491155</v>
      </c>
      <c r="Z40" s="42">
        <f t="shared" si="14"/>
        <v>0.59881887689589264</v>
      </c>
      <c r="AA40" s="43">
        <f t="shared" si="70"/>
        <v>7.1858265227507099</v>
      </c>
      <c r="AB40" s="46">
        <f t="shared" si="15"/>
        <v>35.5</v>
      </c>
      <c r="AC40" s="46">
        <f t="shared" si="16"/>
        <v>35.5</v>
      </c>
      <c r="AD40" s="46">
        <f t="shared" si="17"/>
        <v>35.5</v>
      </c>
      <c r="AE40" s="49">
        <f t="shared" si="18"/>
        <v>184600</v>
      </c>
      <c r="AF40" s="49">
        <f t="shared" si="71"/>
        <v>497000.00000000006</v>
      </c>
      <c r="AG40" s="49">
        <f t="shared" si="19"/>
        <v>15069.75</v>
      </c>
      <c r="AH40" s="47">
        <f t="shared" si="72"/>
        <v>180837</v>
      </c>
      <c r="AI40" s="41">
        <f t="shared" si="20"/>
        <v>1.5482058261408303E-2</v>
      </c>
      <c r="AJ40" s="41">
        <f t="shared" si="21"/>
        <v>1.1122209244657646E-2</v>
      </c>
      <c r="AK40" s="41">
        <f t="shared" si="22"/>
        <v>1.4319431856941463E-2</v>
      </c>
      <c r="AL40" s="42">
        <f t="shared" si="23"/>
        <v>80.506702959323178</v>
      </c>
      <c r="AM40" s="42">
        <f t="shared" si="73"/>
        <v>155.71092942520707</v>
      </c>
      <c r="AN40" s="49">
        <f t="shared" si="24"/>
        <v>5.6565654384501878</v>
      </c>
      <c r="AO40" s="47">
        <f t="shared" si="74"/>
        <v>67.878785261402257</v>
      </c>
      <c r="AP40" s="41">
        <f t="shared" si="25"/>
        <v>7.3839928729178772E-2</v>
      </c>
      <c r="AQ40" s="41">
        <f t="shared" si="26"/>
        <v>5.8420633797145641E-2</v>
      </c>
      <c r="AR40" s="41">
        <f t="shared" si="27"/>
        <v>6.9728116747303268E-2</v>
      </c>
      <c r="AS40" s="42">
        <f t="shared" si="28"/>
        <v>383.96762939172959</v>
      </c>
      <c r="AT40" s="42">
        <f t="shared" si="75"/>
        <v>817.88887316003911</v>
      </c>
      <c r="AU40" s="42">
        <f t="shared" si="29"/>
        <v>28.106997809809432</v>
      </c>
      <c r="AV40" s="43">
        <f t="shared" si="76"/>
        <v>337.28397371771325</v>
      </c>
      <c r="AW40" s="41">
        <f t="shared" si="30"/>
        <v>2.0674015041863527E-2</v>
      </c>
      <c r="AX40" s="41">
        <f t="shared" si="31"/>
        <v>1.5435275076582617E-2</v>
      </c>
      <c r="AY40" s="41">
        <f t="shared" si="32"/>
        <v>1.9277017717788617E-2</v>
      </c>
      <c r="AZ40" s="42">
        <f t="shared" si="33"/>
        <v>107.50487821769035</v>
      </c>
      <c r="BA40" s="42">
        <f t="shared" si="77"/>
        <v>216.09385107215667</v>
      </c>
      <c r="BB40" s="42">
        <f t="shared" si="34"/>
        <v>7.6759839925620774</v>
      </c>
      <c r="BC40" s="43">
        <f t="shared" si="78"/>
        <v>92.111807910744957</v>
      </c>
      <c r="BD40" s="41">
        <f t="shared" si="35"/>
        <v>0.19227565504287997</v>
      </c>
      <c r="BE40" s="41">
        <f t="shared" si="36"/>
        <v>0.23177026014640598</v>
      </c>
      <c r="BF40" s="41">
        <f t="shared" si="37"/>
        <v>0.20280754973715356</v>
      </c>
      <c r="BG40" s="49">
        <f t="shared" si="38"/>
        <v>999.83340622297578</v>
      </c>
      <c r="BH40" s="49">
        <f t="shared" si="79"/>
        <v>3244.7836420496842</v>
      </c>
      <c r="BI40" s="49">
        <f t="shared" si="39"/>
        <v>89.914882637443</v>
      </c>
      <c r="BJ40" s="47">
        <f t="shared" si="80"/>
        <v>1078.9785916493163</v>
      </c>
      <c r="BK40" s="42">
        <f t="shared" si="40"/>
        <v>2.68</v>
      </c>
      <c r="BL40" s="42">
        <f t="shared" si="41"/>
        <v>2.68</v>
      </c>
      <c r="BM40" s="42">
        <f t="shared" si="42"/>
        <v>2.6800000000000006</v>
      </c>
      <c r="BN40" s="49">
        <f t="shared" si="43"/>
        <v>13936</v>
      </c>
      <c r="BO40" s="49">
        <f t="shared" si="81"/>
        <v>37520.000000000007</v>
      </c>
      <c r="BP40" s="49">
        <f t="shared" si="44"/>
        <v>1137.6600000000001</v>
      </c>
      <c r="BQ40" s="47">
        <f t="shared" si="82"/>
        <v>13651.92</v>
      </c>
      <c r="BR40" s="21">
        <f t="shared" si="45"/>
        <v>1.5599412508095822E-2</v>
      </c>
      <c r="BS40" s="21">
        <f t="shared" si="46"/>
        <v>9.1105618572899193E-3</v>
      </c>
      <c r="BT40" s="21">
        <f t="shared" si="47"/>
        <v>1.3869052334547582E-2</v>
      </c>
      <c r="BU40" s="42">
        <f t="shared" si="48"/>
        <v>81.11694504209828</v>
      </c>
      <c r="BV40" s="42">
        <f t="shared" si="83"/>
        <v>127.54786600205888</v>
      </c>
      <c r="BW40" s="42">
        <f t="shared" si="49"/>
        <v>5.2592919730174374</v>
      </c>
      <c r="BX40" s="43">
        <f t="shared" si="84"/>
        <v>63.11150367620926</v>
      </c>
      <c r="BY40" s="49">
        <f t="shared" si="50"/>
        <v>150.95212809889864</v>
      </c>
      <c r="BZ40" s="49">
        <f t="shared" si="51"/>
        <v>109.46574854122099</v>
      </c>
      <c r="CA40" s="49">
        <f t="shared" si="52"/>
        <v>139.88909355018458</v>
      </c>
      <c r="CB40" s="49">
        <f t="shared" si="53"/>
        <v>784951.06611427292</v>
      </c>
      <c r="CC40" s="49">
        <f t="shared" si="85"/>
        <v>1532520.4795770941</v>
      </c>
      <c r="CD40" s="49">
        <f t="shared" si="54"/>
        <v>55367.03867087017</v>
      </c>
      <c r="CE40" s="47">
        <f t="shared" si="86"/>
        <v>664404.46405044198</v>
      </c>
      <c r="CF40" s="21">
        <f t="shared" si="55"/>
        <v>0.17350648111232075</v>
      </c>
      <c r="CG40" s="21">
        <f t="shared" si="56"/>
        <v>0.17713539258621841</v>
      </c>
      <c r="CH40" s="21">
        <f t="shared" si="57"/>
        <v>0.17447419083869345</v>
      </c>
      <c r="CI40" s="42">
        <f t="shared" si="58"/>
        <v>902.23370178406788</v>
      </c>
      <c r="CJ40" s="42">
        <f t="shared" si="87"/>
        <v>2479.8954962070579</v>
      </c>
      <c r="CK40" s="42">
        <f t="shared" si="59"/>
        <v>74.415572641698674</v>
      </c>
      <c r="CL40" s="43">
        <f t="shared" si="88"/>
        <v>892.98687170038386</v>
      </c>
      <c r="CM40" s="21">
        <f t="shared" si="60"/>
        <v>1.7248770077813249E-2</v>
      </c>
      <c r="CN40" s="21">
        <f t="shared" si="61"/>
        <v>2.1644157198041396E-2</v>
      </c>
      <c r="CO40" s="41">
        <f t="shared" si="62"/>
        <v>1.8420873309874089E-2</v>
      </c>
      <c r="CP40" s="46">
        <f t="shared" si="63"/>
        <v>89.6936044046289</v>
      </c>
      <c r="CQ40" s="46">
        <f t="shared" si="89"/>
        <v>303.01820077257958</v>
      </c>
      <c r="CR40" s="42">
        <f t="shared" si="64"/>
        <v>8.245134193279636</v>
      </c>
      <c r="CS40" s="43">
        <f t="shared" si="90"/>
        <v>98.941610319355661</v>
      </c>
    </row>
    <row r="41" spans="3:97" ht="15.75" customHeight="1" x14ac:dyDescent="0.25">
      <c r="C41" s="1">
        <v>13</v>
      </c>
      <c r="D41" s="1">
        <f>Scenario_Info!$N$11</f>
        <v>33</v>
      </c>
      <c r="E41" s="1">
        <f>Scenario_Info!$N$12</f>
        <v>12</v>
      </c>
      <c r="F41" s="1">
        <f>Scenario_Info!$N$14/100</f>
        <v>0.77300000000000002</v>
      </c>
      <c r="G41" s="426">
        <f t="shared" si="0"/>
        <v>2.347965595632683E-3</v>
      </c>
      <c r="H41" s="21">
        <f t="shared" si="1"/>
        <v>1.6059725060000518E-3</v>
      </c>
      <c r="I41" s="21">
        <f t="shared" si="2"/>
        <v>2.150100771730648E-3</v>
      </c>
      <c r="J41" s="42">
        <f t="shared" si="3"/>
        <v>12.209421097289951</v>
      </c>
      <c r="K41" s="42">
        <f t="shared" si="65"/>
        <v>22.483615084000729</v>
      </c>
      <c r="L41" s="42">
        <f t="shared" si="4"/>
        <v>0.84089284652322138</v>
      </c>
      <c r="M41" s="43">
        <f t="shared" si="66"/>
        <v>10.931607004801878</v>
      </c>
      <c r="N41" s="426">
        <f t="shared" si="5"/>
        <v>1.810287971507309E-2</v>
      </c>
      <c r="O41" s="21">
        <f t="shared" si="6"/>
        <v>1.8425342775211056E-2</v>
      </c>
      <c r="P41" s="21">
        <f t="shared" si="7"/>
        <v>1.8188869864443215E-2</v>
      </c>
      <c r="Q41" s="42">
        <f t="shared" si="8"/>
        <v>94.134974518380062</v>
      </c>
      <c r="R41" s="42">
        <f t="shared" si="67"/>
        <v>257.95479885295481</v>
      </c>
      <c r="S41" s="42">
        <f t="shared" si="9"/>
        <v>7.7523896816775002</v>
      </c>
      <c r="T41" s="43">
        <f t="shared" si="68"/>
        <v>100.78106586180751</v>
      </c>
      <c r="U41" s="21">
        <f t="shared" si="10"/>
        <v>1.3955828940024489E-3</v>
      </c>
      <c r="V41" s="21">
        <f t="shared" si="11"/>
        <v>1.4260302196779395E-3</v>
      </c>
      <c r="W41" s="21">
        <f t="shared" si="12"/>
        <v>1.4037021808492465E-3</v>
      </c>
      <c r="X41" s="42">
        <f t="shared" si="13"/>
        <v>7.2570310488127348</v>
      </c>
      <c r="Y41" s="42">
        <f t="shared" si="69"/>
        <v>19.964423075491155</v>
      </c>
      <c r="Z41" s="42">
        <f t="shared" si="14"/>
        <v>0.59881887689589264</v>
      </c>
      <c r="AA41" s="43">
        <f t="shared" si="70"/>
        <v>7.7846453996466023</v>
      </c>
      <c r="AB41" s="46">
        <f t="shared" si="15"/>
        <v>35.5</v>
      </c>
      <c r="AC41" s="46">
        <f t="shared" si="16"/>
        <v>35.5</v>
      </c>
      <c r="AD41" s="46">
        <f t="shared" si="17"/>
        <v>35.5</v>
      </c>
      <c r="AE41" s="49">
        <f t="shared" si="18"/>
        <v>184600</v>
      </c>
      <c r="AF41" s="49">
        <f t="shared" si="71"/>
        <v>497000.00000000006</v>
      </c>
      <c r="AG41" s="49">
        <f t="shared" si="19"/>
        <v>15069.75</v>
      </c>
      <c r="AH41" s="47">
        <f t="shared" si="72"/>
        <v>195906.75</v>
      </c>
      <c r="AI41" s="41">
        <f t="shared" si="20"/>
        <v>1.5482058261408303E-2</v>
      </c>
      <c r="AJ41" s="41">
        <f t="shared" si="21"/>
        <v>1.1122209244657646E-2</v>
      </c>
      <c r="AK41" s="41">
        <f t="shared" si="22"/>
        <v>1.4319431856941463E-2</v>
      </c>
      <c r="AL41" s="42">
        <f t="shared" si="23"/>
        <v>80.506702959323178</v>
      </c>
      <c r="AM41" s="42">
        <f t="shared" si="73"/>
        <v>155.71092942520707</v>
      </c>
      <c r="AN41" s="49">
        <f t="shared" si="24"/>
        <v>5.6565654384501878</v>
      </c>
      <c r="AO41" s="47">
        <f t="shared" si="74"/>
        <v>73.535350699852444</v>
      </c>
      <c r="AP41" s="41">
        <f t="shared" si="25"/>
        <v>7.3839928729178772E-2</v>
      </c>
      <c r="AQ41" s="41">
        <f t="shared" si="26"/>
        <v>5.8420633797145641E-2</v>
      </c>
      <c r="AR41" s="41">
        <f t="shared" si="27"/>
        <v>6.9728116747303268E-2</v>
      </c>
      <c r="AS41" s="42">
        <f t="shared" si="28"/>
        <v>383.96762939172959</v>
      </c>
      <c r="AT41" s="42">
        <f t="shared" si="75"/>
        <v>817.88887316003911</v>
      </c>
      <c r="AU41" s="42">
        <f t="shared" si="29"/>
        <v>28.106997809809432</v>
      </c>
      <c r="AV41" s="43">
        <f t="shared" si="76"/>
        <v>365.39097152752271</v>
      </c>
      <c r="AW41" s="41">
        <f t="shared" si="30"/>
        <v>2.0674015041863527E-2</v>
      </c>
      <c r="AX41" s="41">
        <f t="shared" si="31"/>
        <v>1.5435275076582617E-2</v>
      </c>
      <c r="AY41" s="41">
        <f t="shared" si="32"/>
        <v>1.9277017717788617E-2</v>
      </c>
      <c r="AZ41" s="42">
        <f t="shared" si="33"/>
        <v>107.50487821769035</v>
      </c>
      <c r="BA41" s="42">
        <f t="shared" si="77"/>
        <v>216.09385107215667</v>
      </c>
      <c r="BB41" s="42">
        <f t="shared" si="34"/>
        <v>7.6759839925620774</v>
      </c>
      <c r="BC41" s="43">
        <f t="shared" si="78"/>
        <v>99.787791903307038</v>
      </c>
      <c r="BD41" s="41">
        <f t="shared" si="35"/>
        <v>0.19227565504287997</v>
      </c>
      <c r="BE41" s="41">
        <f t="shared" si="36"/>
        <v>0.23177026014640598</v>
      </c>
      <c r="BF41" s="41">
        <f t="shared" si="37"/>
        <v>0.20280754973715356</v>
      </c>
      <c r="BG41" s="49">
        <f t="shared" si="38"/>
        <v>999.83340622297578</v>
      </c>
      <c r="BH41" s="49">
        <f t="shared" si="79"/>
        <v>3244.7836420496842</v>
      </c>
      <c r="BI41" s="49">
        <f t="shared" si="39"/>
        <v>89.914882637443</v>
      </c>
      <c r="BJ41" s="47">
        <f t="shared" si="80"/>
        <v>1168.8934742867593</v>
      </c>
      <c r="BK41" s="42">
        <f t="shared" si="40"/>
        <v>2.68</v>
      </c>
      <c r="BL41" s="42">
        <f t="shared" si="41"/>
        <v>2.68</v>
      </c>
      <c r="BM41" s="42">
        <f t="shared" si="42"/>
        <v>2.6800000000000006</v>
      </c>
      <c r="BN41" s="49">
        <f t="shared" si="43"/>
        <v>13936</v>
      </c>
      <c r="BO41" s="49">
        <f t="shared" si="81"/>
        <v>37520.000000000007</v>
      </c>
      <c r="BP41" s="49">
        <f t="shared" si="44"/>
        <v>1137.6600000000001</v>
      </c>
      <c r="BQ41" s="47">
        <f t="shared" si="82"/>
        <v>14789.58</v>
      </c>
      <c r="BR41" s="21">
        <f t="shared" si="45"/>
        <v>1.5599412508095822E-2</v>
      </c>
      <c r="BS41" s="21">
        <f t="shared" si="46"/>
        <v>9.1105618572899193E-3</v>
      </c>
      <c r="BT41" s="21">
        <f t="shared" si="47"/>
        <v>1.3869052334547582E-2</v>
      </c>
      <c r="BU41" s="42">
        <f t="shared" si="48"/>
        <v>81.11694504209828</v>
      </c>
      <c r="BV41" s="42">
        <f t="shared" si="83"/>
        <v>127.54786600205888</v>
      </c>
      <c r="BW41" s="42">
        <f t="shared" si="49"/>
        <v>5.2592919730174374</v>
      </c>
      <c r="BX41" s="43">
        <f t="shared" si="84"/>
        <v>68.370795649226693</v>
      </c>
      <c r="BY41" s="49">
        <f t="shared" si="50"/>
        <v>150.95212809889864</v>
      </c>
      <c r="BZ41" s="49">
        <f t="shared" si="51"/>
        <v>109.46574854122099</v>
      </c>
      <c r="CA41" s="49">
        <f t="shared" si="52"/>
        <v>139.88909355018458</v>
      </c>
      <c r="CB41" s="49">
        <f t="shared" si="53"/>
        <v>784951.06611427292</v>
      </c>
      <c r="CC41" s="49">
        <f t="shared" si="85"/>
        <v>1532520.4795770941</v>
      </c>
      <c r="CD41" s="49">
        <f t="shared" si="54"/>
        <v>55367.03867087017</v>
      </c>
      <c r="CE41" s="47">
        <f t="shared" si="86"/>
        <v>719771.50272131211</v>
      </c>
      <c r="CF41" s="21">
        <f t="shared" si="55"/>
        <v>0.17350648111232075</v>
      </c>
      <c r="CG41" s="21">
        <f t="shared" si="56"/>
        <v>0.17713539258621841</v>
      </c>
      <c r="CH41" s="21">
        <f t="shared" si="57"/>
        <v>0.17447419083869345</v>
      </c>
      <c r="CI41" s="42">
        <f t="shared" si="58"/>
        <v>902.23370178406788</v>
      </c>
      <c r="CJ41" s="42">
        <f t="shared" si="87"/>
        <v>2479.8954962070579</v>
      </c>
      <c r="CK41" s="42">
        <f t="shared" si="59"/>
        <v>74.415572641698674</v>
      </c>
      <c r="CL41" s="43">
        <f t="shared" si="88"/>
        <v>967.4024443420825</v>
      </c>
      <c r="CM41" s="21">
        <f t="shared" si="60"/>
        <v>1.7248770077813249E-2</v>
      </c>
      <c r="CN41" s="21">
        <f t="shared" si="61"/>
        <v>2.1644157198041396E-2</v>
      </c>
      <c r="CO41" s="41">
        <f t="shared" si="62"/>
        <v>1.8420873309874089E-2</v>
      </c>
      <c r="CP41" s="46">
        <f t="shared" si="63"/>
        <v>89.6936044046289</v>
      </c>
      <c r="CQ41" s="46">
        <f t="shared" si="89"/>
        <v>303.01820077257958</v>
      </c>
      <c r="CR41" s="42">
        <f t="shared" si="64"/>
        <v>8.245134193279636</v>
      </c>
      <c r="CS41" s="43">
        <f t="shared" si="90"/>
        <v>107.1867445126353</v>
      </c>
    </row>
    <row r="42" spans="3:97" ht="15.75" customHeight="1" x14ac:dyDescent="0.25">
      <c r="C42" s="1">
        <v>14</v>
      </c>
      <c r="D42" s="1">
        <f>Scenario_Info!$N$11</f>
        <v>33</v>
      </c>
      <c r="E42" s="1">
        <f>Scenario_Info!$N$12</f>
        <v>12</v>
      </c>
      <c r="F42" s="1">
        <f>Scenario_Info!$N$14/100</f>
        <v>0.77300000000000002</v>
      </c>
      <c r="G42" s="426">
        <f t="shared" si="0"/>
        <v>2.347965595632683E-3</v>
      </c>
      <c r="H42" s="21">
        <f t="shared" si="1"/>
        <v>1.6059725060000518E-3</v>
      </c>
      <c r="I42" s="21">
        <f t="shared" si="2"/>
        <v>2.150100771730648E-3</v>
      </c>
      <c r="J42" s="42">
        <f t="shared" si="3"/>
        <v>12.209421097289951</v>
      </c>
      <c r="K42" s="42">
        <f t="shared" si="65"/>
        <v>22.483615084000729</v>
      </c>
      <c r="L42" s="42">
        <f t="shared" si="4"/>
        <v>0.84089284652322138</v>
      </c>
      <c r="M42" s="43">
        <f t="shared" si="66"/>
        <v>11.772499851325099</v>
      </c>
      <c r="N42" s="426">
        <f t="shared" si="5"/>
        <v>1.810287971507309E-2</v>
      </c>
      <c r="O42" s="21">
        <f t="shared" si="6"/>
        <v>1.8425342775211056E-2</v>
      </c>
      <c r="P42" s="21">
        <f t="shared" si="7"/>
        <v>1.8188869864443215E-2</v>
      </c>
      <c r="Q42" s="42">
        <f t="shared" si="8"/>
        <v>94.134974518380062</v>
      </c>
      <c r="R42" s="42">
        <f t="shared" si="67"/>
        <v>257.95479885295481</v>
      </c>
      <c r="S42" s="42">
        <f t="shared" si="9"/>
        <v>7.7523896816775002</v>
      </c>
      <c r="T42" s="43">
        <f t="shared" si="68"/>
        <v>108.533455543485</v>
      </c>
      <c r="U42" s="21">
        <f t="shared" si="10"/>
        <v>1.3955828940024489E-3</v>
      </c>
      <c r="V42" s="21">
        <f t="shared" si="11"/>
        <v>1.4260302196779395E-3</v>
      </c>
      <c r="W42" s="21">
        <f t="shared" si="12"/>
        <v>1.4037021808492465E-3</v>
      </c>
      <c r="X42" s="42">
        <f t="shared" si="13"/>
        <v>7.2570310488127348</v>
      </c>
      <c r="Y42" s="42">
        <f t="shared" si="69"/>
        <v>19.964423075491155</v>
      </c>
      <c r="Z42" s="42">
        <f t="shared" si="14"/>
        <v>0.59881887689589264</v>
      </c>
      <c r="AA42" s="43">
        <f t="shared" si="70"/>
        <v>8.3834642765424956</v>
      </c>
      <c r="AB42" s="46">
        <f t="shared" si="15"/>
        <v>35.5</v>
      </c>
      <c r="AC42" s="46">
        <f t="shared" si="16"/>
        <v>35.5</v>
      </c>
      <c r="AD42" s="46">
        <f t="shared" si="17"/>
        <v>35.5</v>
      </c>
      <c r="AE42" s="49">
        <f t="shared" si="18"/>
        <v>184600</v>
      </c>
      <c r="AF42" s="49">
        <f t="shared" si="71"/>
        <v>497000.00000000006</v>
      </c>
      <c r="AG42" s="49">
        <f t="shared" si="19"/>
        <v>15069.75</v>
      </c>
      <c r="AH42" s="47">
        <f t="shared" si="72"/>
        <v>210976.5</v>
      </c>
      <c r="AI42" s="41">
        <f t="shared" si="20"/>
        <v>1.5482058261408303E-2</v>
      </c>
      <c r="AJ42" s="41">
        <f t="shared" si="21"/>
        <v>1.1122209244657646E-2</v>
      </c>
      <c r="AK42" s="41">
        <f t="shared" si="22"/>
        <v>1.4319431856941463E-2</v>
      </c>
      <c r="AL42" s="42">
        <f t="shared" si="23"/>
        <v>80.506702959323178</v>
      </c>
      <c r="AM42" s="42">
        <f t="shared" si="73"/>
        <v>155.71092942520707</v>
      </c>
      <c r="AN42" s="49">
        <f t="shared" si="24"/>
        <v>5.6565654384501878</v>
      </c>
      <c r="AO42" s="47">
        <f t="shared" si="74"/>
        <v>79.191916138302631</v>
      </c>
      <c r="AP42" s="41">
        <f t="shared" si="25"/>
        <v>7.3839928729178772E-2</v>
      </c>
      <c r="AQ42" s="41">
        <f t="shared" si="26"/>
        <v>5.8420633797145641E-2</v>
      </c>
      <c r="AR42" s="41">
        <f t="shared" si="27"/>
        <v>6.9728116747303268E-2</v>
      </c>
      <c r="AS42" s="42">
        <f t="shared" si="28"/>
        <v>383.96762939172959</v>
      </c>
      <c r="AT42" s="42">
        <f t="shared" si="75"/>
        <v>817.88887316003911</v>
      </c>
      <c r="AU42" s="42">
        <f t="shared" si="29"/>
        <v>28.106997809809432</v>
      </c>
      <c r="AV42" s="43">
        <f t="shared" si="76"/>
        <v>393.49796933733217</v>
      </c>
      <c r="AW42" s="41">
        <f t="shared" si="30"/>
        <v>2.0674015041863527E-2</v>
      </c>
      <c r="AX42" s="41">
        <f t="shared" si="31"/>
        <v>1.5435275076582617E-2</v>
      </c>
      <c r="AY42" s="41">
        <f t="shared" si="32"/>
        <v>1.9277017717788617E-2</v>
      </c>
      <c r="AZ42" s="42">
        <f t="shared" si="33"/>
        <v>107.50487821769035</v>
      </c>
      <c r="BA42" s="42">
        <f t="shared" si="77"/>
        <v>216.09385107215667</v>
      </c>
      <c r="BB42" s="42">
        <f t="shared" si="34"/>
        <v>7.6759839925620774</v>
      </c>
      <c r="BC42" s="43">
        <f t="shared" si="78"/>
        <v>107.46377589586912</v>
      </c>
      <c r="BD42" s="41">
        <f t="shared" si="35"/>
        <v>0.19227565504287997</v>
      </c>
      <c r="BE42" s="41">
        <f t="shared" si="36"/>
        <v>0.23177026014640598</v>
      </c>
      <c r="BF42" s="41">
        <f t="shared" si="37"/>
        <v>0.20280754973715356</v>
      </c>
      <c r="BG42" s="49">
        <f t="shared" si="38"/>
        <v>999.83340622297578</v>
      </c>
      <c r="BH42" s="49">
        <f t="shared" si="79"/>
        <v>3244.7836420496842</v>
      </c>
      <c r="BI42" s="49">
        <f t="shared" si="39"/>
        <v>89.914882637443</v>
      </c>
      <c r="BJ42" s="47">
        <f t="shared" si="80"/>
        <v>1258.8083569242024</v>
      </c>
      <c r="BK42" s="42">
        <f t="shared" si="40"/>
        <v>2.68</v>
      </c>
      <c r="BL42" s="42">
        <f t="shared" si="41"/>
        <v>2.68</v>
      </c>
      <c r="BM42" s="42">
        <f t="shared" si="42"/>
        <v>2.6800000000000006</v>
      </c>
      <c r="BN42" s="49">
        <f t="shared" si="43"/>
        <v>13936</v>
      </c>
      <c r="BO42" s="49">
        <f t="shared" si="81"/>
        <v>37520.000000000007</v>
      </c>
      <c r="BP42" s="49">
        <f t="shared" si="44"/>
        <v>1137.6600000000001</v>
      </c>
      <c r="BQ42" s="47">
        <f t="shared" si="82"/>
        <v>15927.24</v>
      </c>
      <c r="BR42" s="21">
        <f t="shared" si="45"/>
        <v>1.5599412508095822E-2</v>
      </c>
      <c r="BS42" s="21">
        <f t="shared" si="46"/>
        <v>9.1105618572899193E-3</v>
      </c>
      <c r="BT42" s="21">
        <f t="shared" si="47"/>
        <v>1.3869052334547582E-2</v>
      </c>
      <c r="BU42" s="42">
        <f t="shared" si="48"/>
        <v>81.11694504209828</v>
      </c>
      <c r="BV42" s="42">
        <f t="shared" si="83"/>
        <v>127.54786600205888</v>
      </c>
      <c r="BW42" s="42">
        <f t="shared" si="49"/>
        <v>5.2592919730174374</v>
      </c>
      <c r="BX42" s="43">
        <f t="shared" si="84"/>
        <v>73.630087622244133</v>
      </c>
      <c r="BY42" s="49">
        <f t="shared" si="50"/>
        <v>150.95212809889864</v>
      </c>
      <c r="BZ42" s="49">
        <f t="shared" si="51"/>
        <v>109.46574854122099</v>
      </c>
      <c r="CA42" s="49">
        <f t="shared" si="52"/>
        <v>139.88909355018458</v>
      </c>
      <c r="CB42" s="49">
        <f t="shared" si="53"/>
        <v>784951.06611427292</v>
      </c>
      <c r="CC42" s="49">
        <f t="shared" si="85"/>
        <v>1532520.4795770941</v>
      </c>
      <c r="CD42" s="49">
        <f t="shared" si="54"/>
        <v>55367.03867087017</v>
      </c>
      <c r="CE42" s="47">
        <f t="shared" si="86"/>
        <v>775138.54139218223</v>
      </c>
      <c r="CF42" s="21">
        <f t="shared" si="55"/>
        <v>0.17350648111232075</v>
      </c>
      <c r="CG42" s="21">
        <f t="shared" si="56"/>
        <v>0.17713539258621841</v>
      </c>
      <c r="CH42" s="21">
        <f t="shared" si="57"/>
        <v>0.17447419083869345</v>
      </c>
      <c r="CI42" s="42">
        <f t="shared" si="58"/>
        <v>902.23370178406788</v>
      </c>
      <c r="CJ42" s="42">
        <f t="shared" si="87"/>
        <v>2479.8954962070579</v>
      </c>
      <c r="CK42" s="42">
        <f t="shared" si="59"/>
        <v>74.415572641698674</v>
      </c>
      <c r="CL42" s="43">
        <f t="shared" si="88"/>
        <v>1041.8180169837813</v>
      </c>
      <c r="CM42" s="21">
        <f t="shared" si="60"/>
        <v>1.7248770077813249E-2</v>
      </c>
      <c r="CN42" s="21">
        <f t="shared" si="61"/>
        <v>2.1644157198041396E-2</v>
      </c>
      <c r="CO42" s="41">
        <f t="shared" si="62"/>
        <v>1.8420873309874089E-2</v>
      </c>
      <c r="CP42" s="46">
        <f t="shared" si="63"/>
        <v>89.6936044046289</v>
      </c>
      <c r="CQ42" s="46">
        <f t="shared" si="89"/>
        <v>303.01820077257958</v>
      </c>
      <c r="CR42" s="42">
        <f t="shared" si="64"/>
        <v>8.245134193279636</v>
      </c>
      <c r="CS42" s="43">
        <f t="shared" si="90"/>
        <v>115.43187870591494</v>
      </c>
    </row>
    <row r="43" spans="3:97" ht="15.75" customHeight="1" x14ac:dyDescent="0.25">
      <c r="C43" s="1">
        <v>15</v>
      </c>
      <c r="D43" s="1">
        <f>Scenario_Info!$N$11</f>
        <v>33</v>
      </c>
      <c r="E43" s="1">
        <f>Scenario_Info!$N$12</f>
        <v>12</v>
      </c>
      <c r="F43" s="1">
        <f>Scenario_Info!$N$14/100</f>
        <v>0.77300000000000002</v>
      </c>
      <c r="G43" s="426">
        <f t="shared" si="0"/>
        <v>2.347965595632683E-3</v>
      </c>
      <c r="H43" s="21">
        <f t="shared" si="1"/>
        <v>1.6059725060000518E-3</v>
      </c>
      <c r="I43" s="21">
        <f t="shared" si="2"/>
        <v>2.150100771730648E-3</v>
      </c>
      <c r="J43" s="42">
        <f t="shared" si="3"/>
        <v>12.209421097289951</v>
      </c>
      <c r="K43" s="42">
        <f t="shared" si="65"/>
        <v>22.483615084000729</v>
      </c>
      <c r="L43" s="42">
        <f t="shared" si="4"/>
        <v>0.84089284652322138</v>
      </c>
      <c r="M43" s="43">
        <f t="shared" si="66"/>
        <v>12.613392697848321</v>
      </c>
      <c r="N43" s="426">
        <f t="shared" si="5"/>
        <v>1.810287971507309E-2</v>
      </c>
      <c r="O43" s="21">
        <f t="shared" si="6"/>
        <v>1.8425342775211056E-2</v>
      </c>
      <c r="P43" s="21">
        <f t="shared" si="7"/>
        <v>1.8188869864443215E-2</v>
      </c>
      <c r="Q43" s="42">
        <f t="shared" si="8"/>
        <v>94.134974518380062</v>
      </c>
      <c r="R43" s="42">
        <f t="shared" si="67"/>
        <v>257.95479885295481</v>
      </c>
      <c r="S43" s="42">
        <f t="shared" si="9"/>
        <v>7.7523896816775002</v>
      </c>
      <c r="T43" s="43">
        <f t="shared" si="68"/>
        <v>116.2858452251625</v>
      </c>
      <c r="U43" s="21">
        <f t="shared" si="10"/>
        <v>1.3955828940024489E-3</v>
      </c>
      <c r="V43" s="21">
        <f t="shared" si="11"/>
        <v>1.4260302196779395E-3</v>
      </c>
      <c r="W43" s="21">
        <f t="shared" si="12"/>
        <v>1.4037021808492465E-3</v>
      </c>
      <c r="X43" s="42">
        <f t="shared" si="13"/>
        <v>7.2570310488127348</v>
      </c>
      <c r="Y43" s="42">
        <f t="shared" si="69"/>
        <v>19.964423075491155</v>
      </c>
      <c r="Z43" s="42">
        <f t="shared" si="14"/>
        <v>0.59881887689589264</v>
      </c>
      <c r="AA43" s="43">
        <f t="shared" si="70"/>
        <v>8.982283153438388</v>
      </c>
      <c r="AB43" s="46">
        <f t="shared" si="15"/>
        <v>35.5</v>
      </c>
      <c r="AC43" s="46">
        <f t="shared" si="16"/>
        <v>35.5</v>
      </c>
      <c r="AD43" s="46">
        <f t="shared" si="17"/>
        <v>35.5</v>
      </c>
      <c r="AE43" s="49">
        <f t="shared" si="18"/>
        <v>184600</v>
      </c>
      <c r="AF43" s="49">
        <f t="shared" si="71"/>
        <v>497000.00000000006</v>
      </c>
      <c r="AG43" s="49">
        <f t="shared" si="19"/>
        <v>15069.75</v>
      </c>
      <c r="AH43" s="47">
        <f t="shared" si="72"/>
        <v>226046.25</v>
      </c>
      <c r="AI43" s="41">
        <f t="shared" si="20"/>
        <v>1.5482058261408303E-2</v>
      </c>
      <c r="AJ43" s="41">
        <f t="shared" si="21"/>
        <v>1.1122209244657646E-2</v>
      </c>
      <c r="AK43" s="41">
        <f t="shared" si="22"/>
        <v>1.4319431856941463E-2</v>
      </c>
      <c r="AL43" s="42">
        <f t="shared" si="23"/>
        <v>80.506702959323178</v>
      </c>
      <c r="AM43" s="42">
        <f t="shared" si="73"/>
        <v>155.71092942520707</v>
      </c>
      <c r="AN43" s="49">
        <f t="shared" si="24"/>
        <v>5.6565654384501878</v>
      </c>
      <c r="AO43" s="47">
        <f t="shared" si="74"/>
        <v>84.848481576752818</v>
      </c>
      <c r="AP43" s="41">
        <f t="shared" si="25"/>
        <v>7.3839928729178772E-2</v>
      </c>
      <c r="AQ43" s="41">
        <f t="shared" si="26"/>
        <v>5.8420633797145641E-2</v>
      </c>
      <c r="AR43" s="41">
        <f t="shared" si="27"/>
        <v>6.9728116747303268E-2</v>
      </c>
      <c r="AS43" s="42">
        <f t="shared" si="28"/>
        <v>383.96762939172959</v>
      </c>
      <c r="AT43" s="42">
        <f t="shared" si="75"/>
        <v>817.88887316003911</v>
      </c>
      <c r="AU43" s="42">
        <f t="shared" si="29"/>
        <v>28.106997809809432</v>
      </c>
      <c r="AV43" s="43">
        <f t="shared" si="76"/>
        <v>421.60496714714162</v>
      </c>
      <c r="AW43" s="41">
        <f t="shared" si="30"/>
        <v>2.0674015041863527E-2</v>
      </c>
      <c r="AX43" s="41">
        <f t="shared" si="31"/>
        <v>1.5435275076582617E-2</v>
      </c>
      <c r="AY43" s="41">
        <f t="shared" si="32"/>
        <v>1.9277017717788617E-2</v>
      </c>
      <c r="AZ43" s="42">
        <f t="shared" si="33"/>
        <v>107.50487821769035</v>
      </c>
      <c r="BA43" s="42">
        <f t="shared" si="77"/>
        <v>216.09385107215667</v>
      </c>
      <c r="BB43" s="42">
        <f t="shared" si="34"/>
        <v>7.6759839925620774</v>
      </c>
      <c r="BC43" s="43">
        <f t="shared" si="78"/>
        <v>115.1397598884312</v>
      </c>
      <c r="BD43" s="41">
        <f t="shared" si="35"/>
        <v>0.19227565504287997</v>
      </c>
      <c r="BE43" s="41">
        <f t="shared" si="36"/>
        <v>0.23177026014640598</v>
      </c>
      <c r="BF43" s="41">
        <f t="shared" si="37"/>
        <v>0.20280754973715356</v>
      </c>
      <c r="BG43" s="49">
        <f t="shared" si="38"/>
        <v>999.83340622297578</v>
      </c>
      <c r="BH43" s="49">
        <f t="shared" si="79"/>
        <v>3244.7836420496842</v>
      </c>
      <c r="BI43" s="49">
        <f t="shared" si="39"/>
        <v>89.914882637443</v>
      </c>
      <c r="BJ43" s="47">
        <f t="shared" si="80"/>
        <v>1348.7232395616454</v>
      </c>
      <c r="BK43" s="42">
        <f t="shared" si="40"/>
        <v>2.68</v>
      </c>
      <c r="BL43" s="42">
        <f t="shared" si="41"/>
        <v>2.68</v>
      </c>
      <c r="BM43" s="42">
        <f t="shared" si="42"/>
        <v>2.6800000000000006</v>
      </c>
      <c r="BN43" s="49">
        <f t="shared" si="43"/>
        <v>13936</v>
      </c>
      <c r="BO43" s="49">
        <f t="shared" si="81"/>
        <v>37520.000000000007</v>
      </c>
      <c r="BP43" s="49">
        <f t="shared" si="44"/>
        <v>1137.6600000000001</v>
      </c>
      <c r="BQ43" s="47">
        <f t="shared" si="82"/>
        <v>17064.900000000001</v>
      </c>
      <c r="BR43" s="21">
        <f t="shared" si="45"/>
        <v>1.5599412508095822E-2</v>
      </c>
      <c r="BS43" s="21">
        <f t="shared" si="46"/>
        <v>9.1105618572899193E-3</v>
      </c>
      <c r="BT43" s="21">
        <f t="shared" si="47"/>
        <v>1.3869052334547582E-2</v>
      </c>
      <c r="BU43" s="42">
        <f t="shared" si="48"/>
        <v>81.11694504209828</v>
      </c>
      <c r="BV43" s="42">
        <f t="shared" si="83"/>
        <v>127.54786600205888</v>
      </c>
      <c r="BW43" s="42">
        <f t="shared" si="49"/>
        <v>5.2592919730174374</v>
      </c>
      <c r="BX43" s="43">
        <f t="shared" si="84"/>
        <v>78.889379595261573</v>
      </c>
      <c r="BY43" s="49">
        <f t="shared" si="50"/>
        <v>150.95212809889864</v>
      </c>
      <c r="BZ43" s="49">
        <f t="shared" si="51"/>
        <v>109.46574854122099</v>
      </c>
      <c r="CA43" s="49">
        <f t="shared" si="52"/>
        <v>139.88909355018458</v>
      </c>
      <c r="CB43" s="49">
        <f t="shared" si="53"/>
        <v>784951.06611427292</v>
      </c>
      <c r="CC43" s="49">
        <f t="shared" si="85"/>
        <v>1532520.4795770941</v>
      </c>
      <c r="CD43" s="49">
        <f t="shared" si="54"/>
        <v>55367.03867087017</v>
      </c>
      <c r="CE43" s="47">
        <f t="shared" si="86"/>
        <v>830505.58006305236</v>
      </c>
      <c r="CF43" s="21">
        <f t="shared" si="55"/>
        <v>0.17350648111232075</v>
      </c>
      <c r="CG43" s="21">
        <f t="shared" si="56"/>
        <v>0.17713539258621841</v>
      </c>
      <c r="CH43" s="21">
        <f t="shared" si="57"/>
        <v>0.17447419083869345</v>
      </c>
      <c r="CI43" s="42">
        <f t="shared" si="58"/>
        <v>902.23370178406788</v>
      </c>
      <c r="CJ43" s="42">
        <f t="shared" si="87"/>
        <v>2479.8954962070579</v>
      </c>
      <c r="CK43" s="42">
        <f t="shared" si="59"/>
        <v>74.415572641698674</v>
      </c>
      <c r="CL43" s="43">
        <f t="shared" si="88"/>
        <v>1116.2335896254799</v>
      </c>
      <c r="CM43" s="21">
        <f t="shared" si="60"/>
        <v>1.7248770077813249E-2</v>
      </c>
      <c r="CN43" s="21">
        <f t="shared" si="61"/>
        <v>2.1644157198041396E-2</v>
      </c>
      <c r="CO43" s="41">
        <f t="shared" si="62"/>
        <v>1.8420873309874089E-2</v>
      </c>
      <c r="CP43" s="46">
        <f t="shared" si="63"/>
        <v>89.6936044046289</v>
      </c>
      <c r="CQ43" s="46">
        <f t="shared" si="89"/>
        <v>303.01820077257958</v>
      </c>
      <c r="CR43" s="42">
        <f t="shared" si="64"/>
        <v>8.245134193279636</v>
      </c>
      <c r="CS43" s="43">
        <f t="shared" si="90"/>
        <v>123.67701289919458</v>
      </c>
    </row>
    <row r="44" spans="3:97" ht="15.75" customHeight="1" x14ac:dyDescent="0.25">
      <c r="C44" s="1">
        <v>16</v>
      </c>
      <c r="D44" s="1">
        <f>Scenario_Info!$N$11</f>
        <v>33</v>
      </c>
      <c r="E44" s="1">
        <f>Scenario_Info!$N$12</f>
        <v>12</v>
      </c>
      <c r="F44" s="1">
        <f>Scenario_Info!$N$14/100</f>
        <v>0.77300000000000002</v>
      </c>
      <c r="G44" s="426">
        <f t="shared" si="0"/>
        <v>2.347965595632683E-3</v>
      </c>
      <c r="H44" s="21">
        <f t="shared" si="1"/>
        <v>1.6059725060000518E-3</v>
      </c>
      <c r="I44" s="21">
        <f t="shared" si="2"/>
        <v>2.150100771730648E-3</v>
      </c>
      <c r="J44" s="42">
        <f t="shared" si="3"/>
        <v>12.209421097289951</v>
      </c>
      <c r="K44" s="42">
        <f t="shared" si="65"/>
        <v>22.483615084000729</v>
      </c>
      <c r="L44" s="42">
        <f t="shared" si="4"/>
        <v>0.84089284652322138</v>
      </c>
      <c r="M44" s="43">
        <f t="shared" si="66"/>
        <v>13.454285544371542</v>
      </c>
      <c r="N44" s="426">
        <f t="shared" si="5"/>
        <v>1.810287971507309E-2</v>
      </c>
      <c r="O44" s="21">
        <f t="shared" si="6"/>
        <v>1.8425342775211056E-2</v>
      </c>
      <c r="P44" s="21">
        <f t="shared" si="7"/>
        <v>1.8188869864443215E-2</v>
      </c>
      <c r="Q44" s="42">
        <f t="shared" si="8"/>
        <v>94.134974518380062</v>
      </c>
      <c r="R44" s="42">
        <f t="shared" si="67"/>
        <v>257.95479885295481</v>
      </c>
      <c r="S44" s="42">
        <f t="shared" si="9"/>
        <v>7.7523896816775002</v>
      </c>
      <c r="T44" s="43">
        <f t="shared" si="68"/>
        <v>124.03823490684</v>
      </c>
      <c r="U44" s="21">
        <f t="shared" si="10"/>
        <v>1.3955828940024489E-3</v>
      </c>
      <c r="V44" s="21">
        <f t="shared" si="11"/>
        <v>1.4260302196779395E-3</v>
      </c>
      <c r="W44" s="21">
        <f t="shared" si="12"/>
        <v>1.4037021808492465E-3</v>
      </c>
      <c r="X44" s="42">
        <f t="shared" si="13"/>
        <v>7.2570310488127348</v>
      </c>
      <c r="Y44" s="42">
        <f t="shared" si="69"/>
        <v>19.964423075491155</v>
      </c>
      <c r="Z44" s="42">
        <f t="shared" si="14"/>
        <v>0.59881887689589264</v>
      </c>
      <c r="AA44" s="43">
        <f t="shared" si="70"/>
        <v>9.5811020303342804</v>
      </c>
      <c r="AB44" s="46">
        <f t="shared" si="15"/>
        <v>35.5</v>
      </c>
      <c r="AC44" s="46">
        <f t="shared" si="16"/>
        <v>35.5</v>
      </c>
      <c r="AD44" s="46">
        <f t="shared" si="17"/>
        <v>35.5</v>
      </c>
      <c r="AE44" s="49">
        <f t="shared" si="18"/>
        <v>184600</v>
      </c>
      <c r="AF44" s="49">
        <f t="shared" si="71"/>
        <v>497000.00000000006</v>
      </c>
      <c r="AG44" s="49">
        <f t="shared" si="19"/>
        <v>15069.75</v>
      </c>
      <c r="AH44" s="47">
        <f t="shared" si="72"/>
        <v>241116</v>
      </c>
      <c r="AI44" s="41">
        <f t="shared" si="20"/>
        <v>1.5482058261408303E-2</v>
      </c>
      <c r="AJ44" s="41">
        <f t="shared" si="21"/>
        <v>1.1122209244657646E-2</v>
      </c>
      <c r="AK44" s="41">
        <f t="shared" si="22"/>
        <v>1.4319431856941463E-2</v>
      </c>
      <c r="AL44" s="42">
        <f t="shared" si="23"/>
        <v>80.506702959323178</v>
      </c>
      <c r="AM44" s="42">
        <f t="shared" si="73"/>
        <v>155.71092942520707</v>
      </c>
      <c r="AN44" s="49">
        <f t="shared" si="24"/>
        <v>5.6565654384501878</v>
      </c>
      <c r="AO44" s="47">
        <f t="shared" si="74"/>
        <v>90.505047015203004</v>
      </c>
      <c r="AP44" s="41">
        <f t="shared" si="25"/>
        <v>7.3839928729178772E-2</v>
      </c>
      <c r="AQ44" s="41">
        <f t="shared" si="26"/>
        <v>5.8420633797145641E-2</v>
      </c>
      <c r="AR44" s="41">
        <f t="shared" si="27"/>
        <v>6.9728116747303268E-2</v>
      </c>
      <c r="AS44" s="42">
        <f t="shared" si="28"/>
        <v>383.96762939172959</v>
      </c>
      <c r="AT44" s="42">
        <f t="shared" si="75"/>
        <v>817.88887316003911</v>
      </c>
      <c r="AU44" s="42">
        <f t="shared" si="29"/>
        <v>28.106997809809432</v>
      </c>
      <c r="AV44" s="43">
        <f t="shared" si="76"/>
        <v>449.71196495695108</v>
      </c>
      <c r="AW44" s="41">
        <f t="shared" si="30"/>
        <v>2.0674015041863527E-2</v>
      </c>
      <c r="AX44" s="41">
        <f t="shared" si="31"/>
        <v>1.5435275076582617E-2</v>
      </c>
      <c r="AY44" s="41">
        <f t="shared" si="32"/>
        <v>1.9277017717788617E-2</v>
      </c>
      <c r="AZ44" s="42">
        <f t="shared" si="33"/>
        <v>107.50487821769035</v>
      </c>
      <c r="BA44" s="42">
        <f t="shared" si="77"/>
        <v>216.09385107215667</v>
      </c>
      <c r="BB44" s="42">
        <f t="shared" si="34"/>
        <v>7.6759839925620774</v>
      </c>
      <c r="BC44" s="43">
        <f t="shared" si="78"/>
        <v>122.81574388099328</v>
      </c>
      <c r="BD44" s="41">
        <f t="shared" si="35"/>
        <v>0.19227565504287997</v>
      </c>
      <c r="BE44" s="41">
        <f t="shared" si="36"/>
        <v>0.23177026014640598</v>
      </c>
      <c r="BF44" s="41">
        <f t="shared" si="37"/>
        <v>0.20280754973715356</v>
      </c>
      <c r="BG44" s="49">
        <f t="shared" si="38"/>
        <v>999.83340622297578</v>
      </c>
      <c r="BH44" s="49">
        <f t="shared" si="79"/>
        <v>3244.7836420496842</v>
      </c>
      <c r="BI44" s="49">
        <f t="shared" si="39"/>
        <v>89.914882637443</v>
      </c>
      <c r="BJ44" s="47">
        <f t="shared" si="80"/>
        <v>1438.6381221990885</v>
      </c>
      <c r="BK44" s="42">
        <f t="shared" si="40"/>
        <v>2.68</v>
      </c>
      <c r="BL44" s="42">
        <f t="shared" si="41"/>
        <v>2.68</v>
      </c>
      <c r="BM44" s="42">
        <f t="shared" si="42"/>
        <v>2.6800000000000006</v>
      </c>
      <c r="BN44" s="49">
        <f t="shared" si="43"/>
        <v>13936</v>
      </c>
      <c r="BO44" s="49">
        <f t="shared" si="81"/>
        <v>37520.000000000007</v>
      </c>
      <c r="BP44" s="49">
        <f t="shared" si="44"/>
        <v>1137.6600000000001</v>
      </c>
      <c r="BQ44" s="47">
        <f t="shared" si="82"/>
        <v>18202.560000000001</v>
      </c>
      <c r="BR44" s="21">
        <f t="shared" si="45"/>
        <v>1.5599412508095822E-2</v>
      </c>
      <c r="BS44" s="21">
        <f t="shared" si="46"/>
        <v>9.1105618572899193E-3</v>
      </c>
      <c r="BT44" s="21">
        <f t="shared" si="47"/>
        <v>1.3869052334547582E-2</v>
      </c>
      <c r="BU44" s="42">
        <f t="shared" si="48"/>
        <v>81.11694504209828</v>
      </c>
      <c r="BV44" s="42">
        <f t="shared" si="83"/>
        <v>127.54786600205888</v>
      </c>
      <c r="BW44" s="42">
        <f t="shared" si="49"/>
        <v>5.2592919730174374</v>
      </c>
      <c r="BX44" s="43">
        <f t="shared" si="84"/>
        <v>84.148671568279013</v>
      </c>
      <c r="BY44" s="49">
        <f t="shared" si="50"/>
        <v>150.95212809889864</v>
      </c>
      <c r="BZ44" s="49">
        <f t="shared" si="51"/>
        <v>109.46574854122099</v>
      </c>
      <c r="CA44" s="49">
        <f t="shared" si="52"/>
        <v>139.88909355018458</v>
      </c>
      <c r="CB44" s="49">
        <f t="shared" si="53"/>
        <v>784951.06611427292</v>
      </c>
      <c r="CC44" s="49">
        <f t="shared" si="85"/>
        <v>1532520.4795770941</v>
      </c>
      <c r="CD44" s="49">
        <f t="shared" si="54"/>
        <v>55367.03867087017</v>
      </c>
      <c r="CE44" s="47">
        <f t="shared" si="86"/>
        <v>885872.61873392249</v>
      </c>
      <c r="CF44" s="21">
        <f t="shared" si="55"/>
        <v>0.17350648111232075</v>
      </c>
      <c r="CG44" s="21">
        <f t="shared" si="56"/>
        <v>0.17713539258621841</v>
      </c>
      <c r="CH44" s="21">
        <f t="shared" si="57"/>
        <v>0.17447419083869345</v>
      </c>
      <c r="CI44" s="42">
        <f t="shared" si="58"/>
        <v>902.23370178406788</v>
      </c>
      <c r="CJ44" s="42">
        <f t="shared" si="87"/>
        <v>2479.8954962070579</v>
      </c>
      <c r="CK44" s="42">
        <f t="shared" si="59"/>
        <v>74.415572641698674</v>
      </c>
      <c r="CL44" s="43">
        <f t="shared" si="88"/>
        <v>1190.6491622671786</v>
      </c>
      <c r="CM44" s="21">
        <f t="shared" si="60"/>
        <v>1.7248770077813249E-2</v>
      </c>
      <c r="CN44" s="21">
        <f t="shared" si="61"/>
        <v>2.1644157198041396E-2</v>
      </c>
      <c r="CO44" s="41">
        <f t="shared" si="62"/>
        <v>1.8420873309874089E-2</v>
      </c>
      <c r="CP44" s="46">
        <f t="shared" si="63"/>
        <v>89.6936044046289</v>
      </c>
      <c r="CQ44" s="46">
        <f t="shared" si="89"/>
        <v>303.01820077257958</v>
      </c>
      <c r="CR44" s="42">
        <f t="shared" si="64"/>
        <v>8.245134193279636</v>
      </c>
      <c r="CS44" s="43">
        <f t="shared" si="90"/>
        <v>131.92214709247421</v>
      </c>
    </row>
    <row r="45" spans="3:97" ht="15.75" customHeight="1" x14ac:dyDescent="0.25">
      <c r="C45" s="1">
        <v>17</v>
      </c>
      <c r="D45" s="1">
        <f>Scenario_Info!$N$11</f>
        <v>33</v>
      </c>
      <c r="E45" s="1">
        <f>Scenario_Info!$N$12</f>
        <v>12</v>
      </c>
      <c r="F45" s="1">
        <f>Scenario_Info!$N$14/100</f>
        <v>0.77300000000000002</v>
      </c>
      <c r="G45" s="426">
        <f t="shared" si="0"/>
        <v>2.347965595632683E-3</v>
      </c>
      <c r="H45" s="21">
        <f t="shared" si="1"/>
        <v>1.6059725060000518E-3</v>
      </c>
      <c r="I45" s="21">
        <f t="shared" si="2"/>
        <v>2.150100771730648E-3</v>
      </c>
      <c r="J45" s="42">
        <f t="shared" si="3"/>
        <v>12.209421097289951</v>
      </c>
      <c r="K45" s="42">
        <f t="shared" si="65"/>
        <v>22.483615084000729</v>
      </c>
      <c r="L45" s="42">
        <f t="shared" si="4"/>
        <v>0.84089284652322138</v>
      </c>
      <c r="M45" s="43">
        <f t="shared" si="66"/>
        <v>14.295178390894764</v>
      </c>
      <c r="N45" s="426">
        <f t="shared" si="5"/>
        <v>1.810287971507309E-2</v>
      </c>
      <c r="O45" s="21">
        <f t="shared" si="6"/>
        <v>1.8425342775211056E-2</v>
      </c>
      <c r="P45" s="21">
        <f t="shared" si="7"/>
        <v>1.8188869864443215E-2</v>
      </c>
      <c r="Q45" s="42">
        <f t="shared" si="8"/>
        <v>94.134974518380062</v>
      </c>
      <c r="R45" s="42">
        <f t="shared" si="67"/>
        <v>257.95479885295481</v>
      </c>
      <c r="S45" s="42">
        <f t="shared" si="9"/>
        <v>7.7523896816775002</v>
      </c>
      <c r="T45" s="43">
        <f t="shared" si="68"/>
        <v>131.79062458851752</v>
      </c>
      <c r="U45" s="21">
        <f t="shared" si="10"/>
        <v>1.3955828940024489E-3</v>
      </c>
      <c r="V45" s="21">
        <f t="shared" si="11"/>
        <v>1.4260302196779395E-3</v>
      </c>
      <c r="W45" s="21">
        <f t="shared" si="12"/>
        <v>1.4037021808492465E-3</v>
      </c>
      <c r="X45" s="42">
        <f t="shared" si="13"/>
        <v>7.2570310488127348</v>
      </c>
      <c r="Y45" s="42">
        <f t="shared" si="69"/>
        <v>19.964423075491155</v>
      </c>
      <c r="Z45" s="42">
        <f t="shared" si="14"/>
        <v>0.59881887689589264</v>
      </c>
      <c r="AA45" s="43">
        <f t="shared" si="70"/>
        <v>10.179920907230173</v>
      </c>
      <c r="AB45" s="46">
        <f t="shared" si="15"/>
        <v>35.5</v>
      </c>
      <c r="AC45" s="46">
        <f t="shared" si="16"/>
        <v>35.5</v>
      </c>
      <c r="AD45" s="46">
        <f t="shared" si="17"/>
        <v>35.5</v>
      </c>
      <c r="AE45" s="49">
        <f t="shared" si="18"/>
        <v>184600</v>
      </c>
      <c r="AF45" s="49">
        <f t="shared" si="71"/>
        <v>497000.00000000006</v>
      </c>
      <c r="AG45" s="49">
        <f t="shared" si="19"/>
        <v>15069.75</v>
      </c>
      <c r="AH45" s="47">
        <f t="shared" si="72"/>
        <v>256185.75</v>
      </c>
      <c r="AI45" s="41">
        <f t="shared" si="20"/>
        <v>1.5482058261408303E-2</v>
      </c>
      <c r="AJ45" s="41">
        <f t="shared" si="21"/>
        <v>1.1122209244657646E-2</v>
      </c>
      <c r="AK45" s="41">
        <f t="shared" si="22"/>
        <v>1.4319431856941463E-2</v>
      </c>
      <c r="AL45" s="42">
        <f t="shared" si="23"/>
        <v>80.506702959323178</v>
      </c>
      <c r="AM45" s="42">
        <f t="shared" si="73"/>
        <v>155.71092942520707</v>
      </c>
      <c r="AN45" s="49">
        <f t="shared" si="24"/>
        <v>5.6565654384501878</v>
      </c>
      <c r="AO45" s="47">
        <f t="shared" si="74"/>
        <v>96.161612453653191</v>
      </c>
      <c r="AP45" s="41">
        <f t="shared" si="25"/>
        <v>7.3839928729178772E-2</v>
      </c>
      <c r="AQ45" s="41">
        <f t="shared" si="26"/>
        <v>5.8420633797145641E-2</v>
      </c>
      <c r="AR45" s="41">
        <f t="shared" si="27"/>
        <v>6.9728116747303268E-2</v>
      </c>
      <c r="AS45" s="42">
        <f t="shared" si="28"/>
        <v>383.96762939172959</v>
      </c>
      <c r="AT45" s="42">
        <f t="shared" si="75"/>
        <v>817.88887316003911</v>
      </c>
      <c r="AU45" s="42">
        <f t="shared" si="29"/>
        <v>28.106997809809432</v>
      </c>
      <c r="AV45" s="43">
        <f t="shared" si="76"/>
        <v>477.81896276676054</v>
      </c>
      <c r="AW45" s="41">
        <f t="shared" si="30"/>
        <v>2.0674015041863527E-2</v>
      </c>
      <c r="AX45" s="41">
        <f t="shared" si="31"/>
        <v>1.5435275076582617E-2</v>
      </c>
      <c r="AY45" s="41">
        <f t="shared" si="32"/>
        <v>1.9277017717788617E-2</v>
      </c>
      <c r="AZ45" s="42">
        <f t="shared" si="33"/>
        <v>107.50487821769035</v>
      </c>
      <c r="BA45" s="42">
        <f t="shared" si="77"/>
        <v>216.09385107215667</v>
      </c>
      <c r="BB45" s="42">
        <f t="shared" si="34"/>
        <v>7.6759839925620774</v>
      </c>
      <c r="BC45" s="43">
        <f t="shared" si="78"/>
        <v>130.49172787355536</v>
      </c>
      <c r="BD45" s="41">
        <f t="shared" si="35"/>
        <v>0.19227565504287997</v>
      </c>
      <c r="BE45" s="41">
        <f t="shared" si="36"/>
        <v>0.23177026014640598</v>
      </c>
      <c r="BF45" s="41">
        <f t="shared" si="37"/>
        <v>0.20280754973715356</v>
      </c>
      <c r="BG45" s="49">
        <f t="shared" si="38"/>
        <v>999.83340622297578</v>
      </c>
      <c r="BH45" s="49">
        <f t="shared" si="79"/>
        <v>3244.7836420496842</v>
      </c>
      <c r="BI45" s="49">
        <f t="shared" si="39"/>
        <v>89.914882637443</v>
      </c>
      <c r="BJ45" s="47">
        <f t="shared" si="80"/>
        <v>1528.5530048365315</v>
      </c>
      <c r="BK45" s="42">
        <f t="shared" si="40"/>
        <v>2.68</v>
      </c>
      <c r="BL45" s="42">
        <f t="shared" si="41"/>
        <v>2.68</v>
      </c>
      <c r="BM45" s="42">
        <f t="shared" si="42"/>
        <v>2.6800000000000006</v>
      </c>
      <c r="BN45" s="49">
        <f t="shared" si="43"/>
        <v>13936</v>
      </c>
      <c r="BO45" s="49">
        <f t="shared" si="81"/>
        <v>37520.000000000007</v>
      </c>
      <c r="BP45" s="49">
        <f t="shared" si="44"/>
        <v>1137.6600000000001</v>
      </c>
      <c r="BQ45" s="47">
        <f t="shared" si="82"/>
        <v>19340.22</v>
      </c>
      <c r="BR45" s="21">
        <f t="shared" si="45"/>
        <v>1.5599412508095822E-2</v>
      </c>
      <c r="BS45" s="21">
        <f t="shared" si="46"/>
        <v>9.1105618572899193E-3</v>
      </c>
      <c r="BT45" s="21">
        <f t="shared" si="47"/>
        <v>1.3869052334547582E-2</v>
      </c>
      <c r="BU45" s="42">
        <f t="shared" si="48"/>
        <v>81.11694504209828</v>
      </c>
      <c r="BV45" s="42">
        <f t="shared" si="83"/>
        <v>127.54786600205888</v>
      </c>
      <c r="BW45" s="42">
        <f t="shared" si="49"/>
        <v>5.2592919730174374</v>
      </c>
      <c r="BX45" s="43">
        <f t="shared" si="84"/>
        <v>89.407963541296454</v>
      </c>
      <c r="BY45" s="49">
        <f t="shared" si="50"/>
        <v>150.95212809889864</v>
      </c>
      <c r="BZ45" s="49">
        <f t="shared" si="51"/>
        <v>109.46574854122099</v>
      </c>
      <c r="CA45" s="49">
        <f t="shared" si="52"/>
        <v>139.88909355018458</v>
      </c>
      <c r="CB45" s="49">
        <f t="shared" si="53"/>
        <v>784951.06611427292</v>
      </c>
      <c r="CC45" s="49">
        <f t="shared" si="85"/>
        <v>1532520.4795770941</v>
      </c>
      <c r="CD45" s="49">
        <f t="shared" si="54"/>
        <v>55367.03867087017</v>
      </c>
      <c r="CE45" s="47">
        <f t="shared" si="86"/>
        <v>941239.65740479261</v>
      </c>
      <c r="CF45" s="21">
        <f t="shared" si="55"/>
        <v>0.17350648111232075</v>
      </c>
      <c r="CG45" s="21">
        <f t="shared" si="56"/>
        <v>0.17713539258621841</v>
      </c>
      <c r="CH45" s="21">
        <f t="shared" si="57"/>
        <v>0.17447419083869345</v>
      </c>
      <c r="CI45" s="42">
        <f t="shared" si="58"/>
        <v>902.23370178406788</v>
      </c>
      <c r="CJ45" s="42">
        <f t="shared" si="87"/>
        <v>2479.8954962070579</v>
      </c>
      <c r="CK45" s="42">
        <f t="shared" si="59"/>
        <v>74.415572641698674</v>
      </c>
      <c r="CL45" s="43">
        <f t="shared" si="88"/>
        <v>1265.0647349088772</v>
      </c>
      <c r="CM45" s="21">
        <f t="shared" si="60"/>
        <v>1.7248770077813249E-2</v>
      </c>
      <c r="CN45" s="21">
        <f t="shared" si="61"/>
        <v>2.1644157198041396E-2</v>
      </c>
      <c r="CO45" s="41">
        <f t="shared" si="62"/>
        <v>1.8420873309874089E-2</v>
      </c>
      <c r="CP45" s="46">
        <f t="shared" si="63"/>
        <v>89.6936044046289</v>
      </c>
      <c r="CQ45" s="46">
        <f t="shared" si="89"/>
        <v>303.01820077257958</v>
      </c>
      <c r="CR45" s="42">
        <f t="shared" si="64"/>
        <v>8.245134193279636</v>
      </c>
      <c r="CS45" s="43">
        <f t="shared" si="90"/>
        <v>140.16728128575383</v>
      </c>
    </row>
    <row r="46" spans="3:97" ht="15.75" customHeight="1" x14ac:dyDescent="0.25">
      <c r="C46" s="1">
        <v>18</v>
      </c>
      <c r="D46" s="1">
        <f>Scenario_Info!$N$11</f>
        <v>33</v>
      </c>
      <c r="E46" s="1">
        <f>Scenario_Info!$N$12</f>
        <v>12</v>
      </c>
      <c r="F46" s="1">
        <f>Scenario_Info!$N$14/100</f>
        <v>0.77300000000000002</v>
      </c>
      <c r="G46" s="426">
        <f t="shared" si="0"/>
        <v>2.347965595632683E-3</v>
      </c>
      <c r="H46" s="21">
        <f t="shared" si="1"/>
        <v>1.6059725060000518E-3</v>
      </c>
      <c r="I46" s="21">
        <f t="shared" si="2"/>
        <v>2.150100771730648E-3</v>
      </c>
      <c r="J46" s="42">
        <f t="shared" si="3"/>
        <v>12.209421097289951</v>
      </c>
      <c r="K46" s="42">
        <f t="shared" si="65"/>
        <v>22.483615084000729</v>
      </c>
      <c r="L46" s="42">
        <f t="shared" si="4"/>
        <v>0.84089284652322138</v>
      </c>
      <c r="M46" s="43">
        <f t="shared" si="66"/>
        <v>15.136071237417985</v>
      </c>
      <c r="N46" s="426">
        <f t="shared" si="5"/>
        <v>1.810287971507309E-2</v>
      </c>
      <c r="O46" s="21">
        <f t="shared" si="6"/>
        <v>1.8425342775211056E-2</v>
      </c>
      <c r="P46" s="21">
        <f t="shared" si="7"/>
        <v>1.8188869864443215E-2</v>
      </c>
      <c r="Q46" s="42">
        <f t="shared" si="8"/>
        <v>94.134974518380062</v>
      </c>
      <c r="R46" s="42">
        <f t="shared" si="67"/>
        <v>257.95479885295481</v>
      </c>
      <c r="S46" s="42">
        <f t="shared" si="9"/>
        <v>7.7523896816775002</v>
      </c>
      <c r="T46" s="43">
        <f t="shared" si="68"/>
        <v>139.54301427019502</v>
      </c>
      <c r="U46" s="21">
        <f t="shared" si="10"/>
        <v>1.3955828940024489E-3</v>
      </c>
      <c r="V46" s="21">
        <f t="shared" si="11"/>
        <v>1.4260302196779395E-3</v>
      </c>
      <c r="W46" s="21">
        <f t="shared" si="12"/>
        <v>1.4037021808492465E-3</v>
      </c>
      <c r="X46" s="42">
        <f t="shared" si="13"/>
        <v>7.2570310488127348</v>
      </c>
      <c r="Y46" s="42">
        <f t="shared" si="69"/>
        <v>19.964423075491155</v>
      </c>
      <c r="Z46" s="42">
        <f t="shared" si="14"/>
        <v>0.59881887689589264</v>
      </c>
      <c r="AA46" s="43">
        <f t="shared" si="70"/>
        <v>10.778739784126065</v>
      </c>
      <c r="AB46" s="46">
        <f t="shared" si="15"/>
        <v>35.5</v>
      </c>
      <c r="AC46" s="46">
        <f t="shared" si="16"/>
        <v>35.5</v>
      </c>
      <c r="AD46" s="46">
        <f t="shared" si="17"/>
        <v>35.5</v>
      </c>
      <c r="AE46" s="49">
        <f t="shared" si="18"/>
        <v>184600</v>
      </c>
      <c r="AF46" s="49">
        <f t="shared" si="71"/>
        <v>497000.00000000006</v>
      </c>
      <c r="AG46" s="49">
        <f t="shared" si="19"/>
        <v>15069.75</v>
      </c>
      <c r="AH46" s="47">
        <f t="shared" si="72"/>
        <v>271255.5</v>
      </c>
      <c r="AI46" s="41">
        <f t="shared" si="20"/>
        <v>1.5482058261408303E-2</v>
      </c>
      <c r="AJ46" s="41">
        <f t="shared" si="21"/>
        <v>1.1122209244657646E-2</v>
      </c>
      <c r="AK46" s="41">
        <f t="shared" si="22"/>
        <v>1.4319431856941463E-2</v>
      </c>
      <c r="AL46" s="42">
        <f t="shared" si="23"/>
        <v>80.506702959323178</v>
      </c>
      <c r="AM46" s="42">
        <f t="shared" si="73"/>
        <v>155.71092942520707</v>
      </c>
      <c r="AN46" s="49">
        <f t="shared" si="24"/>
        <v>5.6565654384501878</v>
      </c>
      <c r="AO46" s="47">
        <f t="shared" si="74"/>
        <v>101.81817789210338</v>
      </c>
      <c r="AP46" s="41">
        <f t="shared" si="25"/>
        <v>7.3839928729178772E-2</v>
      </c>
      <c r="AQ46" s="41">
        <f t="shared" si="26"/>
        <v>5.8420633797145641E-2</v>
      </c>
      <c r="AR46" s="41">
        <f t="shared" si="27"/>
        <v>6.9728116747303268E-2</v>
      </c>
      <c r="AS46" s="42">
        <f t="shared" si="28"/>
        <v>383.96762939172959</v>
      </c>
      <c r="AT46" s="42">
        <f t="shared" si="75"/>
        <v>817.88887316003911</v>
      </c>
      <c r="AU46" s="42">
        <f t="shared" si="29"/>
        <v>28.106997809809432</v>
      </c>
      <c r="AV46" s="43">
        <f t="shared" si="76"/>
        <v>505.92596057656999</v>
      </c>
      <c r="AW46" s="41">
        <f t="shared" si="30"/>
        <v>2.0674015041863527E-2</v>
      </c>
      <c r="AX46" s="41">
        <f t="shared" si="31"/>
        <v>1.5435275076582617E-2</v>
      </c>
      <c r="AY46" s="41">
        <f t="shared" si="32"/>
        <v>1.9277017717788617E-2</v>
      </c>
      <c r="AZ46" s="42">
        <f t="shared" si="33"/>
        <v>107.50487821769035</v>
      </c>
      <c r="BA46" s="42">
        <f t="shared" si="77"/>
        <v>216.09385107215667</v>
      </c>
      <c r="BB46" s="42">
        <f t="shared" si="34"/>
        <v>7.6759839925620774</v>
      </c>
      <c r="BC46" s="43">
        <f t="shared" si="78"/>
        <v>138.16771186611743</v>
      </c>
      <c r="BD46" s="41">
        <f t="shared" si="35"/>
        <v>0.19227565504287997</v>
      </c>
      <c r="BE46" s="41">
        <f t="shared" si="36"/>
        <v>0.23177026014640598</v>
      </c>
      <c r="BF46" s="41">
        <f t="shared" si="37"/>
        <v>0.20280754973715356</v>
      </c>
      <c r="BG46" s="49">
        <f t="shared" si="38"/>
        <v>999.83340622297578</v>
      </c>
      <c r="BH46" s="49">
        <f t="shared" si="79"/>
        <v>3244.7836420496842</v>
      </c>
      <c r="BI46" s="49">
        <f t="shared" si="39"/>
        <v>89.914882637443</v>
      </c>
      <c r="BJ46" s="47">
        <f t="shared" si="80"/>
        <v>1618.4678874739745</v>
      </c>
      <c r="BK46" s="42">
        <f t="shared" si="40"/>
        <v>2.68</v>
      </c>
      <c r="BL46" s="42">
        <f t="shared" si="41"/>
        <v>2.68</v>
      </c>
      <c r="BM46" s="42">
        <f t="shared" si="42"/>
        <v>2.6800000000000006</v>
      </c>
      <c r="BN46" s="49">
        <f t="shared" si="43"/>
        <v>13936</v>
      </c>
      <c r="BO46" s="49">
        <f t="shared" si="81"/>
        <v>37520.000000000007</v>
      </c>
      <c r="BP46" s="49">
        <f t="shared" si="44"/>
        <v>1137.6600000000001</v>
      </c>
      <c r="BQ46" s="47">
        <f t="shared" si="82"/>
        <v>20477.88</v>
      </c>
      <c r="BR46" s="21">
        <f t="shared" si="45"/>
        <v>1.5599412508095822E-2</v>
      </c>
      <c r="BS46" s="21">
        <f t="shared" si="46"/>
        <v>9.1105618572899193E-3</v>
      </c>
      <c r="BT46" s="21">
        <f t="shared" si="47"/>
        <v>1.3869052334547582E-2</v>
      </c>
      <c r="BU46" s="42">
        <f t="shared" si="48"/>
        <v>81.11694504209828</v>
      </c>
      <c r="BV46" s="42">
        <f t="shared" si="83"/>
        <v>127.54786600205888</v>
      </c>
      <c r="BW46" s="42">
        <f t="shared" si="49"/>
        <v>5.2592919730174374</v>
      </c>
      <c r="BX46" s="43">
        <f t="shared" si="84"/>
        <v>94.667255514313894</v>
      </c>
      <c r="BY46" s="49">
        <f t="shared" si="50"/>
        <v>150.95212809889864</v>
      </c>
      <c r="BZ46" s="49">
        <f t="shared" si="51"/>
        <v>109.46574854122099</v>
      </c>
      <c r="CA46" s="49">
        <f t="shared" si="52"/>
        <v>139.88909355018458</v>
      </c>
      <c r="CB46" s="49">
        <f t="shared" si="53"/>
        <v>784951.06611427292</v>
      </c>
      <c r="CC46" s="49">
        <f t="shared" si="85"/>
        <v>1532520.4795770941</v>
      </c>
      <c r="CD46" s="49">
        <f t="shared" si="54"/>
        <v>55367.03867087017</v>
      </c>
      <c r="CE46" s="47">
        <f t="shared" si="86"/>
        <v>996606.69607566274</v>
      </c>
      <c r="CF46" s="21">
        <f t="shared" si="55"/>
        <v>0.17350648111232075</v>
      </c>
      <c r="CG46" s="21">
        <f t="shared" si="56"/>
        <v>0.17713539258621841</v>
      </c>
      <c r="CH46" s="21">
        <f t="shared" si="57"/>
        <v>0.17447419083869345</v>
      </c>
      <c r="CI46" s="42">
        <f t="shared" si="58"/>
        <v>902.23370178406788</v>
      </c>
      <c r="CJ46" s="42">
        <f t="shared" si="87"/>
        <v>2479.8954962070579</v>
      </c>
      <c r="CK46" s="42">
        <f t="shared" si="59"/>
        <v>74.415572641698674</v>
      </c>
      <c r="CL46" s="43">
        <f t="shared" si="88"/>
        <v>1339.4803075505758</v>
      </c>
      <c r="CM46" s="21">
        <f t="shared" si="60"/>
        <v>1.7248770077813249E-2</v>
      </c>
      <c r="CN46" s="21">
        <f t="shared" si="61"/>
        <v>2.1644157198041396E-2</v>
      </c>
      <c r="CO46" s="41">
        <f t="shared" si="62"/>
        <v>1.8420873309874089E-2</v>
      </c>
      <c r="CP46" s="46">
        <f t="shared" si="63"/>
        <v>89.6936044046289</v>
      </c>
      <c r="CQ46" s="46">
        <f t="shared" si="89"/>
        <v>303.01820077257958</v>
      </c>
      <c r="CR46" s="42">
        <f t="shared" si="64"/>
        <v>8.245134193279636</v>
      </c>
      <c r="CS46" s="43">
        <f t="shared" si="90"/>
        <v>148.41241547903346</v>
      </c>
    </row>
    <row r="47" spans="3:97" ht="15.75" customHeight="1" x14ac:dyDescent="0.25">
      <c r="C47" s="1">
        <v>19</v>
      </c>
      <c r="D47" s="1">
        <f>Scenario_Info!$N$11</f>
        <v>33</v>
      </c>
      <c r="E47" s="1">
        <f>Scenario_Info!$N$12</f>
        <v>12</v>
      </c>
      <c r="F47" s="1">
        <f>Scenario_Info!$N$14/100</f>
        <v>0.77300000000000002</v>
      </c>
      <c r="G47" s="426">
        <f t="shared" si="0"/>
        <v>2.347965595632683E-3</v>
      </c>
      <c r="H47" s="21">
        <f t="shared" si="1"/>
        <v>1.6059725060000518E-3</v>
      </c>
      <c r="I47" s="21">
        <f t="shared" si="2"/>
        <v>2.150100771730648E-3</v>
      </c>
      <c r="J47" s="42">
        <f t="shared" si="3"/>
        <v>12.209421097289951</v>
      </c>
      <c r="K47" s="42">
        <f t="shared" si="65"/>
        <v>22.483615084000729</v>
      </c>
      <c r="L47" s="42">
        <f t="shared" si="4"/>
        <v>0.84089284652322138</v>
      </c>
      <c r="M47" s="43">
        <f t="shared" si="66"/>
        <v>15.976964083941207</v>
      </c>
      <c r="N47" s="426">
        <f t="shared" si="5"/>
        <v>1.810287971507309E-2</v>
      </c>
      <c r="O47" s="21">
        <f t="shared" si="6"/>
        <v>1.8425342775211056E-2</v>
      </c>
      <c r="P47" s="21">
        <f t="shared" si="7"/>
        <v>1.8188869864443215E-2</v>
      </c>
      <c r="Q47" s="42">
        <f t="shared" si="8"/>
        <v>94.134974518380062</v>
      </c>
      <c r="R47" s="42">
        <f t="shared" si="67"/>
        <v>257.95479885295481</v>
      </c>
      <c r="S47" s="42">
        <f t="shared" si="9"/>
        <v>7.7523896816775002</v>
      </c>
      <c r="T47" s="43">
        <f t="shared" si="68"/>
        <v>147.29540395187252</v>
      </c>
      <c r="U47" s="21">
        <f t="shared" si="10"/>
        <v>1.3955828940024489E-3</v>
      </c>
      <c r="V47" s="21">
        <f t="shared" si="11"/>
        <v>1.4260302196779395E-3</v>
      </c>
      <c r="W47" s="21">
        <f t="shared" si="12"/>
        <v>1.4037021808492465E-3</v>
      </c>
      <c r="X47" s="42">
        <f t="shared" si="13"/>
        <v>7.2570310488127348</v>
      </c>
      <c r="Y47" s="42">
        <f t="shared" si="69"/>
        <v>19.964423075491155</v>
      </c>
      <c r="Z47" s="42">
        <f t="shared" si="14"/>
        <v>0.59881887689589264</v>
      </c>
      <c r="AA47" s="43">
        <f t="shared" si="70"/>
        <v>11.377558661021958</v>
      </c>
      <c r="AB47" s="46">
        <f t="shared" si="15"/>
        <v>35.5</v>
      </c>
      <c r="AC47" s="46">
        <f t="shared" si="16"/>
        <v>35.5</v>
      </c>
      <c r="AD47" s="46">
        <f t="shared" si="17"/>
        <v>35.5</v>
      </c>
      <c r="AE47" s="49">
        <f t="shared" si="18"/>
        <v>184600</v>
      </c>
      <c r="AF47" s="49">
        <f t="shared" si="71"/>
        <v>497000.00000000006</v>
      </c>
      <c r="AG47" s="49">
        <f t="shared" si="19"/>
        <v>15069.75</v>
      </c>
      <c r="AH47" s="47">
        <f t="shared" si="72"/>
        <v>286325.25</v>
      </c>
      <c r="AI47" s="41">
        <f t="shared" si="20"/>
        <v>1.5482058261408303E-2</v>
      </c>
      <c r="AJ47" s="41">
        <f t="shared" si="21"/>
        <v>1.1122209244657646E-2</v>
      </c>
      <c r="AK47" s="41">
        <f t="shared" si="22"/>
        <v>1.4319431856941463E-2</v>
      </c>
      <c r="AL47" s="42">
        <f t="shared" si="23"/>
        <v>80.506702959323178</v>
      </c>
      <c r="AM47" s="42">
        <f t="shared" si="73"/>
        <v>155.71092942520707</v>
      </c>
      <c r="AN47" s="49">
        <f t="shared" si="24"/>
        <v>5.6565654384501878</v>
      </c>
      <c r="AO47" s="47">
        <f t="shared" si="74"/>
        <v>107.47474333055357</v>
      </c>
      <c r="AP47" s="41">
        <f t="shared" si="25"/>
        <v>7.3839928729178772E-2</v>
      </c>
      <c r="AQ47" s="41">
        <f t="shared" si="26"/>
        <v>5.8420633797145641E-2</v>
      </c>
      <c r="AR47" s="41">
        <f t="shared" si="27"/>
        <v>6.9728116747303268E-2</v>
      </c>
      <c r="AS47" s="42">
        <f t="shared" si="28"/>
        <v>383.96762939172959</v>
      </c>
      <c r="AT47" s="42">
        <f t="shared" si="75"/>
        <v>817.88887316003911</v>
      </c>
      <c r="AU47" s="42">
        <f t="shared" si="29"/>
        <v>28.106997809809432</v>
      </c>
      <c r="AV47" s="43">
        <f t="shared" si="76"/>
        <v>534.03295838637939</v>
      </c>
      <c r="AW47" s="41">
        <f t="shared" si="30"/>
        <v>2.0674015041863527E-2</v>
      </c>
      <c r="AX47" s="41">
        <f t="shared" si="31"/>
        <v>1.5435275076582617E-2</v>
      </c>
      <c r="AY47" s="41">
        <f t="shared" si="32"/>
        <v>1.9277017717788617E-2</v>
      </c>
      <c r="AZ47" s="42">
        <f t="shared" si="33"/>
        <v>107.50487821769035</v>
      </c>
      <c r="BA47" s="42">
        <f t="shared" si="77"/>
        <v>216.09385107215667</v>
      </c>
      <c r="BB47" s="42">
        <f t="shared" si="34"/>
        <v>7.6759839925620774</v>
      </c>
      <c r="BC47" s="43">
        <f t="shared" si="78"/>
        <v>145.8436958586795</v>
      </c>
      <c r="BD47" s="41">
        <f t="shared" si="35"/>
        <v>0.19227565504287997</v>
      </c>
      <c r="BE47" s="41">
        <f t="shared" si="36"/>
        <v>0.23177026014640598</v>
      </c>
      <c r="BF47" s="41">
        <f t="shared" si="37"/>
        <v>0.20280754973715356</v>
      </c>
      <c r="BG47" s="49">
        <f t="shared" si="38"/>
        <v>999.83340622297578</v>
      </c>
      <c r="BH47" s="49">
        <f t="shared" si="79"/>
        <v>3244.7836420496842</v>
      </c>
      <c r="BI47" s="49">
        <f t="shared" si="39"/>
        <v>89.914882637443</v>
      </c>
      <c r="BJ47" s="47">
        <f t="shared" si="80"/>
        <v>1708.3827701114176</v>
      </c>
      <c r="BK47" s="42">
        <f t="shared" si="40"/>
        <v>2.68</v>
      </c>
      <c r="BL47" s="42">
        <f t="shared" si="41"/>
        <v>2.68</v>
      </c>
      <c r="BM47" s="42">
        <f t="shared" si="42"/>
        <v>2.6800000000000006</v>
      </c>
      <c r="BN47" s="49">
        <f t="shared" si="43"/>
        <v>13936</v>
      </c>
      <c r="BO47" s="49">
        <f t="shared" si="81"/>
        <v>37520.000000000007</v>
      </c>
      <c r="BP47" s="49">
        <f t="shared" si="44"/>
        <v>1137.6600000000001</v>
      </c>
      <c r="BQ47" s="47">
        <f t="shared" si="82"/>
        <v>21615.54</v>
      </c>
      <c r="BR47" s="21">
        <f t="shared" si="45"/>
        <v>1.5599412508095822E-2</v>
      </c>
      <c r="BS47" s="21">
        <f t="shared" si="46"/>
        <v>9.1105618572899193E-3</v>
      </c>
      <c r="BT47" s="21">
        <f t="shared" si="47"/>
        <v>1.3869052334547582E-2</v>
      </c>
      <c r="BU47" s="42">
        <f t="shared" si="48"/>
        <v>81.11694504209828</v>
      </c>
      <c r="BV47" s="42">
        <f t="shared" si="83"/>
        <v>127.54786600205888</v>
      </c>
      <c r="BW47" s="42">
        <f t="shared" si="49"/>
        <v>5.2592919730174374</v>
      </c>
      <c r="BX47" s="43">
        <f t="shared" si="84"/>
        <v>99.926547487331334</v>
      </c>
      <c r="BY47" s="49">
        <f t="shared" si="50"/>
        <v>150.95212809889864</v>
      </c>
      <c r="BZ47" s="49">
        <f t="shared" si="51"/>
        <v>109.46574854122099</v>
      </c>
      <c r="CA47" s="49">
        <f t="shared" si="52"/>
        <v>139.88909355018458</v>
      </c>
      <c r="CB47" s="49">
        <f t="shared" si="53"/>
        <v>784951.06611427292</v>
      </c>
      <c r="CC47" s="49">
        <f t="shared" si="85"/>
        <v>1532520.4795770941</v>
      </c>
      <c r="CD47" s="49">
        <f t="shared" si="54"/>
        <v>55367.03867087017</v>
      </c>
      <c r="CE47" s="47">
        <f t="shared" si="86"/>
        <v>1051973.734746533</v>
      </c>
      <c r="CF47" s="21">
        <f t="shared" si="55"/>
        <v>0.17350648111232075</v>
      </c>
      <c r="CG47" s="21">
        <f t="shared" si="56"/>
        <v>0.17713539258621841</v>
      </c>
      <c r="CH47" s="21">
        <f t="shared" si="57"/>
        <v>0.17447419083869345</v>
      </c>
      <c r="CI47" s="42">
        <f t="shared" si="58"/>
        <v>902.23370178406788</v>
      </c>
      <c r="CJ47" s="42">
        <f t="shared" si="87"/>
        <v>2479.8954962070579</v>
      </c>
      <c r="CK47" s="42">
        <f t="shared" si="59"/>
        <v>74.415572641698674</v>
      </c>
      <c r="CL47" s="43">
        <f t="shared" si="88"/>
        <v>1413.8958801922745</v>
      </c>
      <c r="CM47" s="21">
        <f t="shared" si="60"/>
        <v>1.7248770077813249E-2</v>
      </c>
      <c r="CN47" s="21">
        <f t="shared" si="61"/>
        <v>2.1644157198041396E-2</v>
      </c>
      <c r="CO47" s="41">
        <f t="shared" si="62"/>
        <v>1.8420873309874089E-2</v>
      </c>
      <c r="CP47" s="46">
        <f t="shared" si="63"/>
        <v>89.6936044046289</v>
      </c>
      <c r="CQ47" s="46">
        <f t="shared" si="89"/>
        <v>303.01820077257958</v>
      </c>
      <c r="CR47" s="42">
        <f t="shared" si="64"/>
        <v>8.245134193279636</v>
      </c>
      <c r="CS47" s="43">
        <f t="shared" si="90"/>
        <v>156.65754967231308</v>
      </c>
    </row>
    <row r="48" spans="3:97" ht="15.75" customHeight="1" x14ac:dyDescent="0.25">
      <c r="C48" s="1">
        <v>20</v>
      </c>
      <c r="D48" s="1">
        <f>Scenario_Info!$N$11</f>
        <v>33</v>
      </c>
      <c r="E48" s="1">
        <f>Scenario_Info!$N$12</f>
        <v>12</v>
      </c>
      <c r="F48" s="1">
        <f>Scenario_Info!$N$14/100</f>
        <v>0.77300000000000002</v>
      </c>
      <c r="G48" s="426">
        <f t="shared" si="0"/>
        <v>2.347965595632683E-3</v>
      </c>
      <c r="H48" s="21">
        <f t="shared" si="1"/>
        <v>1.6059725060000518E-3</v>
      </c>
      <c r="I48" s="21">
        <f t="shared" si="2"/>
        <v>2.150100771730648E-3</v>
      </c>
      <c r="J48" s="42">
        <f t="shared" si="3"/>
        <v>12.209421097289951</v>
      </c>
      <c r="K48" s="42">
        <f t="shared" si="65"/>
        <v>22.483615084000729</v>
      </c>
      <c r="L48" s="42">
        <f t="shared" si="4"/>
        <v>0.84089284652322138</v>
      </c>
      <c r="M48" s="43">
        <f t="shared" si="66"/>
        <v>16.817856930464426</v>
      </c>
      <c r="N48" s="426">
        <f t="shared" si="5"/>
        <v>1.810287971507309E-2</v>
      </c>
      <c r="O48" s="21">
        <f t="shared" si="6"/>
        <v>1.8425342775211056E-2</v>
      </c>
      <c r="P48" s="21">
        <f t="shared" si="7"/>
        <v>1.8188869864443215E-2</v>
      </c>
      <c r="Q48" s="42">
        <f t="shared" si="8"/>
        <v>94.134974518380062</v>
      </c>
      <c r="R48" s="42">
        <f t="shared" si="67"/>
        <v>257.95479885295481</v>
      </c>
      <c r="S48" s="42">
        <f t="shared" si="9"/>
        <v>7.7523896816775002</v>
      </c>
      <c r="T48" s="43">
        <f t="shared" si="68"/>
        <v>155.04779363355001</v>
      </c>
      <c r="U48" s="21">
        <f t="shared" si="10"/>
        <v>1.3955828940024489E-3</v>
      </c>
      <c r="V48" s="21">
        <f t="shared" si="11"/>
        <v>1.4260302196779395E-3</v>
      </c>
      <c r="W48" s="21">
        <f t="shared" si="12"/>
        <v>1.4037021808492465E-3</v>
      </c>
      <c r="X48" s="42">
        <f t="shared" si="13"/>
        <v>7.2570310488127348</v>
      </c>
      <c r="Y48" s="42">
        <f t="shared" si="69"/>
        <v>19.964423075491155</v>
      </c>
      <c r="Z48" s="42">
        <f t="shared" si="14"/>
        <v>0.59881887689589264</v>
      </c>
      <c r="AA48" s="43">
        <f t="shared" si="70"/>
        <v>11.97637753791785</v>
      </c>
      <c r="AB48" s="46">
        <f t="shared" si="15"/>
        <v>35.5</v>
      </c>
      <c r="AC48" s="46">
        <f t="shared" si="16"/>
        <v>35.5</v>
      </c>
      <c r="AD48" s="46">
        <f t="shared" si="17"/>
        <v>35.5</v>
      </c>
      <c r="AE48" s="49">
        <f t="shared" si="18"/>
        <v>184600</v>
      </c>
      <c r="AF48" s="49">
        <f t="shared" si="71"/>
        <v>497000.00000000006</v>
      </c>
      <c r="AG48" s="49">
        <f t="shared" si="19"/>
        <v>15069.75</v>
      </c>
      <c r="AH48" s="47">
        <f t="shared" si="72"/>
        <v>301395</v>
      </c>
      <c r="AI48" s="41">
        <f t="shared" si="20"/>
        <v>1.5482058261408303E-2</v>
      </c>
      <c r="AJ48" s="41">
        <f t="shared" si="21"/>
        <v>1.1122209244657646E-2</v>
      </c>
      <c r="AK48" s="41">
        <f t="shared" si="22"/>
        <v>1.4319431856941463E-2</v>
      </c>
      <c r="AL48" s="42">
        <f t="shared" si="23"/>
        <v>80.506702959323178</v>
      </c>
      <c r="AM48" s="42">
        <f t="shared" si="73"/>
        <v>155.71092942520707</v>
      </c>
      <c r="AN48" s="49">
        <f t="shared" si="24"/>
        <v>5.6565654384501878</v>
      </c>
      <c r="AO48" s="47">
        <f t="shared" si="74"/>
        <v>113.13130876900375</v>
      </c>
      <c r="AP48" s="41">
        <f t="shared" si="25"/>
        <v>7.3839928729178772E-2</v>
      </c>
      <c r="AQ48" s="41">
        <f t="shared" si="26"/>
        <v>5.8420633797145641E-2</v>
      </c>
      <c r="AR48" s="41">
        <f t="shared" si="27"/>
        <v>6.9728116747303268E-2</v>
      </c>
      <c r="AS48" s="42">
        <f t="shared" si="28"/>
        <v>383.96762939172959</v>
      </c>
      <c r="AT48" s="42">
        <f t="shared" si="75"/>
        <v>817.88887316003911</v>
      </c>
      <c r="AU48" s="42">
        <f t="shared" si="29"/>
        <v>28.106997809809432</v>
      </c>
      <c r="AV48" s="43">
        <f t="shared" si="76"/>
        <v>562.13995619618879</v>
      </c>
      <c r="AW48" s="41">
        <f t="shared" si="30"/>
        <v>2.0674015041863527E-2</v>
      </c>
      <c r="AX48" s="41">
        <f t="shared" si="31"/>
        <v>1.5435275076582617E-2</v>
      </c>
      <c r="AY48" s="41">
        <f t="shared" si="32"/>
        <v>1.9277017717788617E-2</v>
      </c>
      <c r="AZ48" s="42">
        <f t="shared" si="33"/>
        <v>107.50487821769035</v>
      </c>
      <c r="BA48" s="42">
        <f t="shared" si="77"/>
        <v>216.09385107215667</v>
      </c>
      <c r="BB48" s="42">
        <f t="shared" si="34"/>
        <v>7.6759839925620774</v>
      </c>
      <c r="BC48" s="43">
        <f t="shared" si="78"/>
        <v>153.51967985124156</v>
      </c>
      <c r="BD48" s="41">
        <f t="shared" si="35"/>
        <v>0.19227565504287997</v>
      </c>
      <c r="BE48" s="41">
        <f t="shared" si="36"/>
        <v>0.23177026014640598</v>
      </c>
      <c r="BF48" s="41">
        <f t="shared" si="37"/>
        <v>0.20280754973715356</v>
      </c>
      <c r="BG48" s="49">
        <f t="shared" si="38"/>
        <v>999.83340622297578</v>
      </c>
      <c r="BH48" s="49">
        <f t="shared" si="79"/>
        <v>3244.7836420496842</v>
      </c>
      <c r="BI48" s="49">
        <f t="shared" si="39"/>
        <v>89.914882637443</v>
      </c>
      <c r="BJ48" s="47">
        <f t="shared" si="80"/>
        <v>1798.2976527488606</v>
      </c>
      <c r="BK48" s="42">
        <f t="shared" si="40"/>
        <v>2.68</v>
      </c>
      <c r="BL48" s="42">
        <f t="shared" si="41"/>
        <v>2.68</v>
      </c>
      <c r="BM48" s="42">
        <f t="shared" si="42"/>
        <v>2.6800000000000006</v>
      </c>
      <c r="BN48" s="49">
        <f t="shared" si="43"/>
        <v>13936</v>
      </c>
      <c r="BO48" s="49">
        <f t="shared" si="81"/>
        <v>37520.000000000007</v>
      </c>
      <c r="BP48" s="49">
        <f t="shared" si="44"/>
        <v>1137.6600000000001</v>
      </c>
      <c r="BQ48" s="47">
        <f t="shared" si="82"/>
        <v>22753.200000000001</v>
      </c>
      <c r="BR48" s="21">
        <f t="shared" si="45"/>
        <v>1.5599412508095822E-2</v>
      </c>
      <c r="BS48" s="21">
        <f t="shared" si="46"/>
        <v>9.1105618572899193E-3</v>
      </c>
      <c r="BT48" s="21">
        <f t="shared" si="47"/>
        <v>1.3869052334547582E-2</v>
      </c>
      <c r="BU48" s="42">
        <f t="shared" si="48"/>
        <v>81.11694504209828</v>
      </c>
      <c r="BV48" s="42">
        <f t="shared" si="83"/>
        <v>127.54786600205888</v>
      </c>
      <c r="BW48" s="42">
        <f t="shared" si="49"/>
        <v>5.2592919730174374</v>
      </c>
      <c r="BX48" s="43">
        <f t="shared" si="84"/>
        <v>105.18583946034877</v>
      </c>
      <c r="BY48" s="49">
        <f t="shared" si="50"/>
        <v>150.95212809889864</v>
      </c>
      <c r="BZ48" s="49">
        <f t="shared" si="51"/>
        <v>109.46574854122099</v>
      </c>
      <c r="CA48" s="49">
        <f t="shared" si="52"/>
        <v>139.88909355018458</v>
      </c>
      <c r="CB48" s="49">
        <f t="shared" si="53"/>
        <v>784951.06611427292</v>
      </c>
      <c r="CC48" s="49">
        <f t="shared" si="85"/>
        <v>1532520.4795770941</v>
      </c>
      <c r="CD48" s="49">
        <f t="shared" si="54"/>
        <v>55367.03867087017</v>
      </c>
      <c r="CE48" s="47">
        <f t="shared" si="86"/>
        <v>1107340.7734174032</v>
      </c>
      <c r="CF48" s="21">
        <f t="shared" si="55"/>
        <v>0.17350648111232075</v>
      </c>
      <c r="CG48" s="21">
        <f t="shared" si="56"/>
        <v>0.17713539258621841</v>
      </c>
      <c r="CH48" s="21">
        <f t="shared" si="57"/>
        <v>0.17447419083869345</v>
      </c>
      <c r="CI48" s="42">
        <f t="shared" si="58"/>
        <v>902.23370178406788</v>
      </c>
      <c r="CJ48" s="42">
        <f t="shared" si="87"/>
        <v>2479.8954962070579</v>
      </c>
      <c r="CK48" s="42">
        <f t="shared" si="59"/>
        <v>74.415572641698674</v>
      </c>
      <c r="CL48" s="43">
        <f t="shared" si="88"/>
        <v>1488.3114528339731</v>
      </c>
      <c r="CM48" s="21">
        <f t="shared" si="60"/>
        <v>1.7248770077813249E-2</v>
      </c>
      <c r="CN48" s="21">
        <f t="shared" si="61"/>
        <v>2.1644157198041396E-2</v>
      </c>
      <c r="CO48" s="41">
        <f t="shared" si="62"/>
        <v>1.8420873309874089E-2</v>
      </c>
      <c r="CP48" s="46">
        <f t="shared" si="63"/>
        <v>89.6936044046289</v>
      </c>
      <c r="CQ48" s="46">
        <f t="shared" si="89"/>
        <v>303.01820077257958</v>
      </c>
      <c r="CR48" s="42">
        <f t="shared" si="64"/>
        <v>8.245134193279636</v>
      </c>
      <c r="CS48" s="43">
        <f t="shared" si="90"/>
        <v>164.90268386559271</v>
      </c>
    </row>
    <row r="49" spans="1:97" ht="15.75" customHeight="1" x14ac:dyDescent="0.25">
      <c r="C49" s="1">
        <v>21</v>
      </c>
      <c r="D49" s="1">
        <f>Scenario_Info!$N$11</f>
        <v>33</v>
      </c>
      <c r="E49" s="1">
        <f>Scenario_Info!$N$12</f>
        <v>12</v>
      </c>
      <c r="F49" s="1">
        <f>Scenario_Info!$N$14/100</f>
        <v>0.77300000000000002</v>
      </c>
      <c r="G49" s="426">
        <f t="shared" si="0"/>
        <v>2.347965595632683E-3</v>
      </c>
      <c r="H49" s="21">
        <f t="shared" si="1"/>
        <v>1.6059725060000518E-3</v>
      </c>
      <c r="I49" s="21">
        <f t="shared" si="2"/>
        <v>2.150100771730648E-3</v>
      </c>
      <c r="J49" s="42">
        <f t="shared" si="3"/>
        <v>12.209421097289951</v>
      </c>
      <c r="K49" s="42">
        <f t="shared" si="65"/>
        <v>22.483615084000729</v>
      </c>
      <c r="L49" s="42">
        <f t="shared" si="4"/>
        <v>0.84089284652322138</v>
      </c>
      <c r="M49" s="43">
        <f t="shared" si="66"/>
        <v>17.658749776987648</v>
      </c>
      <c r="N49" s="426">
        <f t="shared" si="5"/>
        <v>1.810287971507309E-2</v>
      </c>
      <c r="O49" s="21">
        <f t="shared" si="6"/>
        <v>1.8425342775211056E-2</v>
      </c>
      <c r="P49" s="21">
        <f t="shared" si="7"/>
        <v>1.8188869864443215E-2</v>
      </c>
      <c r="Q49" s="42">
        <f t="shared" si="8"/>
        <v>94.134974518380062</v>
      </c>
      <c r="R49" s="42">
        <f t="shared" si="67"/>
        <v>257.95479885295481</v>
      </c>
      <c r="S49" s="42">
        <f t="shared" si="9"/>
        <v>7.7523896816775002</v>
      </c>
      <c r="T49" s="43">
        <f t="shared" si="68"/>
        <v>162.80018331522751</v>
      </c>
      <c r="U49" s="21">
        <f t="shared" si="10"/>
        <v>1.3955828940024489E-3</v>
      </c>
      <c r="V49" s="21">
        <f t="shared" si="11"/>
        <v>1.4260302196779395E-3</v>
      </c>
      <c r="W49" s="21">
        <f t="shared" si="12"/>
        <v>1.4037021808492465E-3</v>
      </c>
      <c r="X49" s="42">
        <f t="shared" si="13"/>
        <v>7.2570310488127348</v>
      </c>
      <c r="Y49" s="42">
        <f t="shared" si="69"/>
        <v>19.964423075491155</v>
      </c>
      <c r="Z49" s="42">
        <f t="shared" si="14"/>
        <v>0.59881887689589264</v>
      </c>
      <c r="AA49" s="43">
        <f t="shared" si="70"/>
        <v>12.575196414813743</v>
      </c>
      <c r="AB49" s="46">
        <f t="shared" si="15"/>
        <v>35.5</v>
      </c>
      <c r="AC49" s="46">
        <f t="shared" si="16"/>
        <v>35.5</v>
      </c>
      <c r="AD49" s="46">
        <f t="shared" si="17"/>
        <v>35.5</v>
      </c>
      <c r="AE49" s="49">
        <f t="shared" si="18"/>
        <v>184600</v>
      </c>
      <c r="AF49" s="49">
        <f t="shared" si="71"/>
        <v>497000.00000000006</v>
      </c>
      <c r="AG49" s="49">
        <f t="shared" si="19"/>
        <v>15069.75</v>
      </c>
      <c r="AH49" s="47">
        <f t="shared" si="72"/>
        <v>316464.75</v>
      </c>
      <c r="AI49" s="41">
        <f t="shared" si="20"/>
        <v>1.5482058261408303E-2</v>
      </c>
      <c r="AJ49" s="41">
        <f t="shared" si="21"/>
        <v>1.1122209244657646E-2</v>
      </c>
      <c r="AK49" s="41">
        <f t="shared" si="22"/>
        <v>1.4319431856941463E-2</v>
      </c>
      <c r="AL49" s="42">
        <f t="shared" si="23"/>
        <v>80.506702959323178</v>
      </c>
      <c r="AM49" s="42">
        <f t="shared" si="73"/>
        <v>155.71092942520707</v>
      </c>
      <c r="AN49" s="49">
        <f t="shared" si="24"/>
        <v>5.6565654384501878</v>
      </c>
      <c r="AO49" s="47">
        <f t="shared" si="74"/>
        <v>118.78787420745394</v>
      </c>
      <c r="AP49" s="41">
        <f t="shared" si="25"/>
        <v>7.3839928729178772E-2</v>
      </c>
      <c r="AQ49" s="41">
        <f t="shared" si="26"/>
        <v>5.8420633797145641E-2</v>
      </c>
      <c r="AR49" s="41">
        <f t="shared" si="27"/>
        <v>6.9728116747303268E-2</v>
      </c>
      <c r="AS49" s="42">
        <f t="shared" si="28"/>
        <v>383.96762939172959</v>
      </c>
      <c r="AT49" s="42">
        <f t="shared" si="75"/>
        <v>817.88887316003911</v>
      </c>
      <c r="AU49" s="42">
        <f t="shared" si="29"/>
        <v>28.106997809809432</v>
      </c>
      <c r="AV49" s="43">
        <f t="shared" si="76"/>
        <v>590.24695400599819</v>
      </c>
      <c r="AW49" s="41">
        <f t="shared" si="30"/>
        <v>2.0674015041863527E-2</v>
      </c>
      <c r="AX49" s="41">
        <f t="shared" si="31"/>
        <v>1.5435275076582617E-2</v>
      </c>
      <c r="AY49" s="41">
        <f t="shared" si="32"/>
        <v>1.9277017717788617E-2</v>
      </c>
      <c r="AZ49" s="42">
        <f t="shared" si="33"/>
        <v>107.50487821769035</v>
      </c>
      <c r="BA49" s="42">
        <f t="shared" si="77"/>
        <v>216.09385107215667</v>
      </c>
      <c r="BB49" s="42">
        <f t="shared" si="34"/>
        <v>7.6759839925620774</v>
      </c>
      <c r="BC49" s="43">
        <f t="shared" si="78"/>
        <v>161.19566384380363</v>
      </c>
      <c r="BD49" s="41">
        <f t="shared" si="35"/>
        <v>0.19227565504287997</v>
      </c>
      <c r="BE49" s="41">
        <f t="shared" si="36"/>
        <v>0.23177026014640598</v>
      </c>
      <c r="BF49" s="41">
        <f t="shared" si="37"/>
        <v>0.20280754973715356</v>
      </c>
      <c r="BG49" s="49">
        <f t="shared" si="38"/>
        <v>999.83340622297578</v>
      </c>
      <c r="BH49" s="49">
        <f t="shared" si="79"/>
        <v>3244.7836420496842</v>
      </c>
      <c r="BI49" s="49">
        <f t="shared" si="39"/>
        <v>89.914882637443</v>
      </c>
      <c r="BJ49" s="47">
        <f t="shared" si="80"/>
        <v>1888.2125353863037</v>
      </c>
      <c r="BK49" s="42">
        <f t="shared" si="40"/>
        <v>2.68</v>
      </c>
      <c r="BL49" s="42">
        <f t="shared" si="41"/>
        <v>2.68</v>
      </c>
      <c r="BM49" s="42">
        <f t="shared" si="42"/>
        <v>2.6800000000000006</v>
      </c>
      <c r="BN49" s="49">
        <f t="shared" si="43"/>
        <v>13936</v>
      </c>
      <c r="BO49" s="49">
        <f t="shared" si="81"/>
        <v>37520.000000000007</v>
      </c>
      <c r="BP49" s="49">
        <f t="shared" si="44"/>
        <v>1137.6600000000001</v>
      </c>
      <c r="BQ49" s="47">
        <f t="shared" si="82"/>
        <v>23890.86</v>
      </c>
      <c r="BR49" s="21">
        <f t="shared" si="45"/>
        <v>1.5599412508095822E-2</v>
      </c>
      <c r="BS49" s="21">
        <f t="shared" si="46"/>
        <v>9.1105618572899193E-3</v>
      </c>
      <c r="BT49" s="21">
        <f t="shared" si="47"/>
        <v>1.3869052334547582E-2</v>
      </c>
      <c r="BU49" s="42">
        <f t="shared" si="48"/>
        <v>81.11694504209828</v>
      </c>
      <c r="BV49" s="42">
        <f t="shared" si="83"/>
        <v>127.54786600205888</v>
      </c>
      <c r="BW49" s="42">
        <f t="shared" si="49"/>
        <v>5.2592919730174374</v>
      </c>
      <c r="BX49" s="43">
        <f t="shared" si="84"/>
        <v>110.44513143336621</v>
      </c>
      <c r="BY49" s="49">
        <f t="shared" si="50"/>
        <v>150.95212809889864</v>
      </c>
      <c r="BZ49" s="49">
        <f t="shared" si="51"/>
        <v>109.46574854122099</v>
      </c>
      <c r="CA49" s="49">
        <f t="shared" si="52"/>
        <v>139.88909355018458</v>
      </c>
      <c r="CB49" s="49">
        <f t="shared" si="53"/>
        <v>784951.06611427292</v>
      </c>
      <c r="CC49" s="49">
        <f t="shared" si="85"/>
        <v>1532520.4795770941</v>
      </c>
      <c r="CD49" s="49">
        <f t="shared" si="54"/>
        <v>55367.03867087017</v>
      </c>
      <c r="CE49" s="47">
        <f t="shared" si="86"/>
        <v>1162707.8120882735</v>
      </c>
      <c r="CF49" s="21">
        <f t="shared" si="55"/>
        <v>0.17350648111232075</v>
      </c>
      <c r="CG49" s="21">
        <f t="shared" si="56"/>
        <v>0.17713539258621841</v>
      </c>
      <c r="CH49" s="21">
        <f t="shared" si="57"/>
        <v>0.17447419083869345</v>
      </c>
      <c r="CI49" s="42">
        <f t="shared" si="58"/>
        <v>902.23370178406788</v>
      </c>
      <c r="CJ49" s="42">
        <f t="shared" si="87"/>
        <v>2479.8954962070579</v>
      </c>
      <c r="CK49" s="42">
        <f t="shared" si="59"/>
        <v>74.415572641698674</v>
      </c>
      <c r="CL49" s="43">
        <f t="shared" si="88"/>
        <v>1562.7270254756718</v>
      </c>
      <c r="CM49" s="21">
        <f t="shared" si="60"/>
        <v>1.7248770077813249E-2</v>
      </c>
      <c r="CN49" s="21">
        <f t="shared" si="61"/>
        <v>2.1644157198041396E-2</v>
      </c>
      <c r="CO49" s="41">
        <f t="shared" si="62"/>
        <v>1.8420873309874089E-2</v>
      </c>
      <c r="CP49" s="46">
        <f t="shared" si="63"/>
        <v>89.6936044046289</v>
      </c>
      <c r="CQ49" s="46">
        <f t="shared" si="89"/>
        <v>303.01820077257958</v>
      </c>
      <c r="CR49" s="42">
        <f t="shared" si="64"/>
        <v>8.245134193279636</v>
      </c>
      <c r="CS49" s="43">
        <f t="shared" si="90"/>
        <v>173.14781805887233</v>
      </c>
    </row>
    <row r="50" spans="1:97" ht="15.75" customHeight="1" x14ac:dyDescent="0.25">
      <c r="C50" s="1">
        <v>22</v>
      </c>
      <c r="D50" s="1">
        <f>Scenario_Info!$N$11</f>
        <v>33</v>
      </c>
      <c r="E50" s="1">
        <f>Scenario_Info!$N$12</f>
        <v>12</v>
      </c>
      <c r="F50" s="1">
        <f>Scenario_Info!$N$14/100</f>
        <v>0.77300000000000002</v>
      </c>
      <c r="G50" s="426">
        <f t="shared" si="0"/>
        <v>2.347965595632683E-3</v>
      </c>
      <c r="H50" s="21">
        <f t="shared" si="1"/>
        <v>1.6059725060000518E-3</v>
      </c>
      <c r="I50" s="21">
        <f t="shared" si="2"/>
        <v>2.150100771730648E-3</v>
      </c>
      <c r="J50" s="42">
        <f t="shared" si="3"/>
        <v>12.209421097289951</v>
      </c>
      <c r="K50" s="42">
        <f t="shared" si="65"/>
        <v>22.483615084000729</v>
      </c>
      <c r="L50" s="42">
        <f t="shared" si="4"/>
        <v>0.84089284652322138</v>
      </c>
      <c r="M50" s="43">
        <f t="shared" si="66"/>
        <v>18.499642623510869</v>
      </c>
      <c r="N50" s="426">
        <f t="shared" si="5"/>
        <v>1.810287971507309E-2</v>
      </c>
      <c r="O50" s="21">
        <f t="shared" si="6"/>
        <v>1.8425342775211056E-2</v>
      </c>
      <c r="P50" s="21">
        <f t="shared" si="7"/>
        <v>1.8188869864443215E-2</v>
      </c>
      <c r="Q50" s="42">
        <f t="shared" si="8"/>
        <v>94.134974518380062</v>
      </c>
      <c r="R50" s="42">
        <f t="shared" si="67"/>
        <v>257.95479885295481</v>
      </c>
      <c r="S50" s="42">
        <f t="shared" si="9"/>
        <v>7.7523896816775002</v>
      </c>
      <c r="T50" s="43">
        <f t="shared" si="68"/>
        <v>170.55257299690501</v>
      </c>
      <c r="U50" s="21">
        <f t="shared" si="10"/>
        <v>1.3955828940024489E-3</v>
      </c>
      <c r="V50" s="21">
        <f t="shared" si="11"/>
        <v>1.4260302196779395E-3</v>
      </c>
      <c r="W50" s="21">
        <f t="shared" si="12"/>
        <v>1.4037021808492465E-3</v>
      </c>
      <c r="X50" s="42">
        <f t="shared" si="13"/>
        <v>7.2570310488127348</v>
      </c>
      <c r="Y50" s="42">
        <f t="shared" si="69"/>
        <v>19.964423075491155</v>
      </c>
      <c r="Z50" s="42">
        <f t="shared" si="14"/>
        <v>0.59881887689589264</v>
      </c>
      <c r="AA50" s="43">
        <f t="shared" si="70"/>
        <v>13.174015291709635</v>
      </c>
      <c r="AB50" s="46">
        <f t="shared" si="15"/>
        <v>35.5</v>
      </c>
      <c r="AC50" s="46">
        <f t="shared" si="16"/>
        <v>35.5</v>
      </c>
      <c r="AD50" s="46">
        <f t="shared" si="17"/>
        <v>35.5</v>
      </c>
      <c r="AE50" s="49">
        <f t="shared" si="18"/>
        <v>184600</v>
      </c>
      <c r="AF50" s="49">
        <f t="shared" si="71"/>
        <v>497000.00000000006</v>
      </c>
      <c r="AG50" s="49">
        <f t="shared" si="19"/>
        <v>15069.75</v>
      </c>
      <c r="AH50" s="47">
        <f t="shared" si="72"/>
        <v>331534.5</v>
      </c>
      <c r="AI50" s="41">
        <f t="shared" si="20"/>
        <v>1.5482058261408303E-2</v>
      </c>
      <c r="AJ50" s="41">
        <f t="shared" si="21"/>
        <v>1.1122209244657646E-2</v>
      </c>
      <c r="AK50" s="41">
        <f t="shared" si="22"/>
        <v>1.4319431856941463E-2</v>
      </c>
      <c r="AL50" s="42">
        <f t="shared" si="23"/>
        <v>80.506702959323178</v>
      </c>
      <c r="AM50" s="42">
        <f t="shared" si="73"/>
        <v>155.71092942520707</v>
      </c>
      <c r="AN50" s="49">
        <f t="shared" si="24"/>
        <v>5.6565654384501878</v>
      </c>
      <c r="AO50" s="47">
        <f t="shared" si="74"/>
        <v>124.44443964590413</v>
      </c>
      <c r="AP50" s="41">
        <f t="shared" si="25"/>
        <v>7.3839928729178772E-2</v>
      </c>
      <c r="AQ50" s="41">
        <f t="shared" si="26"/>
        <v>5.8420633797145641E-2</v>
      </c>
      <c r="AR50" s="41">
        <f t="shared" si="27"/>
        <v>6.9728116747303268E-2</v>
      </c>
      <c r="AS50" s="42">
        <f t="shared" si="28"/>
        <v>383.96762939172959</v>
      </c>
      <c r="AT50" s="42">
        <f t="shared" si="75"/>
        <v>817.88887316003911</v>
      </c>
      <c r="AU50" s="42">
        <f t="shared" si="29"/>
        <v>28.106997809809432</v>
      </c>
      <c r="AV50" s="43">
        <f t="shared" si="76"/>
        <v>618.35395181580759</v>
      </c>
      <c r="AW50" s="41">
        <f t="shared" si="30"/>
        <v>2.0674015041863527E-2</v>
      </c>
      <c r="AX50" s="41">
        <f t="shared" si="31"/>
        <v>1.5435275076582617E-2</v>
      </c>
      <c r="AY50" s="41">
        <f t="shared" si="32"/>
        <v>1.9277017717788617E-2</v>
      </c>
      <c r="AZ50" s="42">
        <f t="shared" si="33"/>
        <v>107.50487821769035</v>
      </c>
      <c r="BA50" s="42">
        <f t="shared" si="77"/>
        <v>216.09385107215667</v>
      </c>
      <c r="BB50" s="42">
        <f t="shared" si="34"/>
        <v>7.6759839925620774</v>
      </c>
      <c r="BC50" s="43">
        <f t="shared" si="78"/>
        <v>168.8716478363657</v>
      </c>
      <c r="BD50" s="41">
        <f t="shared" si="35"/>
        <v>0.19227565504287997</v>
      </c>
      <c r="BE50" s="41">
        <f t="shared" si="36"/>
        <v>0.23177026014640598</v>
      </c>
      <c r="BF50" s="41">
        <f t="shared" si="37"/>
        <v>0.20280754973715356</v>
      </c>
      <c r="BG50" s="49">
        <f t="shared" si="38"/>
        <v>999.83340622297578</v>
      </c>
      <c r="BH50" s="49">
        <f t="shared" si="79"/>
        <v>3244.7836420496842</v>
      </c>
      <c r="BI50" s="49">
        <f t="shared" si="39"/>
        <v>89.914882637443</v>
      </c>
      <c r="BJ50" s="47">
        <f t="shared" si="80"/>
        <v>1978.1274180237467</v>
      </c>
      <c r="BK50" s="42">
        <f t="shared" si="40"/>
        <v>2.68</v>
      </c>
      <c r="BL50" s="42">
        <f t="shared" si="41"/>
        <v>2.68</v>
      </c>
      <c r="BM50" s="42">
        <f t="shared" si="42"/>
        <v>2.6800000000000006</v>
      </c>
      <c r="BN50" s="49">
        <f t="shared" si="43"/>
        <v>13936</v>
      </c>
      <c r="BO50" s="49">
        <f t="shared" si="81"/>
        <v>37520.000000000007</v>
      </c>
      <c r="BP50" s="49">
        <f t="shared" si="44"/>
        <v>1137.6600000000001</v>
      </c>
      <c r="BQ50" s="47">
        <f t="shared" si="82"/>
        <v>25028.52</v>
      </c>
      <c r="BR50" s="21">
        <f t="shared" si="45"/>
        <v>1.5599412508095822E-2</v>
      </c>
      <c r="BS50" s="21">
        <f t="shared" si="46"/>
        <v>9.1105618572899193E-3</v>
      </c>
      <c r="BT50" s="21">
        <f t="shared" si="47"/>
        <v>1.3869052334547582E-2</v>
      </c>
      <c r="BU50" s="42">
        <f t="shared" si="48"/>
        <v>81.11694504209828</v>
      </c>
      <c r="BV50" s="42">
        <f t="shared" si="83"/>
        <v>127.54786600205888</v>
      </c>
      <c r="BW50" s="42">
        <f t="shared" si="49"/>
        <v>5.2592919730174374</v>
      </c>
      <c r="BX50" s="43">
        <f t="shared" si="84"/>
        <v>115.70442340638365</v>
      </c>
      <c r="BY50" s="49">
        <f t="shared" si="50"/>
        <v>150.95212809889864</v>
      </c>
      <c r="BZ50" s="49">
        <f t="shared" si="51"/>
        <v>109.46574854122099</v>
      </c>
      <c r="CA50" s="49">
        <f t="shared" si="52"/>
        <v>139.88909355018458</v>
      </c>
      <c r="CB50" s="49">
        <f t="shared" si="53"/>
        <v>784951.06611427292</v>
      </c>
      <c r="CC50" s="49">
        <f t="shared" si="85"/>
        <v>1532520.4795770941</v>
      </c>
      <c r="CD50" s="49">
        <f t="shared" si="54"/>
        <v>55367.03867087017</v>
      </c>
      <c r="CE50" s="47">
        <f t="shared" si="86"/>
        <v>1218074.8507591437</v>
      </c>
      <c r="CF50" s="21">
        <f t="shared" si="55"/>
        <v>0.17350648111232075</v>
      </c>
      <c r="CG50" s="21">
        <f t="shared" si="56"/>
        <v>0.17713539258621841</v>
      </c>
      <c r="CH50" s="21">
        <f t="shared" si="57"/>
        <v>0.17447419083869345</v>
      </c>
      <c r="CI50" s="42">
        <f t="shared" si="58"/>
        <v>902.23370178406788</v>
      </c>
      <c r="CJ50" s="42">
        <f t="shared" si="87"/>
        <v>2479.8954962070579</v>
      </c>
      <c r="CK50" s="42">
        <f t="shared" si="59"/>
        <v>74.415572641698674</v>
      </c>
      <c r="CL50" s="43">
        <f t="shared" si="88"/>
        <v>1637.1425981173704</v>
      </c>
      <c r="CM50" s="21">
        <f t="shared" si="60"/>
        <v>1.7248770077813249E-2</v>
      </c>
      <c r="CN50" s="21">
        <f t="shared" si="61"/>
        <v>2.1644157198041396E-2</v>
      </c>
      <c r="CO50" s="41">
        <f t="shared" si="62"/>
        <v>1.8420873309874089E-2</v>
      </c>
      <c r="CP50" s="46">
        <f t="shared" si="63"/>
        <v>89.6936044046289</v>
      </c>
      <c r="CQ50" s="46">
        <f t="shared" si="89"/>
        <v>303.01820077257958</v>
      </c>
      <c r="CR50" s="42">
        <f t="shared" si="64"/>
        <v>8.245134193279636</v>
      </c>
      <c r="CS50" s="43">
        <f t="shared" si="90"/>
        <v>181.39295225215196</v>
      </c>
    </row>
    <row r="51" spans="1:97" ht="15.75" customHeight="1" x14ac:dyDescent="0.25">
      <c r="C51" s="1">
        <v>23</v>
      </c>
      <c r="D51" s="1">
        <f>Scenario_Info!$N$11</f>
        <v>33</v>
      </c>
      <c r="E51" s="1">
        <f>Scenario_Info!$N$12</f>
        <v>12</v>
      </c>
      <c r="F51" s="1">
        <f>Scenario_Info!$N$14/100</f>
        <v>0.77300000000000002</v>
      </c>
      <c r="G51" s="426">
        <f t="shared" si="0"/>
        <v>2.347965595632683E-3</v>
      </c>
      <c r="H51" s="21">
        <f t="shared" si="1"/>
        <v>1.6059725060000518E-3</v>
      </c>
      <c r="I51" s="21">
        <f t="shared" si="2"/>
        <v>2.150100771730648E-3</v>
      </c>
      <c r="J51" s="42">
        <f t="shared" si="3"/>
        <v>12.209421097289951</v>
      </c>
      <c r="K51" s="42">
        <f t="shared" si="65"/>
        <v>22.483615084000729</v>
      </c>
      <c r="L51" s="42">
        <f t="shared" si="4"/>
        <v>0.84089284652322138</v>
      </c>
      <c r="M51" s="43">
        <f t="shared" si="66"/>
        <v>19.340535470034091</v>
      </c>
      <c r="N51" s="426">
        <f t="shared" si="5"/>
        <v>1.810287971507309E-2</v>
      </c>
      <c r="O51" s="21">
        <f t="shared" si="6"/>
        <v>1.8425342775211056E-2</v>
      </c>
      <c r="P51" s="21">
        <f t="shared" si="7"/>
        <v>1.8188869864443215E-2</v>
      </c>
      <c r="Q51" s="42">
        <f t="shared" si="8"/>
        <v>94.134974518380062</v>
      </c>
      <c r="R51" s="42">
        <f t="shared" si="67"/>
        <v>257.95479885295481</v>
      </c>
      <c r="S51" s="42">
        <f t="shared" si="9"/>
        <v>7.7523896816775002</v>
      </c>
      <c r="T51" s="43">
        <f t="shared" si="68"/>
        <v>178.30496267858251</v>
      </c>
      <c r="U51" s="21">
        <f t="shared" si="10"/>
        <v>1.3955828940024489E-3</v>
      </c>
      <c r="V51" s="21">
        <f t="shared" si="11"/>
        <v>1.4260302196779395E-3</v>
      </c>
      <c r="W51" s="21">
        <f t="shared" si="12"/>
        <v>1.4037021808492465E-3</v>
      </c>
      <c r="X51" s="42">
        <f t="shared" si="13"/>
        <v>7.2570310488127348</v>
      </c>
      <c r="Y51" s="42">
        <f t="shared" si="69"/>
        <v>19.964423075491155</v>
      </c>
      <c r="Z51" s="42">
        <f t="shared" si="14"/>
        <v>0.59881887689589264</v>
      </c>
      <c r="AA51" s="43">
        <f t="shared" si="70"/>
        <v>13.772834168605527</v>
      </c>
      <c r="AB51" s="46">
        <f t="shared" si="15"/>
        <v>35.5</v>
      </c>
      <c r="AC51" s="46">
        <f t="shared" si="16"/>
        <v>35.5</v>
      </c>
      <c r="AD51" s="46">
        <f t="shared" si="17"/>
        <v>35.5</v>
      </c>
      <c r="AE51" s="49">
        <f t="shared" si="18"/>
        <v>184600</v>
      </c>
      <c r="AF51" s="49">
        <f t="shared" si="71"/>
        <v>497000.00000000006</v>
      </c>
      <c r="AG51" s="49">
        <f t="shared" si="19"/>
        <v>15069.75</v>
      </c>
      <c r="AH51" s="47">
        <f t="shared" si="72"/>
        <v>346604.25</v>
      </c>
      <c r="AI51" s="41">
        <f t="shared" si="20"/>
        <v>1.5482058261408303E-2</v>
      </c>
      <c r="AJ51" s="41">
        <f t="shared" si="21"/>
        <v>1.1122209244657646E-2</v>
      </c>
      <c r="AK51" s="41">
        <f t="shared" si="22"/>
        <v>1.4319431856941463E-2</v>
      </c>
      <c r="AL51" s="42">
        <f t="shared" si="23"/>
        <v>80.506702959323178</v>
      </c>
      <c r="AM51" s="42">
        <f t="shared" si="73"/>
        <v>155.71092942520707</v>
      </c>
      <c r="AN51" s="49">
        <f t="shared" si="24"/>
        <v>5.6565654384501878</v>
      </c>
      <c r="AO51" s="47">
        <f t="shared" si="74"/>
        <v>130.10100508435431</v>
      </c>
      <c r="AP51" s="41">
        <f t="shared" si="25"/>
        <v>7.3839928729178772E-2</v>
      </c>
      <c r="AQ51" s="41">
        <f t="shared" si="26"/>
        <v>5.8420633797145641E-2</v>
      </c>
      <c r="AR51" s="41">
        <f t="shared" si="27"/>
        <v>6.9728116747303268E-2</v>
      </c>
      <c r="AS51" s="42">
        <f t="shared" si="28"/>
        <v>383.96762939172959</v>
      </c>
      <c r="AT51" s="42">
        <f t="shared" si="75"/>
        <v>817.88887316003911</v>
      </c>
      <c r="AU51" s="42">
        <f t="shared" si="29"/>
        <v>28.106997809809432</v>
      </c>
      <c r="AV51" s="43">
        <f t="shared" si="76"/>
        <v>646.46094962561699</v>
      </c>
      <c r="AW51" s="41">
        <f t="shared" si="30"/>
        <v>2.0674015041863527E-2</v>
      </c>
      <c r="AX51" s="41">
        <f t="shared" si="31"/>
        <v>1.5435275076582617E-2</v>
      </c>
      <c r="AY51" s="41">
        <f t="shared" si="32"/>
        <v>1.9277017717788617E-2</v>
      </c>
      <c r="AZ51" s="42">
        <f t="shared" si="33"/>
        <v>107.50487821769035</v>
      </c>
      <c r="BA51" s="42">
        <f t="shared" si="77"/>
        <v>216.09385107215667</v>
      </c>
      <c r="BB51" s="42">
        <f t="shared" si="34"/>
        <v>7.6759839925620774</v>
      </c>
      <c r="BC51" s="43">
        <f t="shared" si="78"/>
        <v>176.54763182892776</v>
      </c>
      <c r="BD51" s="41">
        <f t="shared" si="35"/>
        <v>0.19227565504287997</v>
      </c>
      <c r="BE51" s="41">
        <f t="shared" si="36"/>
        <v>0.23177026014640598</v>
      </c>
      <c r="BF51" s="41">
        <f t="shared" si="37"/>
        <v>0.20280754973715356</v>
      </c>
      <c r="BG51" s="49">
        <f t="shared" si="38"/>
        <v>999.83340622297578</v>
      </c>
      <c r="BH51" s="49">
        <f t="shared" si="79"/>
        <v>3244.7836420496842</v>
      </c>
      <c r="BI51" s="49">
        <f t="shared" si="39"/>
        <v>89.914882637443</v>
      </c>
      <c r="BJ51" s="47">
        <f t="shared" si="80"/>
        <v>2068.0423006611895</v>
      </c>
      <c r="BK51" s="42">
        <f t="shared" si="40"/>
        <v>2.68</v>
      </c>
      <c r="BL51" s="42">
        <f t="shared" si="41"/>
        <v>2.68</v>
      </c>
      <c r="BM51" s="42">
        <f t="shared" si="42"/>
        <v>2.6800000000000006</v>
      </c>
      <c r="BN51" s="49">
        <f t="shared" si="43"/>
        <v>13936</v>
      </c>
      <c r="BO51" s="49">
        <f t="shared" si="81"/>
        <v>37520.000000000007</v>
      </c>
      <c r="BP51" s="49">
        <f t="shared" si="44"/>
        <v>1137.6600000000001</v>
      </c>
      <c r="BQ51" s="47">
        <f t="shared" si="82"/>
        <v>26166.18</v>
      </c>
      <c r="BR51" s="21">
        <f t="shared" si="45"/>
        <v>1.5599412508095822E-2</v>
      </c>
      <c r="BS51" s="21">
        <f t="shared" si="46"/>
        <v>9.1105618572899193E-3</v>
      </c>
      <c r="BT51" s="21">
        <f t="shared" si="47"/>
        <v>1.3869052334547582E-2</v>
      </c>
      <c r="BU51" s="42">
        <f t="shared" si="48"/>
        <v>81.11694504209828</v>
      </c>
      <c r="BV51" s="42">
        <f t="shared" si="83"/>
        <v>127.54786600205888</v>
      </c>
      <c r="BW51" s="42">
        <f t="shared" si="49"/>
        <v>5.2592919730174374</v>
      </c>
      <c r="BX51" s="43">
        <f t="shared" si="84"/>
        <v>120.96371537940109</v>
      </c>
      <c r="BY51" s="49">
        <f t="shared" si="50"/>
        <v>150.95212809889864</v>
      </c>
      <c r="BZ51" s="49">
        <f t="shared" si="51"/>
        <v>109.46574854122099</v>
      </c>
      <c r="CA51" s="49">
        <f t="shared" si="52"/>
        <v>139.88909355018458</v>
      </c>
      <c r="CB51" s="49">
        <f t="shared" si="53"/>
        <v>784951.06611427292</v>
      </c>
      <c r="CC51" s="49">
        <f t="shared" si="85"/>
        <v>1532520.4795770941</v>
      </c>
      <c r="CD51" s="49">
        <f t="shared" si="54"/>
        <v>55367.03867087017</v>
      </c>
      <c r="CE51" s="47">
        <f t="shared" si="86"/>
        <v>1273441.889430014</v>
      </c>
      <c r="CF51" s="21">
        <f t="shared" si="55"/>
        <v>0.17350648111232075</v>
      </c>
      <c r="CG51" s="21">
        <f t="shared" si="56"/>
        <v>0.17713539258621841</v>
      </c>
      <c r="CH51" s="21">
        <f t="shared" si="57"/>
        <v>0.17447419083869345</v>
      </c>
      <c r="CI51" s="42">
        <f t="shared" si="58"/>
        <v>902.23370178406788</v>
      </c>
      <c r="CJ51" s="42">
        <f t="shared" si="87"/>
        <v>2479.8954962070579</v>
      </c>
      <c r="CK51" s="42">
        <f t="shared" si="59"/>
        <v>74.415572641698674</v>
      </c>
      <c r="CL51" s="43">
        <f t="shared" si="88"/>
        <v>1711.5581707590691</v>
      </c>
      <c r="CM51" s="21">
        <f t="shared" si="60"/>
        <v>1.7248770077813249E-2</v>
      </c>
      <c r="CN51" s="21">
        <f t="shared" si="61"/>
        <v>2.1644157198041396E-2</v>
      </c>
      <c r="CO51" s="41">
        <f t="shared" si="62"/>
        <v>1.8420873309874089E-2</v>
      </c>
      <c r="CP51" s="46">
        <f t="shared" si="63"/>
        <v>89.6936044046289</v>
      </c>
      <c r="CQ51" s="46">
        <f t="shared" si="89"/>
        <v>303.01820077257958</v>
      </c>
      <c r="CR51" s="42">
        <f t="shared" si="64"/>
        <v>8.245134193279636</v>
      </c>
      <c r="CS51" s="43">
        <f t="shared" si="90"/>
        <v>189.63808644543158</v>
      </c>
    </row>
    <row r="52" spans="1:97" ht="15.75" customHeight="1" x14ac:dyDescent="0.25">
      <c r="C52" s="1">
        <v>24</v>
      </c>
      <c r="D52" s="1">
        <f>Scenario_Info!$N$11</f>
        <v>33</v>
      </c>
      <c r="E52" s="1">
        <f>Scenario_Info!$N$12</f>
        <v>12</v>
      </c>
      <c r="F52" s="1">
        <f>Scenario_Info!$N$14/100</f>
        <v>0.77300000000000002</v>
      </c>
      <c r="G52" s="426">
        <f t="shared" si="0"/>
        <v>2.347965595632683E-3</v>
      </c>
      <c r="H52" s="21">
        <f t="shared" si="1"/>
        <v>1.6059725060000518E-3</v>
      </c>
      <c r="I52" s="21">
        <f t="shared" si="2"/>
        <v>2.150100771730648E-3</v>
      </c>
      <c r="J52" s="42">
        <f t="shared" si="3"/>
        <v>12.209421097289951</v>
      </c>
      <c r="K52" s="42">
        <f t="shared" si="65"/>
        <v>22.483615084000729</v>
      </c>
      <c r="L52" s="42">
        <f t="shared" si="4"/>
        <v>0.84089284652322138</v>
      </c>
      <c r="M52" s="43">
        <f t="shared" si="66"/>
        <v>20.181428316557312</v>
      </c>
      <c r="N52" s="426">
        <f t="shared" si="5"/>
        <v>1.810287971507309E-2</v>
      </c>
      <c r="O52" s="21">
        <f t="shared" si="6"/>
        <v>1.8425342775211056E-2</v>
      </c>
      <c r="P52" s="21">
        <f t="shared" si="7"/>
        <v>1.8188869864443215E-2</v>
      </c>
      <c r="Q52" s="42">
        <f t="shared" si="8"/>
        <v>94.134974518380062</v>
      </c>
      <c r="R52" s="42">
        <f t="shared" si="67"/>
        <v>257.95479885295481</v>
      </c>
      <c r="S52" s="42">
        <f t="shared" si="9"/>
        <v>7.7523896816775002</v>
      </c>
      <c r="T52" s="43">
        <f t="shared" si="68"/>
        <v>186.05735236026001</v>
      </c>
      <c r="U52" s="21">
        <f t="shared" si="10"/>
        <v>1.3955828940024489E-3</v>
      </c>
      <c r="V52" s="21">
        <f t="shared" si="11"/>
        <v>1.4260302196779395E-3</v>
      </c>
      <c r="W52" s="21">
        <f t="shared" si="12"/>
        <v>1.4037021808492465E-3</v>
      </c>
      <c r="X52" s="42">
        <f t="shared" si="13"/>
        <v>7.2570310488127348</v>
      </c>
      <c r="Y52" s="42">
        <f t="shared" si="69"/>
        <v>19.964423075491155</v>
      </c>
      <c r="Z52" s="42">
        <f t="shared" si="14"/>
        <v>0.59881887689589264</v>
      </c>
      <c r="AA52" s="43">
        <f t="shared" si="70"/>
        <v>14.37165304550142</v>
      </c>
      <c r="AB52" s="46">
        <f t="shared" si="15"/>
        <v>35.5</v>
      </c>
      <c r="AC52" s="46">
        <f t="shared" si="16"/>
        <v>35.5</v>
      </c>
      <c r="AD52" s="46">
        <f t="shared" si="17"/>
        <v>35.5</v>
      </c>
      <c r="AE52" s="49">
        <f t="shared" si="18"/>
        <v>184600</v>
      </c>
      <c r="AF52" s="49">
        <f t="shared" si="71"/>
        <v>497000.00000000006</v>
      </c>
      <c r="AG52" s="49">
        <f t="shared" si="19"/>
        <v>15069.75</v>
      </c>
      <c r="AH52" s="47">
        <f t="shared" si="72"/>
        <v>361674</v>
      </c>
      <c r="AI52" s="41">
        <f t="shared" si="20"/>
        <v>1.5482058261408303E-2</v>
      </c>
      <c r="AJ52" s="41">
        <f t="shared" si="21"/>
        <v>1.1122209244657646E-2</v>
      </c>
      <c r="AK52" s="41">
        <f t="shared" si="22"/>
        <v>1.4319431856941463E-2</v>
      </c>
      <c r="AL52" s="42">
        <f t="shared" si="23"/>
        <v>80.506702959323178</v>
      </c>
      <c r="AM52" s="42">
        <f t="shared" si="73"/>
        <v>155.71092942520707</v>
      </c>
      <c r="AN52" s="49">
        <f t="shared" si="24"/>
        <v>5.6565654384501878</v>
      </c>
      <c r="AO52" s="47">
        <f t="shared" si="74"/>
        <v>135.75757052280451</v>
      </c>
      <c r="AP52" s="41">
        <f t="shared" si="25"/>
        <v>7.3839928729178772E-2</v>
      </c>
      <c r="AQ52" s="41">
        <f t="shared" si="26"/>
        <v>5.8420633797145641E-2</v>
      </c>
      <c r="AR52" s="41">
        <f t="shared" si="27"/>
        <v>6.9728116747303268E-2</v>
      </c>
      <c r="AS52" s="42">
        <f t="shared" si="28"/>
        <v>383.96762939172959</v>
      </c>
      <c r="AT52" s="42">
        <f t="shared" si="75"/>
        <v>817.88887316003911</v>
      </c>
      <c r="AU52" s="42">
        <f t="shared" si="29"/>
        <v>28.106997809809432</v>
      </c>
      <c r="AV52" s="43">
        <f t="shared" si="76"/>
        <v>674.56794743542639</v>
      </c>
      <c r="AW52" s="41">
        <f t="shared" si="30"/>
        <v>2.0674015041863527E-2</v>
      </c>
      <c r="AX52" s="41">
        <f t="shared" si="31"/>
        <v>1.5435275076582617E-2</v>
      </c>
      <c r="AY52" s="41">
        <f t="shared" si="32"/>
        <v>1.9277017717788617E-2</v>
      </c>
      <c r="AZ52" s="42">
        <f t="shared" si="33"/>
        <v>107.50487821769035</v>
      </c>
      <c r="BA52" s="42">
        <f t="shared" si="77"/>
        <v>216.09385107215667</v>
      </c>
      <c r="BB52" s="42">
        <f t="shared" si="34"/>
        <v>7.6759839925620774</v>
      </c>
      <c r="BC52" s="43">
        <f t="shared" si="78"/>
        <v>184.22361582148983</v>
      </c>
      <c r="BD52" s="41">
        <f t="shared" si="35"/>
        <v>0.19227565504287997</v>
      </c>
      <c r="BE52" s="41">
        <f t="shared" si="36"/>
        <v>0.23177026014640598</v>
      </c>
      <c r="BF52" s="41">
        <f t="shared" si="37"/>
        <v>0.20280754973715356</v>
      </c>
      <c r="BG52" s="49">
        <f t="shared" si="38"/>
        <v>999.83340622297578</v>
      </c>
      <c r="BH52" s="49">
        <f t="shared" si="79"/>
        <v>3244.7836420496842</v>
      </c>
      <c r="BI52" s="49">
        <f t="shared" si="39"/>
        <v>89.914882637443</v>
      </c>
      <c r="BJ52" s="47">
        <f t="shared" si="80"/>
        <v>2157.9571832986326</v>
      </c>
      <c r="BK52" s="42">
        <f t="shared" si="40"/>
        <v>2.68</v>
      </c>
      <c r="BL52" s="42">
        <f t="shared" si="41"/>
        <v>2.68</v>
      </c>
      <c r="BM52" s="42">
        <f t="shared" si="42"/>
        <v>2.6800000000000006</v>
      </c>
      <c r="BN52" s="49">
        <f t="shared" si="43"/>
        <v>13936</v>
      </c>
      <c r="BO52" s="49">
        <f t="shared" si="81"/>
        <v>37520.000000000007</v>
      </c>
      <c r="BP52" s="49">
        <f t="shared" si="44"/>
        <v>1137.6600000000001</v>
      </c>
      <c r="BQ52" s="47">
        <f t="shared" si="82"/>
        <v>27303.84</v>
      </c>
      <c r="BR52" s="21">
        <f t="shared" si="45"/>
        <v>1.5599412508095822E-2</v>
      </c>
      <c r="BS52" s="21">
        <f t="shared" si="46"/>
        <v>9.1105618572899193E-3</v>
      </c>
      <c r="BT52" s="21">
        <f t="shared" si="47"/>
        <v>1.3869052334547582E-2</v>
      </c>
      <c r="BU52" s="42">
        <f t="shared" si="48"/>
        <v>81.11694504209828</v>
      </c>
      <c r="BV52" s="42">
        <f t="shared" si="83"/>
        <v>127.54786600205888</v>
      </c>
      <c r="BW52" s="42">
        <f t="shared" si="49"/>
        <v>5.2592919730174374</v>
      </c>
      <c r="BX52" s="43">
        <f t="shared" si="84"/>
        <v>126.22300735241853</v>
      </c>
      <c r="BY52" s="49">
        <f t="shared" si="50"/>
        <v>150.95212809889864</v>
      </c>
      <c r="BZ52" s="49">
        <f t="shared" si="51"/>
        <v>109.46574854122099</v>
      </c>
      <c r="CA52" s="49">
        <f t="shared" si="52"/>
        <v>139.88909355018458</v>
      </c>
      <c r="CB52" s="49">
        <f t="shared" si="53"/>
        <v>784951.06611427292</v>
      </c>
      <c r="CC52" s="49">
        <f t="shared" si="85"/>
        <v>1532520.4795770941</v>
      </c>
      <c r="CD52" s="49">
        <f t="shared" si="54"/>
        <v>55367.03867087017</v>
      </c>
      <c r="CE52" s="47">
        <f t="shared" si="86"/>
        <v>1328808.9281008842</v>
      </c>
      <c r="CF52" s="21">
        <f t="shared" si="55"/>
        <v>0.17350648111232075</v>
      </c>
      <c r="CG52" s="21">
        <f t="shared" si="56"/>
        <v>0.17713539258621841</v>
      </c>
      <c r="CH52" s="21">
        <f t="shared" si="57"/>
        <v>0.17447419083869345</v>
      </c>
      <c r="CI52" s="42">
        <f t="shared" si="58"/>
        <v>902.23370178406788</v>
      </c>
      <c r="CJ52" s="42">
        <f t="shared" si="87"/>
        <v>2479.8954962070579</v>
      </c>
      <c r="CK52" s="42">
        <f t="shared" si="59"/>
        <v>74.415572641698674</v>
      </c>
      <c r="CL52" s="43">
        <f t="shared" si="88"/>
        <v>1785.9737434007677</v>
      </c>
      <c r="CM52" s="21">
        <f t="shared" si="60"/>
        <v>1.7248770077813249E-2</v>
      </c>
      <c r="CN52" s="21">
        <f t="shared" si="61"/>
        <v>2.1644157198041396E-2</v>
      </c>
      <c r="CO52" s="41">
        <f t="shared" si="62"/>
        <v>1.8420873309874089E-2</v>
      </c>
      <c r="CP52" s="46">
        <f t="shared" si="63"/>
        <v>89.6936044046289</v>
      </c>
      <c r="CQ52" s="46">
        <f t="shared" si="89"/>
        <v>303.01820077257958</v>
      </c>
      <c r="CR52" s="42">
        <f t="shared" si="64"/>
        <v>8.245134193279636</v>
      </c>
      <c r="CS52" s="43">
        <f t="shared" si="90"/>
        <v>197.88322063871121</v>
      </c>
    </row>
    <row r="53" spans="1:97" ht="15.75" customHeight="1" x14ac:dyDescent="0.25">
      <c r="C53" s="1">
        <v>25</v>
      </c>
      <c r="D53" s="1">
        <f>Scenario_Info!$N$11</f>
        <v>33</v>
      </c>
      <c r="E53" s="1">
        <f>Scenario_Info!$N$12</f>
        <v>12</v>
      </c>
      <c r="F53" s="1">
        <f>Scenario_Info!$N$14/100</f>
        <v>0.77300000000000002</v>
      </c>
      <c r="G53" s="426">
        <f t="shared" si="0"/>
        <v>2.347965595632683E-3</v>
      </c>
      <c r="H53" s="21">
        <f t="shared" si="1"/>
        <v>1.6059725060000518E-3</v>
      </c>
      <c r="I53" s="21">
        <f t="shared" si="2"/>
        <v>2.150100771730648E-3</v>
      </c>
      <c r="J53" s="42">
        <f t="shared" si="3"/>
        <v>12.209421097289951</v>
      </c>
      <c r="K53" s="42">
        <f t="shared" si="65"/>
        <v>22.483615084000729</v>
      </c>
      <c r="L53" s="42">
        <f t="shared" si="4"/>
        <v>0.84089284652322138</v>
      </c>
      <c r="M53" s="43">
        <f t="shared" si="66"/>
        <v>21.022321163080534</v>
      </c>
      <c r="N53" s="426">
        <f t="shared" si="5"/>
        <v>1.810287971507309E-2</v>
      </c>
      <c r="O53" s="21">
        <f t="shared" si="6"/>
        <v>1.8425342775211056E-2</v>
      </c>
      <c r="P53" s="21">
        <f t="shared" si="7"/>
        <v>1.8188869864443215E-2</v>
      </c>
      <c r="Q53" s="42">
        <f t="shared" si="8"/>
        <v>94.134974518380062</v>
      </c>
      <c r="R53" s="42">
        <f t="shared" si="67"/>
        <v>257.95479885295481</v>
      </c>
      <c r="S53" s="42">
        <f t="shared" si="9"/>
        <v>7.7523896816775002</v>
      </c>
      <c r="T53" s="43">
        <f t="shared" si="68"/>
        <v>193.80974204193751</v>
      </c>
      <c r="U53" s="21">
        <f t="shared" si="10"/>
        <v>1.3955828940024489E-3</v>
      </c>
      <c r="V53" s="21">
        <f t="shared" si="11"/>
        <v>1.4260302196779395E-3</v>
      </c>
      <c r="W53" s="21">
        <f t="shared" si="12"/>
        <v>1.4037021808492465E-3</v>
      </c>
      <c r="X53" s="42">
        <f t="shared" si="13"/>
        <v>7.2570310488127348</v>
      </c>
      <c r="Y53" s="42">
        <f t="shared" si="69"/>
        <v>19.964423075491155</v>
      </c>
      <c r="Z53" s="42">
        <f t="shared" si="14"/>
        <v>0.59881887689589264</v>
      </c>
      <c r="AA53" s="43">
        <f t="shared" si="70"/>
        <v>14.970471922397312</v>
      </c>
      <c r="AB53" s="46">
        <f t="shared" si="15"/>
        <v>35.5</v>
      </c>
      <c r="AC53" s="46">
        <f t="shared" si="16"/>
        <v>35.5</v>
      </c>
      <c r="AD53" s="46">
        <f t="shared" si="17"/>
        <v>35.5</v>
      </c>
      <c r="AE53" s="49">
        <f t="shared" si="18"/>
        <v>184600</v>
      </c>
      <c r="AF53" s="49">
        <f t="shared" si="71"/>
        <v>497000.00000000006</v>
      </c>
      <c r="AG53" s="49">
        <f t="shared" si="19"/>
        <v>15069.75</v>
      </c>
      <c r="AH53" s="47">
        <f t="shared" si="72"/>
        <v>376743.75</v>
      </c>
      <c r="AI53" s="41">
        <f t="shared" si="20"/>
        <v>1.5482058261408303E-2</v>
      </c>
      <c r="AJ53" s="41">
        <f t="shared" si="21"/>
        <v>1.1122209244657646E-2</v>
      </c>
      <c r="AK53" s="41">
        <f t="shared" si="22"/>
        <v>1.4319431856941463E-2</v>
      </c>
      <c r="AL53" s="42">
        <f t="shared" si="23"/>
        <v>80.506702959323178</v>
      </c>
      <c r="AM53" s="42">
        <f t="shared" si="73"/>
        <v>155.71092942520707</v>
      </c>
      <c r="AN53" s="49">
        <f t="shared" si="24"/>
        <v>5.6565654384501878</v>
      </c>
      <c r="AO53" s="47">
        <f t="shared" si="74"/>
        <v>141.41413596125471</v>
      </c>
      <c r="AP53" s="41">
        <f t="shared" si="25"/>
        <v>7.3839928729178772E-2</v>
      </c>
      <c r="AQ53" s="41">
        <f t="shared" si="26"/>
        <v>5.8420633797145641E-2</v>
      </c>
      <c r="AR53" s="41">
        <f t="shared" si="27"/>
        <v>6.9728116747303268E-2</v>
      </c>
      <c r="AS53" s="42">
        <f t="shared" si="28"/>
        <v>383.96762939172959</v>
      </c>
      <c r="AT53" s="42">
        <f t="shared" si="75"/>
        <v>817.88887316003911</v>
      </c>
      <c r="AU53" s="42">
        <f t="shared" si="29"/>
        <v>28.106997809809432</v>
      </c>
      <c r="AV53" s="43">
        <f t="shared" si="76"/>
        <v>702.67494524523579</v>
      </c>
      <c r="AW53" s="41">
        <f t="shared" si="30"/>
        <v>2.0674015041863527E-2</v>
      </c>
      <c r="AX53" s="41">
        <f t="shared" si="31"/>
        <v>1.5435275076582617E-2</v>
      </c>
      <c r="AY53" s="41">
        <f t="shared" si="32"/>
        <v>1.9277017717788617E-2</v>
      </c>
      <c r="AZ53" s="42">
        <f t="shared" si="33"/>
        <v>107.50487821769035</v>
      </c>
      <c r="BA53" s="42">
        <f t="shared" si="77"/>
        <v>216.09385107215667</v>
      </c>
      <c r="BB53" s="42">
        <f t="shared" si="34"/>
        <v>7.6759839925620774</v>
      </c>
      <c r="BC53" s="43">
        <f t="shared" si="78"/>
        <v>191.8995998140519</v>
      </c>
      <c r="BD53" s="41">
        <f t="shared" si="35"/>
        <v>0.19227565504287997</v>
      </c>
      <c r="BE53" s="41">
        <f t="shared" si="36"/>
        <v>0.23177026014640598</v>
      </c>
      <c r="BF53" s="41">
        <f t="shared" si="37"/>
        <v>0.20280754973715356</v>
      </c>
      <c r="BG53" s="49">
        <f t="shared" si="38"/>
        <v>999.83340622297578</v>
      </c>
      <c r="BH53" s="49">
        <f t="shared" si="79"/>
        <v>3244.7836420496842</v>
      </c>
      <c r="BI53" s="49">
        <f t="shared" si="39"/>
        <v>89.914882637443</v>
      </c>
      <c r="BJ53" s="47">
        <f t="shared" si="80"/>
        <v>2247.8720659360756</v>
      </c>
      <c r="BK53" s="42">
        <f t="shared" si="40"/>
        <v>2.68</v>
      </c>
      <c r="BL53" s="42">
        <f t="shared" si="41"/>
        <v>2.68</v>
      </c>
      <c r="BM53" s="42">
        <f t="shared" si="42"/>
        <v>2.6800000000000006</v>
      </c>
      <c r="BN53" s="49">
        <f t="shared" si="43"/>
        <v>13936</v>
      </c>
      <c r="BO53" s="49">
        <f t="shared" si="81"/>
        <v>37520.000000000007</v>
      </c>
      <c r="BP53" s="49">
        <f t="shared" si="44"/>
        <v>1137.6600000000001</v>
      </c>
      <c r="BQ53" s="47">
        <f t="shared" si="82"/>
        <v>28441.5</v>
      </c>
      <c r="BR53" s="21">
        <f t="shared" si="45"/>
        <v>1.5599412508095822E-2</v>
      </c>
      <c r="BS53" s="21">
        <f t="shared" si="46"/>
        <v>9.1105618572899193E-3</v>
      </c>
      <c r="BT53" s="21">
        <f t="shared" si="47"/>
        <v>1.3869052334547582E-2</v>
      </c>
      <c r="BU53" s="42">
        <f t="shared" si="48"/>
        <v>81.11694504209828</v>
      </c>
      <c r="BV53" s="42">
        <f t="shared" si="83"/>
        <v>127.54786600205888</v>
      </c>
      <c r="BW53" s="42">
        <f t="shared" si="49"/>
        <v>5.2592919730174374</v>
      </c>
      <c r="BX53" s="43">
        <f t="shared" si="84"/>
        <v>131.48229932543597</v>
      </c>
      <c r="BY53" s="49">
        <f t="shared" si="50"/>
        <v>150.95212809889864</v>
      </c>
      <c r="BZ53" s="49">
        <f t="shared" si="51"/>
        <v>109.46574854122099</v>
      </c>
      <c r="CA53" s="49">
        <f t="shared" si="52"/>
        <v>139.88909355018458</v>
      </c>
      <c r="CB53" s="49">
        <f t="shared" si="53"/>
        <v>784951.06611427292</v>
      </c>
      <c r="CC53" s="49">
        <f t="shared" si="85"/>
        <v>1532520.4795770941</v>
      </c>
      <c r="CD53" s="49">
        <f t="shared" si="54"/>
        <v>55367.03867087017</v>
      </c>
      <c r="CE53" s="47">
        <f t="shared" si="86"/>
        <v>1384175.9667717544</v>
      </c>
      <c r="CF53" s="21">
        <f t="shared" si="55"/>
        <v>0.17350648111232075</v>
      </c>
      <c r="CG53" s="21">
        <f t="shared" si="56"/>
        <v>0.17713539258621841</v>
      </c>
      <c r="CH53" s="21">
        <f t="shared" si="57"/>
        <v>0.17447419083869345</v>
      </c>
      <c r="CI53" s="42">
        <f t="shared" si="58"/>
        <v>902.23370178406788</v>
      </c>
      <c r="CJ53" s="42">
        <f t="shared" si="87"/>
        <v>2479.8954962070579</v>
      </c>
      <c r="CK53" s="42">
        <f t="shared" si="59"/>
        <v>74.415572641698674</v>
      </c>
      <c r="CL53" s="43">
        <f t="shared" si="88"/>
        <v>1860.3893160424664</v>
      </c>
      <c r="CM53" s="21">
        <f t="shared" si="60"/>
        <v>1.7248770077813249E-2</v>
      </c>
      <c r="CN53" s="21">
        <f t="shared" si="61"/>
        <v>2.1644157198041396E-2</v>
      </c>
      <c r="CO53" s="41">
        <f t="shared" si="62"/>
        <v>1.8420873309874089E-2</v>
      </c>
      <c r="CP53" s="46">
        <f t="shared" si="63"/>
        <v>89.6936044046289</v>
      </c>
      <c r="CQ53" s="46">
        <f t="shared" si="89"/>
        <v>303.01820077257958</v>
      </c>
      <c r="CR53" s="42">
        <f t="shared" si="64"/>
        <v>8.245134193279636</v>
      </c>
      <c r="CS53" s="43">
        <f t="shared" si="90"/>
        <v>206.12835483199083</v>
      </c>
    </row>
    <row r="54" spans="1:97" ht="15.75" customHeight="1" x14ac:dyDescent="0.25">
      <c r="C54" s="1">
        <v>26</v>
      </c>
      <c r="D54" s="1">
        <f>Scenario_Info!$N$11</f>
        <v>33</v>
      </c>
      <c r="E54" s="1">
        <f>Scenario_Info!$N$12</f>
        <v>12</v>
      </c>
      <c r="F54" s="1">
        <f>Scenario_Info!$N$14/100</f>
        <v>0.77300000000000002</v>
      </c>
      <c r="G54" s="426">
        <f t="shared" si="0"/>
        <v>2.347965595632683E-3</v>
      </c>
      <c r="H54" s="21">
        <f t="shared" si="1"/>
        <v>1.6059725060000518E-3</v>
      </c>
      <c r="I54" s="21">
        <f t="shared" si="2"/>
        <v>2.150100771730648E-3</v>
      </c>
      <c r="J54" s="42">
        <f t="shared" si="3"/>
        <v>12.209421097289951</v>
      </c>
      <c r="K54" s="42">
        <f t="shared" si="65"/>
        <v>22.483615084000729</v>
      </c>
      <c r="L54" s="42">
        <f t="shared" si="4"/>
        <v>0.84089284652322138</v>
      </c>
      <c r="M54" s="43">
        <f t="shared" si="66"/>
        <v>21.863214009603755</v>
      </c>
      <c r="N54" s="426">
        <f t="shared" si="5"/>
        <v>1.810287971507309E-2</v>
      </c>
      <c r="O54" s="21">
        <f t="shared" si="6"/>
        <v>1.8425342775211056E-2</v>
      </c>
      <c r="P54" s="21">
        <f t="shared" si="7"/>
        <v>1.8188869864443215E-2</v>
      </c>
      <c r="Q54" s="42">
        <f t="shared" si="8"/>
        <v>94.134974518380062</v>
      </c>
      <c r="R54" s="42">
        <f t="shared" si="67"/>
        <v>257.95479885295481</v>
      </c>
      <c r="S54" s="42">
        <f t="shared" si="9"/>
        <v>7.7523896816775002</v>
      </c>
      <c r="T54" s="43">
        <f t="shared" si="68"/>
        <v>201.56213172361501</v>
      </c>
      <c r="U54" s="21">
        <f t="shared" si="10"/>
        <v>1.3955828940024489E-3</v>
      </c>
      <c r="V54" s="21">
        <f t="shared" si="11"/>
        <v>1.4260302196779395E-3</v>
      </c>
      <c r="W54" s="21">
        <f t="shared" si="12"/>
        <v>1.4037021808492465E-3</v>
      </c>
      <c r="X54" s="42">
        <f t="shared" si="13"/>
        <v>7.2570310488127348</v>
      </c>
      <c r="Y54" s="42">
        <f t="shared" si="69"/>
        <v>19.964423075491155</v>
      </c>
      <c r="Z54" s="42">
        <f t="shared" si="14"/>
        <v>0.59881887689589264</v>
      </c>
      <c r="AA54" s="43">
        <f t="shared" si="70"/>
        <v>15.569290799293205</v>
      </c>
      <c r="AB54" s="46">
        <f t="shared" si="15"/>
        <v>35.5</v>
      </c>
      <c r="AC54" s="46">
        <f t="shared" si="16"/>
        <v>35.5</v>
      </c>
      <c r="AD54" s="46">
        <f t="shared" si="17"/>
        <v>35.5</v>
      </c>
      <c r="AE54" s="49">
        <f t="shared" si="18"/>
        <v>184600</v>
      </c>
      <c r="AF54" s="49">
        <f t="shared" si="71"/>
        <v>497000.00000000006</v>
      </c>
      <c r="AG54" s="49">
        <f t="shared" si="19"/>
        <v>15069.75</v>
      </c>
      <c r="AH54" s="47">
        <f t="shared" si="72"/>
        <v>391813.5</v>
      </c>
      <c r="AI54" s="41">
        <f t="shared" si="20"/>
        <v>1.5482058261408303E-2</v>
      </c>
      <c r="AJ54" s="41">
        <f t="shared" si="21"/>
        <v>1.1122209244657646E-2</v>
      </c>
      <c r="AK54" s="41">
        <f t="shared" si="22"/>
        <v>1.4319431856941463E-2</v>
      </c>
      <c r="AL54" s="42">
        <f t="shared" si="23"/>
        <v>80.506702959323178</v>
      </c>
      <c r="AM54" s="42">
        <f t="shared" si="73"/>
        <v>155.71092942520707</v>
      </c>
      <c r="AN54" s="49">
        <f t="shared" si="24"/>
        <v>5.6565654384501878</v>
      </c>
      <c r="AO54" s="47">
        <f t="shared" si="74"/>
        <v>147.07070139970492</v>
      </c>
      <c r="AP54" s="41">
        <f t="shared" si="25"/>
        <v>7.3839928729178772E-2</v>
      </c>
      <c r="AQ54" s="41">
        <f t="shared" si="26"/>
        <v>5.8420633797145641E-2</v>
      </c>
      <c r="AR54" s="41">
        <f t="shared" si="27"/>
        <v>6.9728116747303268E-2</v>
      </c>
      <c r="AS54" s="42">
        <f t="shared" si="28"/>
        <v>383.96762939172959</v>
      </c>
      <c r="AT54" s="42">
        <f t="shared" si="75"/>
        <v>817.88887316003911</v>
      </c>
      <c r="AU54" s="42">
        <f t="shared" si="29"/>
        <v>28.106997809809432</v>
      </c>
      <c r="AV54" s="43">
        <f t="shared" si="76"/>
        <v>730.78194305504519</v>
      </c>
      <c r="AW54" s="41">
        <f t="shared" si="30"/>
        <v>2.0674015041863527E-2</v>
      </c>
      <c r="AX54" s="41">
        <f t="shared" si="31"/>
        <v>1.5435275076582617E-2</v>
      </c>
      <c r="AY54" s="41">
        <f t="shared" si="32"/>
        <v>1.9277017717788617E-2</v>
      </c>
      <c r="AZ54" s="42">
        <f t="shared" si="33"/>
        <v>107.50487821769035</v>
      </c>
      <c r="BA54" s="42">
        <f t="shared" si="77"/>
        <v>216.09385107215667</v>
      </c>
      <c r="BB54" s="42">
        <f t="shared" si="34"/>
        <v>7.6759839925620774</v>
      </c>
      <c r="BC54" s="43">
        <f t="shared" si="78"/>
        <v>199.57558380661396</v>
      </c>
      <c r="BD54" s="41">
        <f t="shared" si="35"/>
        <v>0.19227565504287997</v>
      </c>
      <c r="BE54" s="41">
        <f t="shared" si="36"/>
        <v>0.23177026014640598</v>
      </c>
      <c r="BF54" s="41">
        <f t="shared" si="37"/>
        <v>0.20280754973715356</v>
      </c>
      <c r="BG54" s="49">
        <f t="shared" si="38"/>
        <v>999.83340622297578</v>
      </c>
      <c r="BH54" s="49">
        <f t="shared" si="79"/>
        <v>3244.7836420496842</v>
      </c>
      <c r="BI54" s="49">
        <f t="shared" si="39"/>
        <v>89.914882637443</v>
      </c>
      <c r="BJ54" s="47">
        <f t="shared" si="80"/>
        <v>2337.7869485735187</v>
      </c>
      <c r="BK54" s="42">
        <f t="shared" si="40"/>
        <v>2.68</v>
      </c>
      <c r="BL54" s="42">
        <f t="shared" si="41"/>
        <v>2.68</v>
      </c>
      <c r="BM54" s="42">
        <f t="shared" si="42"/>
        <v>2.6800000000000006</v>
      </c>
      <c r="BN54" s="49">
        <f t="shared" si="43"/>
        <v>13936</v>
      </c>
      <c r="BO54" s="49">
        <f t="shared" si="81"/>
        <v>37520.000000000007</v>
      </c>
      <c r="BP54" s="49">
        <f t="shared" si="44"/>
        <v>1137.6600000000001</v>
      </c>
      <c r="BQ54" s="47">
        <f t="shared" si="82"/>
        <v>29579.16</v>
      </c>
      <c r="BR54" s="21">
        <f t="shared" si="45"/>
        <v>1.5599412508095822E-2</v>
      </c>
      <c r="BS54" s="21">
        <f t="shared" si="46"/>
        <v>9.1105618572899193E-3</v>
      </c>
      <c r="BT54" s="21">
        <f t="shared" si="47"/>
        <v>1.3869052334547582E-2</v>
      </c>
      <c r="BU54" s="42">
        <f t="shared" si="48"/>
        <v>81.11694504209828</v>
      </c>
      <c r="BV54" s="42">
        <f t="shared" si="83"/>
        <v>127.54786600205888</v>
      </c>
      <c r="BW54" s="42">
        <f t="shared" si="49"/>
        <v>5.2592919730174374</v>
      </c>
      <c r="BX54" s="43">
        <f t="shared" si="84"/>
        <v>136.74159129845341</v>
      </c>
      <c r="BY54" s="49">
        <f t="shared" si="50"/>
        <v>150.95212809889864</v>
      </c>
      <c r="BZ54" s="49">
        <f t="shared" si="51"/>
        <v>109.46574854122099</v>
      </c>
      <c r="CA54" s="49">
        <f t="shared" si="52"/>
        <v>139.88909355018458</v>
      </c>
      <c r="CB54" s="49">
        <f t="shared" si="53"/>
        <v>784951.06611427292</v>
      </c>
      <c r="CC54" s="49">
        <f t="shared" si="85"/>
        <v>1532520.4795770941</v>
      </c>
      <c r="CD54" s="49">
        <f t="shared" si="54"/>
        <v>55367.03867087017</v>
      </c>
      <c r="CE54" s="47">
        <f t="shared" si="86"/>
        <v>1439543.0054426247</v>
      </c>
      <c r="CF54" s="21">
        <f t="shared" si="55"/>
        <v>0.17350648111232075</v>
      </c>
      <c r="CG54" s="21">
        <f t="shared" si="56"/>
        <v>0.17713539258621841</v>
      </c>
      <c r="CH54" s="21">
        <f t="shared" si="57"/>
        <v>0.17447419083869345</v>
      </c>
      <c r="CI54" s="42">
        <f t="shared" si="58"/>
        <v>902.23370178406788</v>
      </c>
      <c r="CJ54" s="42">
        <f t="shared" si="87"/>
        <v>2479.8954962070579</v>
      </c>
      <c r="CK54" s="42">
        <f t="shared" si="59"/>
        <v>74.415572641698674</v>
      </c>
      <c r="CL54" s="43">
        <f t="shared" si="88"/>
        <v>1934.804888684165</v>
      </c>
      <c r="CM54" s="21">
        <f t="shared" si="60"/>
        <v>1.7248770077813249E-2</v>
      </c>
      <c r="CN54" s="21">
        <f t="shared" si="61"/>
        <v>2.1644157198041396E-2</v>
      </c>
      <c r="CO54" s="41">
        <f t="shared" si="62"/>
        <v>1.8420873309874089E-2</v>
      </c>
      <c r="CP54" s="46">
        <f t="shared" si="63"/>
        <v>89.6936044046289</v>
      </c>
      <c r="CQ54" s="46">
        <f t="shared" si="89"/>
        <v>303.01820077257958</v>
      </c>
      <c r="CR54" s="42">
        <f t="shared" si="64"/>
        <v>8.245134193279636</v>
      </c>
      <c r="CS54" s="43">
        <f t="shared" si="90"/>
        <v>214.37348902527046</v>
      </c>
    </row>
    <row r="55" spans="1:97" s="6" customFormat="1" ht="15.75" customHeight="1" x14ac:dyDescent="0.25">
      <c r="A55"/>
      <c r="B55"/>
      <c r="C55" s="1">
        <v>27</v>
      </c>
      <c r="D55" s="1">
        <f>Scenario_Info!$N$11</f>
        <v>33</v>
      </c>
      <c r="E55" s="1">
        <f>Scenario_Info!$N$12</f>
        <v>12</v>
      </c>
      <c r="F55" s="1">
        <f>Scenario_Info!$N$14/100</f>
        <v>0.77300000000000002</v>
      </c>
      <c r="G55" s="426">
        <f t="shared" si="0"/>
        <v>2.347965595632683E-3</v>
      </c>
      <c r="H55" s="21">
        <f t="shared" si="1"/>
        <v>1.6059725060000518E-3</v>
      </c>
      <c r="I55" s="21">
        <f t="shared" si="2"/>
        <v>2.150100771730648E-3</v>
      </c>
      <c r="J55" s="42">
        <f t="shared" si="3"/>
        <v>12.209421097289951</v>
      </c>
      <c r="K55" s="42">
        <f t="shared" si="65"/>
        <v>22.483615084000729</v>
      </c>
      <c r="L55" s="42">
        <f t="shared" si="4"/>
        <v>0.84089284652322138</v>
      </c>
      <c r="M55" s="43">
        <f t="shared" si="66"/>
        <v>22.704106856126977</v>
      </c>
      <c r="N55" s="426">
        <f t="shared" si="5"/>
        <v>1.810287971507309E-2</v>
      </c>
      <c r="O55" s="21">
        <f t="shared" si="6"/>
        <v>1.8425342775211056E-2</v>
      </c>
      <c r="P55" s="21">
        <f t="shared" si="7"/>
        <v>1.8188869864443215E-2</v>
      </c>
      <c r="Q55" s="42">
        <f t="shared" si="8"/>
        <v>94.134974518380062</v>
      </c>
      <c r="R55" s="42">
        <f t="shared" si="67"/>
        <v>257.95479885295481</v>
      </c>
      <c r="S55" s="42">
        <f t="shared" si="9"/>
        <v>7.7523896816775002</v>
      </c>
      <c r="T55" s="43">
        <f t="shared" si="68"/>
        <v>209.31452140529251</v>
      </c>
      <c r="U55" s="21">
        <f t="shared" si="10"/>
        <v>1.3955828940024489E-3</v>
      </c>
      <c r="V55" s="21">
        <f t="shared" si="11"/>
        <v>1.4260302196779395E-3</v>
      </c>
      <c r="W55" s="21">
        <f t="shared" si="12"/>
        <v>1.4037021808492465E-3</v>
      </c>
      <c r="X55" s="42">
        <f t="shared" si="13"/>
        <v>7.2570310488127348</v>
      </c>
      <c r="Y55" s="42">
        <f t="shared" si="69"/>
        <v>19.964423075491155</v>
      </c>
      <c r="Z55" s="42">
        <f t="shared" si="14"/>
        <v>0.59881887689589264</v>
      </c>
      <c r="AA55" s="43">
        <f t="shared" si="70"/>
        <v>16.168109676189097</v>
      </c>
      <c r="AB55" s="46">
        <f t="shared" si="15"/>
        <v>35.5</v>
      </c>
      <c r="AC55" s="46">
        <f t="shared" si="16"/>
        <v>35.5</v>
      </c>
      <c r="AD55" s="46">
        <f t="shared" si="17"/>
        <v>35.5</v>
      </c>
      <c r="AE55" s="49">
        <f t="shared" si="18"/>
        <v>184600</v>
      </c>
      <c r="AF55" s="49">
        <f t="shared" si="71"/>
        <v>497000.00000000006</v>
      </c>
      <c r="AG55" s="49">
        <f t="shared" si="19"/>
        <v>15069.75</v>
      </c>
      <c r="AH55" s="47">
        <f t="shared" si="72"/>
        <v>406883.25</v>
      </c>
      <c r="AI55" s="41">
        <f t="shared" si="20"/>
        <v>1.5482058261408303E-2</v>
      </c>
      <c r="AJ55" s="41">
        <f t="shared" si="21"/>
        <v>1.1122209244657646E-2</v>
      </c>
      <c r="AK55" s="41">
        <f t="shared" si="22"/>
        <v>1.4319431856941463E-2</v>
      </c>
      <c r="AL55" s="42">
        <f t="shared" si="23"/>
        <v>80.506702959323178</v>
      </c>
      <c r="AM55" s="42">
        <f t="shared" si="73"/>
        <v>155.71092942520707</v>
      </c>
      <c r="AN55" s="49">
        <f t="shared" si="24"/>
        <v>5.6565654384501878</v>
      </c>
      <c r="AO55" s="47">
        <f t="shared" si="74"/>
        <v>152.72726683815512</v>
      </c>
      <c r="AP55" s="41">
        <f t="shared" si="25"/>
        <v>7.3839928729178772E-2</v>
      </c>
      <c r="AQ55" s="41">
        <f t="shared" si="26"/>
        <v>5.8420633797145641E-2</v>
      </c>
      <c r="AR55" s="41">
        <f t="shared" si="27"/>
        <v>6.9728116747303268E-2</v>
      </c>
      <c r="AS55" s="42">
        <f t="shared" si="28"/>
        <v>383.96762939172959</v>
      </c>
      <c r="AT55" s="42">
        <f t="shared" si="75"/>
        <v>817.88887316003911</v>
      </c>
      <c r="AU55" s="42">
        <f t="shared" si="29"/>
        <v>28.106997809809432</v>
      </c>
      <c r="AV55" s="43">
        <f t="shared" si="76"/>
        <v>758.88894086485459</v>
      </c>
      <c r="AW55" s="41">
        <f t="shared" si="30"/>
        <v>2.0674015041863527E-2</v>
      </c>
      <c r="AX55" s="41">
        <f t="shared" si="31"/>
        <v>1.5435275076582617E-2</v>
      </c>
      <c r="AY55" s="41">
        <f t="shared" si="32"/>
        <v>1.9277017717788617E-2</v>
      </c>
      <c r="AZ55" s="42">
        <f t="shared" si="33"/>
        <v>107.50487821769035</v>
      </c>
      <c r="BA55" s="42">
        <f t="shared" si="77"/>
        <v>216.09385107215667</v>
      </c>
      <c r="BB55" s="42">
        <f t="shared" si="34"/>
        <v>7.6759839925620774</v>
      </c>
      <c r="BC55" s="43">
        <f t="shared" si="78"/>
        <v>207.25156779917603</v>
      </c>
      <c r="BD55" s="41">
        <f t="shared" si="35"/>
        <v>0.19227565504287997</v>
      </c>
      <c r="BE55" s="41">
        <f t="shared" si="36"/>
        <v>0.23177026014640598</v>
      </c>
      <c r="BF55" s="41">
        <f t="shared" si="37"/>
        <v>0.20280754973715356</v>
      </c>
      <c r="BG55" s="49">
        <f t="shared" si="38"/>
        <v>999.83340622297578</v>
      </c>
      <c r="BH55" s="49">
        <f t="shared" si="79"/>
        <v>3244.7836420496842</v>
      </c>
      <c r="BI55" s="49">
        <f t="shared" si="39"/>
        <v>89.914882637443</v>
      </c>
      <c r="BJ55" s="47">
        <f t="shared" si="80"/>
        <v>2427.7018312109617</v>
      </c>
      <c r="BK55" s="42">
        <f t="shared" si="40"/>
        <v>2.68</v>
      </c>
      <c r="BL55" s="42">
        <f t="shared" si="41"/>
        <v>2.68</v>
      </c>
      <c r="BM55" s="42">
        <f t="shared" si="42"/>
        <v>2.6800000000000006</v>
      </c>
      <c r="BN55" s="49">
        <f t="shared" si="43"/>
        <v>13936</v>
      </c>
      <c r="BO55" s="49">
        <f t="shared" si="81"/>
        <v>37520.000000000007</v>
      </c>
      <c r="BP55" s="49">
        <f t="shared" si="44"/>
        <v>1137.6600000000001</v>
      </c>
      <c r="BQ55" s="47">
        <f t="shared" si="82"/>
        <v>30716.82</v>
      </c>
      <c r="BR55" s="21">
        <f t="shared" si="45"/>
        <v>1.5599412508095822E-2</v>
      </c>
      <c r="BS55" s="21">
        <f t="shared" si="46"/>
        <v>9.1105618572899193E-3</v>
      </c>
      <c r="BT55" s="21">
        <f t="shared" si="47"/>
        <v>1.3869052334547582E-2</v>
      </c>
      <c r="BU55" s="42">
        <f t="shared" si="48"/>
        <v>81.11694504209828</v>
      </c>
      <c r="BV55" s="42">
        <f t="shared" si="83"/>
        <v>127.54786600205888</v>
      </c>
      <c r="BW55" s="42">
        <f t="shared" si="49"/>
        <v>5.2592919730174374</v>
      </c>
      <c r="BX55" s="43">
        <f t="shared" si="84"/>
        <v>142.00088327147085</v>
      </c>
      <c r="BY55" s="49">
        <f t="shared" si="50"/>
        <v>150.95212809889864</v>
      </c>
      <c r="BZ55" s="49">
        <f t="shared" si="51"/>
        <v>109.46574854122099</v>
      </c>
      <c r="CA55" s="49">
        <f t="shared" si="52"/>
        <v>139.88909355018458</v>
      </c>
      <c r="CB55" s="49">
        <f t="shared" si="53"/>
        <v>784951.06611427292</v>
      </c>
      <c r="CC55" s="49">
        <f t="shared" si="85"/>
        <v>1532520.4795770941</v>
      </c>
      <c r="CD55" s="49">
        <f t="shared" si="54"/>
        <v>55367.03867087017</v>
      </c>
      <c r="CE55" s="47">
        <f t="shared" si="86"/>
        <v>1494910.0441134949</v>
      </c>
      <c r="CF55" s="21">
        <f t="shared" si="55"/>
        <v>0.17350648111232075</v>
      </c>
      <c r="CG55" s="21">
        <f t="shared" si="56"/>
        <v>0.17713539258621841</v>
      </c>
      <c r="CH55" s="21">
        <f t="shared" si="57"/>
        <v>0.17447419083869345</v>
      </c>
      <c r="CI55" s="42">
        <f t="shared" si="58"/>
        <v>902.23370178406788</v>
      </c>
      <c r="CJ55" s="42">
        <f t="shared" si="87"/>
        <v>2479.8954962070579</v>
      </c>
      <c r="CK55" s="42">
        <f t="shared" si="59"/>
        <v>74.415572641698674</v>
      </c>
      <c r="CL55" s="43">
        <f t="shared" si="88"/>
        <v>2009.2204613258637</v>
      </c>
      <c r="CM55" s="21">
        <f t="shared" si="60"/>
        <v>1.7248770077813249E-2</v>
      </c>
      <c r="CN55" s="21">
        <f t="shared" si="61"/>
        <v>2.1644157198041396E-2</v>
      </c>
      <c r="CO55" s="41">
        <f t="shared" si="62"/>
        <v>1.8420873309874089E-2</v>
      </c>
      <c r="CP55" s="46">
        <f t="shared" si="63"/>
        <v>89.6936044046289</v>
      </c>
      <c r="CQ55" s="46">
        <f t="shared" si="89"/>
        <v>303.01820077257958</v>
      </c>
      <c r="CR55" s="42">
        <f t="shared" si="64"/>
        <v>8.245134193279636</v>
      </c>
      <c r="CS55" s="43">
        <f t="shared" si="90"/>
        <v>222.61862321855008</v>
      </c>
    </row>
    <row r="56" spans="1:97" ht="15.75" customHeight="1" x14ac:dyDescent="0.25">
      <c r="C56" s="1">
        <v>28</v>
      </c>
      <c r="D56" s="1">
        <f>Scenario_Info!$N$11</f>
        <v>33</v>
      </c>
      <c r="E56" s="1">
        <f>Scenario_Info!$N$12</f>
        <v>12</v>
      </c>
      <c r="F56" s="1">
        <f>Scenario_Info!$N$14/100</f>
        <v>0.77300000000000002</v>
      </c>
      <c r="G56" s="426">
        <f t="shared" si="0"/>
        <v>2.347965595632683E-3</v>
      </c>
      <c r="H56" s="21">
        <f t="shared" si="1"/>
        <v>1.6059725060000518E-3</v>
      </c>
      <c r="I56" s="21">
        <f t="shared" si="2"/>
        <v>2.150100771730648E-3</v>
      </c>
      <c r="J56" s="42">
        <f t="shared" si="3"/>
        <v>12.209421097289951</v>
      </c>
      <c r="K56" s="42">
        <f t="shared" si="65"/>
        <v>22.483615084000729</v>
      </c>
      <c r="L56" s="42">
        <f t="shared" si="4"/>
        <v>0.84089284652322138</v>
      </c>
      <c r="M56" s="43">
        <f t="shared" si="66"/>
        <v>23.544999702650198</v>
      </c>
      <c r="N56" s="426">
        <f t="shared" si="5"/>
        <v>1.810287971507309E-2</v>
      </c>
      <c r="O56" s="21">
        <f t="shared" si="6"/>
        <v>1.8425342775211056E-2</v>
      </c>
      <c r="P56" s="21">
        <f t="shared" si="7"/>
        <v>1.8188869864443215E-2</v>
      </c>
      <c r="Q56" s="42">
        <f t="shared" si="8"/>
        <v>94.134974518380062</v>
      </c>
      <c r="R56" s="42">
        <f t="shared" si="67"/>
        <v>257.95479885295481</v>
      </c>
      <c r="S56" s="42">
        <f t="shared" si="9"/>
        <v>7.7523896816775002</v>
      </c>
      <c r="T56" s="43">
        <f t="shared" si="68"/>
        <v>217.06691108697001</v>
      </c>
      <c r="U56" s="21">
        <f t="shared" si="10"/>
        <v>1.3955828940024489E-3</v>
      </c>
      <c r="V56" s="21">
        <f t="shared" si="11"/>
        <v>1.4260302196779395E-3</v>
      </c>
      <c r="W56" s="21">
        <f t="shared" si="12"/>
        <v>1.4037021808492465E-3</v>
      </c>
      <c r="X56" s="42">
        <f t="shared" si="13"/>
        <v>7.2570310488127348</v>
      </c>
      <c r="Y56" s="42">
        <f t="shared" si="69"/>
        <v>19.964423075491155</v>
      </c>
      <c r="Z56" s="42">
        <f t="shared" si="14"/>
        <v>0.59881887689589264</v>
      </c>
      <c r="AA56" s="43">
        <f t="shared" si="70"/>
        <v>16.766928553084991</v>
      </c>
      <c r="AB56" s="46">
        <f t="shared" si="15"/>
        <v>35.5</v>
      </c>
      <c r="AC56" s="46">
        <f t="shared" si="16"/>
        <v>35.5</v>
      </c>
      <c r="AD56" s="46">
        <f t="shared" si="17"/>
        <v>35.5</v>
      </c>
      <c r="AE56" s="49">
        <f t="shared" si="18"/>
        <v>184600</v>
      </c>
      <c r="AF56" s="49">
        <f t="shared" si="71"/>
        <v>497000.00000000006</v>
      </c>
      <c r="AG56" s="49">
        <f t="shared" si="19"/>
        <v>15069.75</v>
      </c>
      <c r="AH56" s="47">
        <f t="shared" si="72"/>
        <v>421953</v>
      </c>
      <c r="AI56" s="41">
        <f t="shared" si="20"/>
        <v>1.5482058261408303E-2</v>
      </c>
      <c r="AJ56" s="41">
        <f t="shared" si="21"/>
        <v>1.1122209244657646E-2</v>
      </c>
      <c r="AK56" s="41">
        <f t="shared" si="22"/>
        <v>1.4319431856941463E-2</v>
      </c>
      <c r="AL56" s="42">
        <f t="shared" si="23"/>
        <v>80.506702959323178</v>
      </c>
      <c r="AM56" s="42">
        <f t="shared" si="73"/>
        <v>155.71092942520707</v>
      </c>
      <c r="AN56" s="49">
        <f t="shared" si="24"/>
        <v>5.6565654384501878</v>
      </c>
      <c r="AO56" s="47">
        <f t="shared" si="74"/>
        <v>158.38383227660532</v>
      </c>
      <c r="AP56" s="41">
        <f t="shared" si="25"/>
        <v>7.3839928729178772E-2</v>
      </c>
      <c r="AQ56" s="41">
        <f t="shared" si="26"/>
        <v>5.8420633797145641E-2</v>
      </c>
      <c r="AR56" s="41">
        <f t="shared" si="27"/>
        <v>6.9728116747303268E-2</v>
      </c>
      <c r="AS56" s="42">
        <f t="shared" si="28"/>
        <v>383.96762939172959</v>
      </c>
      <c r="AT56" s="42">
        <f t="shared" si="75"/>
        <v>817.88887316003911</v>
      </c>
      <c r="AU56" s="42">
        <f t="shared" si="29"/>
        <v>28.106997809809432</v>
      </c>
      <c r="AV56" s="43">
        <f t="shared" si="76"/>
        <v>786.99593867466399</v>
      </c>
      <c r="AW56" s="41">
        <f t="shared" si="30"/>
        <v>2.0674015041863527E-2</v>
      </c>
      <c r="AX56" s="41">
        <f t="shared" si="31"/>
        <v>1.5435275076582617E-2</v>
      </c>
      <c r="AY56" s="41">
        <f t="shared" si="32"/>
        <v>1.9277017717788617E-2</v>
      </c>
      <c r="AZ56" s="42">
        <f t="shared" si="33"/>
        <v>107.50487821769035</v>
      </c>
      <c r="BA56" s="42">
        <f t="shared" si="77"/>
        <v>216.09385107215667</v>
      </c>
      <c r="BB56" s="42">
        <f t="shared" si="34"/>
        <v>7.6759839925620774</v>
      </c>
      <c r="BC56" s="43">
        <f t="shared" si="78"/>
        <v>214.9275517917381</v>
      </c>
      <c r="BD56" s="41">
        <f t="shared" si="35"/>
        <v>0.19227565504287997</v>
      </c>
      <c r="BE56" s="41">
        <f t="shared" si="36"/>
        <v>0.23177026014640598</v>
      </c>
      <c r="BF56" s="41">
        <f t="shared" si="37"/>
        <v>0.20280754973715356</v>
      </c>
      <c r="BG56" s="49">
        <f t="shared" si="38"/>
        <v>999.83340622297578</v>
      </c>
      <c r="BH56" s="49">
        <f t="shared" si="79"/>
        <v>3244.7836420496842</v>
      </c>
      <c r="BI56" s="49">
        <f t="shared" si="39"/>
        <v>89.914882637443</v>
      </c>
      <c r="BJ56" s="47">
        <f t="shared" si="80"/>
        <v>2517.6167138484047</v>
      </c>
      <c r="BK56" s="42">
        <f t="shared" si="40"/>
        <v>2.68</v>
      </c>
      <c r="BL56" s="42">
        <f t="shared" si="41"/>
        <v>2.68</v>
      </c>
      <c r="BM56" s="42">
        <f t="shared" si="42"/>
        <v>2.6800000000000006</v>
      </c>
      <c r="BN56" s="49">
        <f t="shared" si="43"/>
        <v>13936</v>
      </c>
      <c r="BO56" s="49">
        <f t="shared" si="81"/>
        <v>37520.000000000007</v>
      </c>
      <c r="BP56" s="49">
        <f t="shared" si="44"/>
        <v>1137.6600000000001</v>
      </c>
      <c r="BQ56" s="47">
        <f t="shared" si="82"/>
        <v>31854.48</v>
      </c>
      <c r="BR56" s="21">
        <f t="shared" si="45"/>
        <v>1.5599412508095822E-2</v>
      </c>
      <c r="BS56" s="21">
        <f t="shared" si="46"/>
        <v>9.1105618572899193E-3</v>
      </c>
      <c r="BT56" s="21">
        <f t="shared" si="47"/>
        <v>1.3869052334547582E-2</v>
      </c>
      <c r="BU56" s="42">
        <f t="shared" si="48"/>
        <v>81.11694504209828</v>
      </c>
      <c r="BV56" s="42">
        <f t="shared" si="83"/>
        <v>127.54786600205888</v>
      </c>
      <c r="BW56" s="42">
        <f t="shared" si="49"/>
        <v>5.2592919730174374</v>
      </c>
      <c r="BX56" s="43">
        <f t="shared" si="84"/>
        <v>147.26017524448829</v>
      </c>
      <c r="BY56" s="49">
        <f t="shared" si="50"/>
        <v>150.95212809889864</v>
      </c>
      <c r="BZ56" s="49">
        <f t="shared" si="51"/>
        <v>109.46574854122099</v>
      </c>
      <c r="CA56" s="49">
        <f t="shared" si="52"/>
        <v>139.88909355018458</v>
      </c>
      <c r="CB56" s="49">
        <f t="shared" si="53"/>
        <v>784951.06611427292</v>
      </c>
      <c r="CC56" s="49">
        <f t="shared" si="85"/>
        <v>1532520.4795770941</v>
      </c>
      <c r="CD56" s="49">
        <f t="shared" si="54"/>
        <v>55367.03867087017</v>
      </c>
      <c r="CE56" s="47">
        <f t="shared" si="86"/>
        <v>1550277.0827843652</v>
      </c>
      <c r="CF56" s="21">
        <f t="shared" si="55"/>
        <v>0.17350648111232075</v>
      </c>
      <c r="CG56" s="21">
        <f t="shared" si="56"/>
        <v>0.17713539258621841</v>
      </c>
      <c r="CH56" s="21">
        <f t="shared" si="57"/>
        <v>0.17447419083869345</v>
      </c>
      <c r="CI56" s="42">
        <f t="shared" si="58"/>
        <v>902.23370178406788</v>
      </c>
      <c r="CJ56" s="42">
        <f t="shared" si="87"/>
        <v>2479.8954962070579</v>
      </c>
      <c r="CK56" s="42">
        <f t="shared" si="59"/>
        <v>74.415572641698674</v>
      </c>
      <c r="CL56" s="43">
        <f t="shared" si="88"/>
        <v>2083.6360339675625</v>
      </c>
      <c r="CM56" s="21">
        <f t="shared" si="60"/>
        <v>1.7248770077813249E-2</v>
      </c>
      <c r="CN56" s="21">
        <f t="shared" si="61"/>
        <v>2.1644157198041396E-2</v>
      </c>
      <c r="CO56" s="41">
        <f t="shared" si="62"/>
        <v>1.8420873309874089E-2</v>
      </c>
      <c r="CP56" s="46">
        <f t="shared" si="63"/>
        <v>89.6936044046289</v>
      </c>
      <c r="CQ56" s="46">
        <f t="shared" si="89"/>
        <v>303.01820077257958</v>
      </c>
      <c r="CR56" s="42">
        <f t="shared" si="64"/>
        <v>8.245134193279636</v>
      </c>
      <c r="CS56" s="43">
        <f t="shared" si="90"/>
        <v>230.86375741182971</v>
      </c>
    </row>
    <row r="57" spans="1:97" ht="15.75" customHeight="1" x14ac:dyDescent="0.25">
      <c r="C57" s="1">
        <v>29</v>
      </c>
      <c r="D57" s="1">
        <f>Scenario_Info!$N$11</f>
        <v>33</v>
      </c>
      <c r="E57" s="1">
        <f>Scenario_Info!$N$12</f>
        <v>12</v>
      </c>
      <c r="F57" s="1">
        <f>Scenario_Info!$N$14/100</f>
        <v>0.77300000000000002</v>
      </c>
      <c r="G57" s="426">
        <f t="shared" si="0"/>
        <v>2.347965595632683E-3</v>
      </c>
      <c r="H57" s="21">
        <f t="shared" si="1"/>
        <v>1.6059725060000518E-3</v>
      </c>
      <c r="I57" s="21">
        <f t="shared" si="2"/>
        <v>2.150100771730648E-3</v>
      </c>
      <c r="J57" s="42">
        <f t="shared" si="3"/>
        <v>12.209421097289951</v>
      </c>
      <c r="K57" s="42">
        <f t="shared" si="65"/>
        <v>22.483615084000729</v>
      </c>
      <c r="L57" s="42">
        <f t="shared" si="4"/>
        <v>0.84089284652322138</v>
      </c>
      <c r="M57" s="43">
        <f t="shared" si="66"/>
        <v>24.38589254917342</v>
      </c>
      <c r="N57" s="426">
        <f t="shared" si="5"/>
        <v>1.810287971507309E-2</v>
      </c>
      <c r="O57" s="21">
        <f t="shared" si="6"/>
        <v>1.8425342775211056E-2</v>
      </c>
      <c r="P57" s="21">
        <f t="shared" si="7"/>
        <v>1.8188869864443215E-2</v>
      </c>
      <c r="Q57" s="42">
        <f t="shared" si="8"/>
        <v>94.134974518380062</v>
      </c>
      <c r="R57" s="42">
        <f t="shared" si="67"/>
        <v>257.95479885295481</v>
      </c>
      <c r="S57" s="42">
        <f t="shared" si="9"/>
        <v>7.7523896816775002</v>
      </c>
      <c r="T57" s="43">
        <f t="shared" si="68"/>
        <v>224.81930076864751</v>
      </c>
      <c r="U57" s="21">
        <f t="shared" si="10"/>
        <v>1.3955828940024489E-3</v>
      </c>
      <c r="V57" s="21">
        <f t="shared" si="11"/>
        <v>1.4260302196779395E-3</v>
      </c>
      <c r="W57" s="21">
        <f t="shared" si="12"/>
        <v>1.4037021808492465E-3</v>
      </c>
      <c r="X57" s="42">
        <f t="shared" si="13"/>
        <v>7.2570310488127348</v>
      </c>
      <c r="Y57" s="42">
        <f t="shared" si="69"/>
        <v>19.964423075491155</v>
      </c>
      <c r="Z57" s="42">
        <f t="shared" si="14"/>
        <v>0.59881887689589264</v>
      </c>
      <c r="AA57" s="43">
        <f t="shared" si="70"/>
        <v>17.365747429980885</v>
      </c>
      <c r="AB57" s="46">
        <f t="shared" si="15"/>
        <v>35.5</v>
      </c>
      <c r="AC57" s="46">
        <f t="shared" si="16"/>
        <v>35.5</v>
      </c>
      <c r="AD57" s="46">
        <f t="shared" si="17"/>
        <v>35.5</v>
      </c>
      <c r="AE57" s="49">
        <f t="shared" si="18"/>
        <v>184600</v>
      </c>
      <c r="AF57" s="49">
        <f t="shared" si="71"/>
        <v>497000.00000000006</v>
      </c>
      <c r="AG57" s="49">
        <f t="shared" si="19"/>
        <v>15069.75</v>
      </c>
      <c r="AH57" s="47">
        <f t="shared" si="72"/>
        <v>437022.75</v>
      </c>
      <c r="AI57" s="41">
        <f t="shared" si="20"/>
        <v>1.5482058261408303E-2</v>
      </c>
      <c r="AJ57" s="41">
        <f t="shared" si="21"/>
        <v>1.1122209244657646E-2</v>
      </c>
      <c r="AK57" s="41">
        <f t="shared" si="22"/>
        <v>1.4319431856941463E-2</v>
      </c>
      <c r="AL57" s="42">
        <f t="shared" si="23"/>
        <v>80.506702959323178</v>
      </c>
      <c r="AM57" s="42">
        <f t="shared" si="73"/>
        <v>155.71092942520707</v>
      </c>
      <c r="AN57" s="49">
        <f t="shared" si="24"/>
        <v>5.6565654384501878</v>
      </c>
      <c r="AO57" s="47">
        <f t="shared" si="74"/>
        <v>164.04039771505552</v>
      </c>
      <c r="AP57" s="41">
        <f t="shared" si="25"/>
        <v>7.3839928729178772E-2</v>
      </c>
      <c r="AQ57" s="41">
        <f t="shared" si="26"/>
        <v>5.8420633797145641E-2</v>
      </c>
      <c r="AR57" s="41">
        <f t="shared" si="27"/>
        <v>6.9728116747303268E-2</v>
      </c>
      <c r="AS57" s="42">
        <f t="shared" si="28"/>
        <v>383.96762939172959</v>
      </c>
      <c r="AT57" s="42">
        <f t="shared" si="75"/>
        <v>817.88887316003911</v>
      </c>
      <c r="AU57" s="42">
        <f t="shared" si="29"/>
        <v>28.106997809809432</v>
      </c>
      <c r="AV57" s="43">
        <f t="shared" si="76"/>
        <v>815.10293648447339</v>
      </c>
      <c r="AW57" s="41">
        <f t="shared" si="30"/>
        <v>2.0674015041863527E-2</v>
      </c>
      <c r="AX57" s="41">
        <f t="shared" si="31"/>
        <v>1.5435275076582617E-2</v>
      </c>
      <c r="AY57" s="41">
        <f t="shared" si="32"/>
        <v>1.9277017717788617E-2</v>
      </c>
      <c r="AZ57" s="42">
        <f t="shared" si="33"/>
        <v>107.50487821769035</v>
      </c>
      <c r="BA57" s="42">
        <f t="shared" si="77"/>
        <v>216.09385107215667</v>
      </c>
      <c r="BB57" s="42">
        <f t="shared" si="34"/>
        <v>7.6759839925620774</v>
      </c>
      <c r="BC57" s="43">
        <f t="shared" si="78"/>
        <v>222.60353578430016</v>
      </c>
      <c r="BD57" s="41">
        <f t="shared" si="35"/>
        <v>0.19227565504287997</v>
      </c>
      <c r="BE57" s="41">
        <f t="shared" si="36"/>
        <v>0.23177026014640598</v>
      </c>
      <c r="BF57" s="41">
        <f t="shared" si="37"/>
        <v>0.20280754973715356</v>
      </c>
      <c r="BG57" s="49">
        <f t="shared" si="38"/>
        <v>999.83340622297578</v>
      </c>
      <c r="BH57" s="49">
        <f t="shared" si="79"/>
        <v>3244.7836420496842</v>
      </c>
      <c r="BI57" s="49">
        <f t="shared" si="39"/>
        <v>89.914882637443</v>
      </c>
      <c r="BJ57" s="47">
        <f t="shared" si="80"/>
        <v>2607.5315964858478</v>
      </c>
      <c r="BK57" s="42">
        <f t="shared" si="40"/>
        <v>2.68</v>
      </c>
      <c r="BL57" s="42">
        <f t="shared" si="41"/>
        <v>2.68</v>
      </c>
      <c r="BM57" s="42">
        <f t="shared" si="42"/>
        <v>2.6800000000000006</v>
      </c>
      <c r="BN57" s="49">
        <f t="shared" si="43"/>
        <v>13936</v>
      </c>
      <c r="BO57" s="49">
        <f t="shared" si="81"/>
        <v>37520.000000000007</v>
      </c>
      <c r="BP57" s="49">
        <f t="shared" si="44"/>
        <v>1137.6600000000001</v>
      </c>
      <c r="BQ57" s="47">
        <f t="shared" si="82"/>
        <v>32992.14</v>
      </c>
      <c r="BR57" s="21">
        <f t="shared" si="45"/>
        <v>1.5599412508095822E-2</v>
      </c>
      <c r="BS57" s="21">
        <f t="shared" si="46"/>
        <v>9.1105618572899193E-3</v>
      </c>
      <c r="BT57" s="21">
        <f t="shared" si="47"/>
        <v>1.3869052334547582E-2</v>
      </c>
      <c r="BU57" s="42">
        <f t="shared" si="48"/>
        <v>81.11694504209828</v>
      </c>
      <c r="BV57" s="42">
        <f t="shared" si="83"/>
        <v>127.54786600205888</v>
      </c>
      <c r="BW57" s="42">
        <f t="shared" si="49"/>
        <v>5.2592919730174374</v>
      </c>
      <c r="BX57" s="43">
        <f t="shared" si="84"/>
        <v>152.51946721750573</v>
      </c>
      <c r="BY57" s="49">
        <f t="shared" si="50"/>
        <v>150.95212809889864</v>
      </c>
      <c r="BZ57" s="49">
        <f t="shared" si="51"/>
        <v>109.46574854122099</v>
      </c>
      <c r="CA57" s="49">
        <f t="shared" si="52"/>
        <v>139.88909355018458</v>
      </c>
      <c r="CB57" s="49">
        <f t="shared" si="53"/>
        <v>784951.06611427292</v>
      </c>
      <c r="CC57" s="49">
        <f t="shared" si="85"/>
        <v>1532520.4795770941</v>
      </c>
      <c r="CD57" s="49">
        <f t="shared" si="54"/>
        <v>55367.03867087017</v>
      </c>
      <c r="CE57" s="47">
        <f t="shared" si="86"/>
        <v>1605644.1214552354</v>
      </c>
      <c r="CF57" s="21">
        <f t="shared" si="55"/>
        <v>0.17350648111232075</v>
      </c>
      <c r="CG57" s="21">
        <f t="shared" si="56"/>
        <v>0.17713539258621841</v>
      </c>
      <c r="CH57" s="21">
        <f t="shared" si="57"/>
        <v>0.17447419083869345</v>
      </c>
      <c r="CI57" s="42">
        <f t="shared" si="58"/>
        <v>902.23370178406788</v>
      </c>
      <c r="CJ57" s="42">
        <f t="shared" si="87"/>
        <v>2479.8954962070579</v>
      </c>
      <c r="CK57" s="42">
        <f t="shared" si="59"/>
        <v>74.415572641698674</v>
      </c>
      <c r="CL57" s="43">
        <f t="shared" si="88"/>
        <v>2158.0516066092614</v>
      </c>
      <c r="CM57" s="21">
        <f t="shared" si="60"/>
        <v>1.7248770077813249E-2</v>
      </c>
      <c r="CN57" s="21">
        <f t="shared" si="61"/>
        <v>2.1644157198041396E-2</v>
      </c>
      <c r="CO57" s="41">
        <f t="shared" si="62"/>
        <v>1.8420873309874089E-2</v>
      </c>
      <c r="CP57" s="46">
        <f t="shared" si="63"/>
        <v>89.6936044046289</v>
      </c>
      <c r="CQ57" s="46">
        <f t="shared" si="89"/>
        <v>303.01820077257958</v>
      </c>
      <c r="CR57" s="42">
        <f t="shared" si="64"/>
        <v>8.245134193279636</v>
      </c>
      <c r="CS57" s="43">
        <f t="shared" si="90"/>
        <v>239.10889160510933</v>
      </c>
    </row>
    <row r="58" spans="1:97" ht="15.75" customHeight="1" x14ac:dyDescent="0.25">
      <c r="C58" s="326">
        <v>30</v>
      </c>
      <c r="D58" s="326">
        <f>Scenario_Info!$N$11</f>
        <v>33</v>
      </c>
      <c r="E58" s="326">
        <f>Scenario_Info!$N$12</f>
        <v>12</v>
      </c>
      <c r="F58" s="431">
        <f>Scenario_Info!$N$14/100</f>
        <v>0.77300000000000002</v>
      </c>
      <c r="G58" s="427">
        <f t="shared" si="0"/>
        <v>2.347965595632683E-3</v>
      </c>
      <c r="H58" s="428">
        <f t="shared" si="1"/>
        <v>1.6059725060000518E-3</v>
      </c>
      <c r="I58" s="428">
        <f t="shared" si="2"/>
        <v>2.150100771730648E-3</v>
      </c>
      <c r="J58" s="429">
        <f t="shared" si="3"/>
        <v>12.209421097289951</v>
      </c>
      <c r="K58" s="429">
        <f t="shared" si="65"/>
        <v>22.483615084000729</v>
      </c>
      <c r="L58" s="429">
        <f t="shared" si="4"/>
        <v>0.84089284652322138</v>
      </c>
      <c r="M58" s="430">
        <f t="shared" si="66"/>
        <v>25.226785395696641</v>
      </c>
      <c r="N58" s="427">
        <f t="shared" si="5"/>
        <v>1.810287971507309E-2</v>
      </c>
      <c r="O58" s="428">
        <f t="shared" si="6"/>
        <v>1.8425342775211056E-2</v>
      </c>
      <c r="P58" s="428">
        <f t="shared" si="7"/>
        <v>1.8188869864443215E-2</v>
      </c>
      <c r="Q58" s="429">
        <f t="shared" si="8"/>
        <v>94.134974518380062</v>
      </c>
      <c r="R58" s="429">
        <f t="shared" si="67"/>
        <v>257.95479885295481</v>
      </c>
      <c r="S58" s="429">
        <f t="shared" si="9"/>
        <v>7.7523896816775002</v>
      </c>
      <c r="T58" s="430">
        <f t="shared" si="68"/>
        <v>232.57169045032501</v>
      </c>
      <c r="U58" s="428">
        <f t="shared" si="10"/>
        <v>1.3955828940024489E-3</v>
      </c>
      <c r="V58" s="428">
        <f t="shared" si="11"/>
        <v>1.4260302196779395E-3</v>
      </c>
      <c r="W58" s="428">
        <f t="shared" si="12"/>
        <v>1.4037021808492465E-3</v>
      </c>
      <c r="X58" s="429">
        <f t="shared" si="13"/>
        <v>7.2570310488127348</v>
      </c>
      <c r="Y58" s="429">
        <f t="shared" si="69"/>
        <v>19.964423075491155</v>
      </c>
      <c r="Z58" s="429">
        <f t="shared" si="14"/>
        <v>0.59881887689589264</v>
      </c>
      <c r="AA58" s="430">
        <f t="shared" si="70"/>
        <v>17.96456630687678</v>
      </c>
      <c r="AB58" s="456">
        <f t="shared" si="15"/>
        <v>35.5</v>
      </c>
      <c r="AC58" s="456">
        <f t="shared" si="16"/>
        <v>35.5</v>
      </c>
      <c r="AD58" s="456">
        <f t="shared" si="17"/>
        <v>35.5</v>
      </c>
      <c r="AE58" s="453">
        <f t="shared" si="18"/>
        <v>184600</v>
      </c>
      <c r="AF58" s="453">
        <f t="shared" si="71"/>
        <v>497000.00000000006</v>
      </c>
      <c r="AG58" s="453">
        <f t="shared" si="19"/>
        <v>15069.75</v>
      </c>
      <c r="AH58" s="454">
        <f t="shared" si="72"/>
        <v>452092.5</v>
      </c>
      <c r="AI58" s="455">
        <f t="shared" si="20"/>
        <v>1.5482058261408303E-2</v>
      </c>
      <c r="AJ58" s="455">
        <f t="shared" si="21"/>
        <v>1.1122209244657646E-2</v>
      </c>
      <c r="AK58" s="455">
        <f t="shared" si="22"/>
        <v>1.4319431856941463E-2</v>
      </c>
      <c r="AL58" s="429">
        <f t="shared" si="23"/>
        <v>80.506702959323178</v>
      </c>
      <c r="AM58" s="429">
        <f t="shared" si="73"/>
        <v>155.71092942520707</v>
      </c>
      <c r="AN58" s="453">
        <f t="shared" si="24"/>
        <v>5.6565654384501878</v>
      </c>
      <c r="AO58" s="454">
        <f t="shared" si="74"/>
        <v>169.69696315350572</v>
      </c>
      <c r="AP58" s="455">
        <f t="shared" si="25"/>
        <v>7.3839928729178772E-2</v>
      </c>
      <c r="AQ58" s="455">
        <f t="shared" si="26"/>
        <v>5.8420633797145641E-2</v>
      </c>
      <c r="AR58" s="455">
        <f t="shared" si="27"/>
        <v>6.9728116747303268E-2</v>
      </c>
      <c r="AS58" s="429">
        <f t="shared" si="28"/>
        <v>383.96762939172959</v>
      </c>
      <c r="AT58" s="429">
        <f t="shared" si="75"/>
        <v>817.88887316003911</v>
      </c>
      <c r="AU58" s="429">
        <f t="shared" si="29"/>
        <v>28.106997809809432</v>
      </c>
      <c r="AV58" s="430">
        <f t="shared" si="76"/>
        <v>843.20993429428279</v>
      </c>
      <c r="AW58" s="455">
        <f t="shared" si="30"/>
        <v>2.0674015041863527E-2</v>
      </c>
      <c r="AX58" s="455">
        <f t="shared" si="31"/>
        <v>1.5435275076582617E-2</v>
      </c>
      <c r="AY58" s="455">
        <f t="shared" si="32"/>
        <v>1.9277017717788617E-2</v>
      </c>
      <c r="AZ58" s="429">
        <f t="shared" si="33"/>
        <v>107.50487821769035</v>
      </c>
      <c r="BA58" s="429">
        <f t="shared" si="77"/>
        <v>216.09385107215667</v>
      </c>
      <c r="BB58" s="429">
        <f t="shared" si="34"/>
        <v>7.6759839925620774</v>
      </c>
      <c r="BC58" s="430">
        <f t="shared" si="78"/>
        <v>230.27951977686223</v>
      </c>
      <c r="BD58" s="455">
        <f t="shared" si="35"/>
        <v>0.19227565504287997</v>
      </c>
      <c r="BE58" s="455">
        <f t="shared" si="36"/>
        <v>0.23177026014640598</v>
      </c>
      <c r="BF58" s="455">
        <f t="shared" si="37"/>
        <v>0.20280754973715356</v>
      </c>
      <c r="BG58" s="453">
        <f t="shared" si="38"/>
        <v>999.83340622297578</v>
      </c>
      <c r="BH58" s="453">
        <f t="shared" si="79"/>
        <v>3244.7836420496842</v>
      </c>
      <c r="BI58" s="453">
        <f t="shared" si="39"/>
        <v>89.914882637443</v>
      </c>
      <c r="BJ58" s="454">
        <f t="shared" si="80"/>
        <v>2697.4464791232908</v>
      </c>
      <c r="BK58" s="429">
        <f t="shared" si="40"/>
        <v>2.68</v>
      </c>
      <c r="BL58" s="429">
        <f t="shared" si="41"/>
        <v>2.68</v>
      </c>
      <c r="BM58" s="429">
        <f t="shared" si="42"/>
        <v>2.6800000000000006</v>
      </c>
      <c r="BN58" s="453">
        <f t="shared" si="43"/>
        <v>13936</v>
      </c>
      <c r="BO58" s="453">
        <f t="shared" si="81"/>
        <v>37520.000000000007</v>
      </c>
      <c r="BP58" s="453">
        <f t="shared" si="44"/>
        <v>1137.6600000000001</v>
      </c>
      <c r="BQ58" s="454">
        <f t="shared" si="82"/>
        <v>34129.800000000003</v>
      </c>
      <c r="BR58" s="428">
        <f t="shared" si="45"/>
        <v>1.5599412508095822E-2</v>
      </c>
      <c r="BS58" s="428">
        <f t="shared" si="46"/>
        <v>9.1105618572899193E-3</v>
      </c>
      <c r="BT58" s="428">
        <f t="shared" si="47"/>
        <v>1.3869052334547582E-2</v>
      </c>
      <c r="BU58" s="429">
        <f t="shared" si="48"/>
        <v>81.11694504209828</v>
      </c>
      <c r="BV58" s="429">
        <f t="shared" si="83"/>
        <v>127.54786600205888</v>
      </c>
      <c r="BW58" s="429">
        <f t="shared" si="49"/>
        <v>5.2592919730174374</v>
      </c>
      <c r="BX58" s="430">
        <f t="shared" si="84"/>
        <v>157.77875919052317</v>
      </c>
      <c r="BY58" s="453">
        <f t="shared" si="50"/>
        <v>150.95212809889864</v>
      </c>
      <c r="BZ58" s="453">
        <f t="shared" si="51"/>
        <v>109.46574854122099</v>
      </c>
      <c r="CA58" s="453">
        <f t="shared" si="52"/>
        <v>139.88909355018458</v>
      </c>
      <c r="CB58" s="453">
        <f t="shared" si="53"/>
        <v>784951.06611427292</v>
      </c>
      <c r="CC58" s="453">
        <f t="shared" si="85"/>
        <v>1532520.4795770941</v>
      </c>
      <c r="CD58" s="453">
        <f t="shared" si="54"/>
        <v>55367.03867087017</v>
      </c>
      <c r="CE58" s="454">
        <f t="shared" si="86"/>
        <v>1661011.1601261056</v>
      </c>
      <c r="CF58" s="428">
        <f t="shared" si="55"/>
        <v>0.17350648111232075</v>
      </c>
      <c r="CG58" s="428">
        <f t="shared" si="56"/>
        <v>0.17713539258621841</v>
      </c>
      <c r="CH58" s="428">
        <f t="shared" si="57"/>
        <v>0.17447419083869345</v>
      </c>
      <c r="CI58" s="429">
        <f t="shared" si="58"/>
        <v>902.23370178406788</v>
      </c>
      <c r="CJ58" s="429">
        <f t="shared" si="87"/>
        <v>2479.8954962070579</v>
      </c>
      <c r="CK58" s="429">
        <f t="shared" si="59"/>
        <v>74.415572641698674</v>
      </c>
      <c r="CL58" s="430">
        <f t="shared" si="88"/>
        <v>2232.4671792509603</v>
      </c>
      <c r="CM58" s="428">
        <f t="shared" si="60"/>
        <v>1.7248770077813249E-2</v>
      </c>
      <c r="CN58" s="428">
        <f t="shared" si="61"/>
        <v>2.1644157198041396E-2</v>
      </c>
      <c r="CO58" s="455">
        <f t="shared" si="62"/>
        <v>1.8420873309874089E-2</v>
      </c>
      <c r="CP58" s="456">
        <f t="shared" si="63"/>
        <v>89.6936044046289</v>
      </c>
      <c r="CQ58" s="456">
        <f t="shared" si="89"/>
        <v>303.01820077257958</v>
      </c>
      <c r="CR58" s="429">
        <f t="shared" si="64"/>
        <v>8.245134193279636</v>
      </c>
      <c r="CS58" s="430">
        <f t="shared" si="90"/>
        <v>247.35402579838896</v>
      </c>
    </row>
    <row r="59" spans="1:97" ht="15.75" customHeight="1" x14ac:dyDescent="0.25">
      <c r="A59" s="6"/>
      <c r="B59" s="6"/>
      <c r="C59" s="6"/>
      <c r="D59" s="6"/>
      <c r="E59" s="6"/>
      <c r="F59" s="29" t="s">
        <v>68</v>
      </c>
      <c r="G59" s="29"/>
      <c r="H59" s="29"/>
      <c r="I59" s="29"/>
      <c r="J59" s="29"/>
      <c r="K59" s="29"/>
      <c r="L59" s="29"/>
      <c r="M59" s="30">
        <f>(1-M58/J$17)</f>
        <v>0.9998949695302225</v>
      </c>
      <c r="N59" s="30"/>
      <c r="O59" s="30"/>
      <c r="P59" s="30"/>
      <c r="Q59" s="6"/>
      <c r="R59" s="6"/>
      <c r="S59" s="6"/>
      <c r="T59" s="30">
        <f>(1-T58/Q$17)</f>
        <v>0.99993192621494287</v>
      </c>
      <c r="U59" s="30"/>
      <c r="V59" s="30"/>
      <c r="W59" s="30"/>
      <c r="X59" s="6"/>
      <c r="Y59" s="6"/>
      <c r="Z59" s="6"/>
      <c r="AA59" s="30">
        <f>(1-AA58/X$17)</f>
        <v>0.99998938113780511</v>
      </c>
      <c r="AB59" s="30"/>
      <c r="AC59" s="30"/>
      <c r="AD59" s="30"/>
      <c r="AE59" s="6"/>
      <c r="AF59" s="6"/>
      <c r="AG59" s="6"/>
      <c r="AH59" s="30">
        <f>(1-AH58/AE$17)</f>
        <v>0.80767390039206077</v>
      </c>
      <c r="AI59" s="30"/>
      <c r="AJ59" s="30"/>
      <c r="AK59" s="30"/>
      <c r="AL59" s="6"/>
      <c r="AM59" s="6"/>
      <c r="AN59" s="6"/>
      <c r="AO59" s="30">
        <f>(1-AO58/AL$17)</f>
        <v>0.99819350626638326</v>
      </c>
      <c r="AP59" s="30"/>
      <c r="AQ59" s="30"/>
      <c r="AR59" s="30"/>
      <c r="AS59" s="6"/>
      <c r="AT59" s="6"/>
      <c r="AU59" s="6"/>
      <c r="AV59" s="30">
        <f>(1-AV58/AS$17)</f>
        <v>0.999978927430487</v>
      </c>
      <c r="AW59" s="30"/>
      <c r="AX59" s="30"/>
      <c r="AY59" s="30"/>
      <c r="AZ59" s="6"/>
      <c r="BA59" s="6"/>
      <c r="BB59" s="6"/>
      <c r="BC59" s="30">
        <f>(1-BC58/AZ$17)</f>
        <v>0.9998287252996072</v>
      </c>
      <c r="BD59" s="30"/>
      <c r="BE59" s="30"/>
      <c r="BF59" s="30"/>
      <c r="BG59" s="6"/>
      <c r="BH59" s="6"/>
      <c r="BI59" s="6"/>
      <c r="BJ59" s="30">
        <f>(1-BJ58/BG$17)</f>
        <v>0.9946851277582256</v>
      </c>
      <c r="BK59" s="30"/>
      <c r="BL59" s="30"/>
      <c r="BM59" s="30"/>
      <c r="BN59" s="6"/>
      <c r="BO59" s="6"/>
      <c r="BP59" s="6"/>
      <c r="BQ59" s="30">
        <f>(1-BQ58/BN$17)</f>
        <v>0.71394878706199472</v>
      </c>
      <c r="BR59" s="30"/>
      <c r="BS59" s="30"/>
      <c r="BT59" s="30"/>
      <c r="BU59" s="6"/>
      <c r="BV59" s="6"/>
      <c r="BW59" s="6"/>
      <c r="BX59" s="30">
        <f>(1-BX58/BU$17)</f>
        <v>0.99309162322339206</v>
      </c>
      <c r="BY59" s="30"/>
      <c r="BZ59" s="30"/>
      <c r="CA59" s="30"/>
      <c r="CB59" s="6"/>
      <c r="CC59" s="6"/>
      <c r="CD59" s="6"/>
      <c r="CE59" s="30">
        <f>(1-CE58/CB$17)</f>
        <v>0.98250277857247459</v>
      </c>
      <c r="CF59" s="30"/>
      <c r="CG59" s="30"/>
      <c r="CH59" s="30"/>
      <c r="CI59" s="6"/>
      <c r="CJ59" s="6"/>
      <c r="CK59" s="6"/>
      <c r="CL59" s="30">
        <f>(1-CL58/CI$17)</f>
        <v>0.97142719966760405</v>
      </c>
      <c r="CM59" s="30"/>
      <c r="CN59" s="30"/>
      <c r="CO59" s="30"/>
      <c r="CP59" s="6"/>
      <c r="CQ59" s="6"/>
      <c r="CR59" s="6"/>
      <c r="CS59" s="30">
        <f>(1-CS58/CP$17)</f>
        <v>0.99996580910556387</v>
      </c>
    </row>
    <row r="60" spans="1:97" ht="15.75" customHeight="1" x14ac:dyDescent="0.25"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1:97" ht="15.75" customHeight="1" x14ac:dyDescent="0.25"/>
    <row r="62" spans="1:97" ht="15.75" customHeight="1" x14ac:dyDescent="0.25">
      <c r="A62" s="9"/>
    </row>
    <row r="63" spans="1:97" s="6" customFormat="1" ht="15.75" customHeight="1" x14ac:dyDescent="0.25">
      <c r="A63"/>
      <c r="B63"/>
      <c r="C63" s="5"/>
      <c r="D63" s="5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1:97" ht="15.75" customHeight="1" x14ac:dyDescent="0.25">
      <c r="C64" s="5"/>
      <c r="D64" s="5"/>
    </row>
    <row r="65" spans="1:97" s="22" customFormat="1" ht="15.75" customHeight="1" x14ac:dyDescent="0.25">
      <c r="A65"/>
      <c r="B65" s="9" t="s">
        <v>270</v>
      </c>
      <c r="C65" s="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s="22" customFormat="1" ht="15.75" customHeight="1" x14ac:dyDescent="0.25">
      <c r="A66"/>
      <c r="B66"/>
      <c r="C66"/>
      <c r="D66" s="5" t="s">
        <v>100</v>
      </c>
      <c r="E66" s="24">
        <f>Scenario_Info!O15/100</f>
        <v>3.3E-3</v>
      </c>
      <c r="F66" t="s">
        <v>79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s="22" customFormat="1" ht="15.75" customHeight="1" x14ac:dyDescent="0.25">
      <c r="A67" s="6"/>
      <c r="B67" s="9"/>
      <c r="C67" s="59"/>
      <c r="D67" s="5" t="s">
        <v>101</v>
      </c>
      <c r="E67" s="24">
        <f>Scenario_Info!O16/100</f>
        <v>1.1000000000000001E-2</v>
      </c>
      <c r="F67" t="s">
        <v>79</v>
      </c>
      <c r="G67" s="352"/>
      <c r="H67" s="353"/>
      <c r="I67" s="353"/>
      <c r="J67" s="354" t="str">
        <f>J13</f>
        <v>Antimony</v>
      </c>
      <c r="K67" s="354"/>
      <c r="L67" s="354"/>
      <c r="M67" s="425"/>
      <c r="N67" s="352"/>
      <c r="O67" s="353"/>
      <c r="P67" s="353"/>
      <c r="Q67" s="354" t="str">
        <f>Q13</f>
        <v>Arsenic</v>
      </c>
      <c r="R67" s="353"/>
      <c r="S67" s="353"/>
      <c r="T67" s="355"/>
      <c r="U67" s="353"/>
      <c r="V67" s="353"/>
      <c r="W67" s="353"/>
      <c r="X67" s="354" t="str">
        <f>X13</f>
        <v>Cadmium</v>
      </c>
      <c r="Y67" s="353"/>
      <c r="Z67" s="353"/>
      <c r="AA67" s="355"/>
      <c r="AB67" s="357"/>
      <c r="AC67" s="357"/>
      <c r="AD67" s="357"/>
      <c r="AE67" s="358" t="str">
        <f>AE13</f>
        <v>Chloride</v>
      </c>
      <c r="AF67" s="357"/>
      <c r="AG67" s="357"/>
      <c r="AH67" s="439"/>
      <c r="AI67" s="353"/>
      <c r="AJ67" s="353"/>
      <c r="AK67" s="353"/>
      <c r="AL67" s="354" t="str">
        <f>AL13</f>
        <v>Chromium</v>
      </c>
      <c r="AM67" s="353"/>
      <c r="AN67" s="353"/>
      <c r="AO67" s="355"/>
      <c r="AP67" s="353"/>
      <c r="AQ67" s="353"/>
      <c r="AR67" s="353"/>
      <c r="AS67" s="354" t="str">
        <f>AS13</f>
        <v>Copper</v>
      </c>
      <c r="AT67" s="353"/>
      <c r="AU67" s="353"/>
      <c r="AV67" s="353"/>
      <c r="AW67" s="352"/>
      <c r="AX67" s="353"/>
      <c r="AY67" s="353"/>
      <c r="AZ67" s="354" t="str">
        <f>AZ13</f>
        <v>Fluoride</v>
      </c>
      <c r="BA67" s="353"/>
      <c r="BB67" s="353"/>
      <c r="BC67" s="355"/>
      <c r="BD67" s="353"/>
      <c r="BE67" s="353"/>
      <c r="BF67" s="353"/>
      <c r="BG67" s="354" t="str">
        <f>BG13</f>
        <v>Lead</v>
      </c>
      <c r="BH67" s="353"/>
      <c r="BI67" s="353"/>
      <c r="BJ67" s="355"/>
      <c r="BK67" s="356"/>
      <c r="BL67" s="357"/>
      <c r="BM67" s="357"/>
      <c r="BN67" s="358" t="str">
        <f>BN13</f>
        <v>Nitrate</v>
      </c>
      <c r="BO67" s="357"/>
      <c r="BP67" s="357"/>
      <c r="BQ67" s="439"/>
      <c r="BR67" s="357"/>
      <c r="BS67" s="357"/>
      <c r="BT67" s="357"/>
      <c r="BU67" s="358" t="str">
        <f>BU13</f>
        <v>Selenium</v>
      </c>
      <c r="BV67" s="357"/>
      <c r="BW67" s="357"/>
      <c r="BX67" s="357"/>
      <c r="BY67" s="440"/>
      <c r="BZ67" s="441"/>
      <c r="CA67" s="441"/>
      <c r="CB67" s="358" t="str">
        <f>CB13</f>
        <v>Sulfate</v>
      </c>
      <c r="CC67" s="441"/>
      <c r="CD67" s="357"/>
      <c r="CE67" s="442"/>
      <c r="CF67" s="448"/>
      <c r="CG67" s="449"/>
      <c r="CH67" s="449"/>
      <c r="CI67" s="354" t="str">
        <f>CI13</f>
        <v>Thallium</v>
      </c>
      <c r="CJ67" s="449"/>
      <c r="CK67" s="353"/>
      <c r="CL67" s="449"/>
      <c r="CM67" s="448"/>
      <c r="CN67" s="449"/>
      <c r="CO67" s="449"/>
      <c r="CP67" s="450" t="str">
        <f>CP13</f>
        <v>Zinc</v>
      </c>
      <c r="CQ67" s="449"/>
      <c r="CR67" s="353"/>
      <c r="CS67" s="451"/>
    </row>
    <row r="68" spans="1:97" s="22" customFormat="1" ht="15.75" customHeight="1" x14ac:dyDescent="0.25">
      <c r="A68"/>
      <c r="B68"/>
      <c r="C68"/>
      <c r="D68"/>
      <c r="E68"/>
      <c r="F68"/>
      <c r="G68" s="359"/>
      <c r="H68" s="360"/>
      <c r="I68" s="360"/>
      <c r="J68" s="361" t="str">
        <f>J14</f>
        <v>Solubility</v>
      </c>
      <c r="K68" s="361"/>
      <c r="L68" s="361"/>
      <c r="M68" s="424"/>
      <c r="N68" s="359"/>
      <c r="O68" s="360"/>
      <c r="P68" s="360"/>
      <c r="Q68" s="361" t="str">
        <f>Q14</f>
        <v>Solubility</v>
      </c>
      <c r="R68" s="360"/>
      <c r="S68" s="360"/>
      <c r="T68" s="362"/>
      <c r="U68" s="360"/>
      <c r="V68" s="360"/>
      <c r="W68" s="360"/>
      <c r="X68" s="361" t="str">
        <f>X14</f>
        <v>Solubility</v>
      </c>
      <c r="Y68" s="360"/>
      <c r="Z68" s="360"/>
      <c r="AA68" s="362"/>
      <c r="AB68" s="364"/>
      <c r="AC68" s="364"/>
      <c r="AD68" s="364"/>
      <c r="AE68" s="365" t="str">
        <f>AE14</f>
        <v>Available Content</v>
      </c>
      <c r="AF68" s="364"/>
      <c r="AG68" s="364"/>
      <c r="AH68" s="434"/>
      <c r="AI68" s="360"/>
      <c r="AJ68" s="360"/>
      <c r="AK68" s="360"/>
      <c r="AL68" s="361" t="str">
        <f>AL14</f>
        <v>Solubility</v>
      </c>
      <c r="AM68" s="360"/>
      <c r="AN68" s="360"/>
      <c r="AO68" s="362"/>
      <c r="AP68" s="360"/>
      <c r="AQ68" s="360"/>
      <c r="AR68" s="360"/>
      <c r="AS68" s="361" t="str">
        <f>AS14</f>
        <v>Solubility</v>
      </c>
      <c r="AT68" s="360"/>
      <c r="AU68" s="360"/>
      <c r="AV68" s="360"/>
      <c r="AW68" s="359"/>
      <c r="AX68" s="360"/>
      <c r="AY68" s="360"/>
      <c r="AZ68" s="361" t="str">
        <f>AZ14</f>
        <v>Solubility</v>
      </c>
      <c r="BA68" s="360"/>
      <c r="BB68" s="360"/>
      <c r="BC68" s="362"/>
      <c r="BD68" s="360"/>
      <c r="BE68" s="360"/>
      <c r="BF68" s="360"/>
      <c r="BG68" s="361" t="str">
        <f>BG14</f>
        <v>Solubility</v>
      </c>
      <c r="BH68" s="360"/>
      <c r="BI68" s="360"/>
      <c r="BJ68" s="362"/>
      <c r="BK68" s="363"/>
      <c r="BL68" s="364"/>
      <c r="BM68" s="364"/>
      <c r="BN68" s="365" t="str">
        <f>BN14</f>
        <v>Available Content</v>
      </c>
      <c r="BO68" s="364"/>
      <c r="BP68" s="364"/>
      <c r="BQ68" s="434"/>
      <c r="BR68" s="364"/>
      <c r="BS68" s="364"/>
      <c r="BT68" s="364"/>
      <c r="BU68" s="365" t="str">
        <f>BU14</f>
        <v>Available Content</v>
      </c>
      <c r="BV68" s="364"/>
      <c r="BW68" s="364"/>
      <c r="BX68" s="364"/>
      <c r="BY68" s="435"/>
      <c r="BZ68" s="436"/>
      <c r="CA68" s="436"/>
      <c r="CB68" s="437" t="str">
        <f>CB14</f>
        <v>Solubility</v>
      </c>
      <c r="CC68" s="436"/>
      <c r="CD68" s="364"/>
      <c r="CE68" s="438"/>
      <c r="CF68" s="443"/>
      <c r="CG68" s="444"/>
      <c r="CH68" s="444"/>
      <c r="CI68" s="445" t="str">
        <f>CI14</f>
        <v>Solubility</v>
      </c>
      <c r="CJ68" s="444"/>
      <c r="CK68" s="360"/>
      <c r="CL68" s="444"/>
      <c r="CM68" s="443"/>
      <c r="CN68" s="444"/>
      <c r="CO68" s="444"/>
      <c r="CP68" s="446" t="str">
        <f>CP14</f>
        <v>Solubility</v>
      </c>
      <c r="CQ68" s="444"/>
      <c r="CR68" s="360"/>
      <c r="CS68" s="447"/>
    </row>
    <row r="69" spans="1:97" s="85" customFormat="1" ht="15.75" customHeight="1" x14ac:dyDescent="0.25">
      <c r="D69" s="86"/>
      <c r="E69" s="86"/>
      <c r="F69" s="86" t="s">
        <v>5</v>
      </c>
      <c r="G69" s="470">
        <f>G15</f>
        <v>6.0000000000000001E-3</v>
      </c>
      <c r="H69" s="463" t="s">
        <v>193</v>
      </c>
      <c r="I69" s="464"/>
      <c r="J69" s="464"/>
      <c r="K69" s="465"/>
      <c r="L69" s="418"/>
      <c r="M69" s="419"/>
      <c r="N69" s="470">
        <f>N15</f>
        <v>0.01</v>
      </c>
      <c r="O69" s="463" t="s">
        <v>193</v>
      </c>
      <c r="P69" s="93"/>
      <c r="Q69" s="93"/>
      <c r="R69" s="89"/>
      <c r="S69" s="90"/>
      <c r="T69" s="91"/>
      <c r="U69" s="470">
        <f>U15</f>
        <v>5.0000000000000001E-3</v>
      </c>
      <c r="V69" s="463" t="s">
        <v>193</v>
      </c>
      <c r="W69" s="93"/>
      <c r="X69" s="93"/>
      <c r="Y69" s="89"/>
      <c r="Z69" s="90"/>
      <c r="AA69" s="91"/>
      <c r="AB69" s="473">
        <f>AB15</f>
        <v>250</v>
      </c>
      <c r="AC69" s="463" t="s">
        <v>193</v>
      </c>
      <c r="AD69" s="93"/>
      <c r="AE69" s="93"/>
      <c r="AF69" s="89"/>
      <c r="AG69" s="96"/>
      <c r="AH69" s="91"/>
      <c r="AI69" s="470">
        <f>AI15</f>
        <v>0.1</v>
      </c>
      <c r="AJ69" s="463" t="s">
        <v>193</v>
      </c>
      <c r="AK69" s="93"/>
      <c r="AL69" s="93"/>
      <c r="AM69" s="89"/>
      <c r="AN69" s="90"/>
      <c r="AO69" s="91"/>
      <c r="AP69" s="471">
        <f>AP15</f>
        <v>1.3</v>
      </c>
      <c r="AQ69" s="463" t="s">
        <v>193</v>
      </c>
      <c r="AR69" s="93"/>
      <c r="AS69" s="93"/>
      <c r="AT69" s="89"/>
      <c r="AU69" s="90"/>
      <c r="AV69" s="88"/>
      <c r="AW69" s="471">
        <f>AW15</f>
        <v>4</v>
      </c>
      <c r="AX69" s="463" t="s">
        <v>193</v>
      </c>
      <c r="AY69" s="93"/>
      <c r="AZ69" s="93"/>
      <c r="BA69" s="89"/>
      <c r="BB69" s="90"/>
      <c r="BC69" s="91"/>
      <c r="BD69" s="470">
        <f>BD15</f>
        <v>1.4999999999999999E-2</v>
      </c>
      <c r="BE69" s="463" t="s">
        <v>193</v>
      </c>
      <c r="BF69" s="93"/>
      <c r="BG69" s="93"/>
      <c r="BH69" s="89"/>
      <c r="BI69" s="90"/>
      <c r="BJ69" s="91"/>
      <c r="BK69" s="471">
        <f>BK15</f>
        <v>44</v>
      </c>
      <c r="BL69" s="463" t="s">
        <v>193</v>
      </c>
      <c r="BM69" s="93"/>
      <c r="BN69" s="93"/>
      <c r="BO69" s="89"/>
      <c r="BP69" s="90"/>
      <c r="BQ69" s="91"/>
      <c r="BR69" s="470">
        <f>BR15</f>
        <v>0.05</v>
      </c>
      <c r="BS69" s="463" t="s">
        <v>193</v>
      </c>
      <c r="BT69" s="93"/>
      <c r="BU69" s="93"/>
      <c r="BV69" s="89"/>
      <c r="BW69" s="90"/>
      <c r="BX69" s="88"/>
      <c r="BY69" s="473">
        <f>BY15</f>
        <v>250</v>
      </c>
      <c r="BZ69" s="463" t="s">
        <v>193</v>
      </c>
      <c r="CA69" s="93"/>
      <c r="CB69" s="93"/>
      <c r="CC69" s="89"/>
      <c r="CD69" s="96"/>
      <c r="CE69" s="91"/>
      <c r="CF69" s="470">
        <f>CF15</f>
        <v>2E-3</v>
      </c>
      <c r="CG69" s="463" t="s">
        <v>193</v>
      </c>
      <c r="CH69" s="93"/>
      <c r="CI69" s="93"/>
      <c r="CJ69" s="89"/>
      <c r="CK69" s="90"/>
      <c r="CL69" s="91"/>
      <c r="CM69" s="471">
        <f>CM15</f>
        <v>5</v>
      </c>
      <c r="CN69" s="463" t="s">
        <v>193</v>
      </c>
      <c r="CO69" s="93"/>
      <c r="CP69" s="93"/>
      <c r="CQ69" s="89"/>
      <c r="CR69" s="90"/>
      <c r="CS69" s="91"/>
    </row>
    <row r="70" spans="1:97" s="85" customFormat="1" ht="15.75" customHeight="1" x14ac:dyDescent="0.25">
      <c r="D70" s="86"/>
      <c r="E70" s="86"/>
      <c r="F70" s="345" t="s">
        <v>241</v>
      </c>
      <c r="G70" s="92">
        <f>G16</f>
        <v>0.20899999999999999</v>
      </c>
      <c r="H70" s="88" t="s">
        <v>193</v>
      </c>
      <c r="I70" s="104"/>
      <c r="J70" s="104"/>
      <c r="K70" s="89"/>
      <c r="L70" s="90"/>
      <c r="M70" s="91"/>
      <c r="N70" s="92">
        <f>N16</f>
        <v>0.35499999999999998</v>
      </c>
      <c r="O70" s="88" t="s">
        <v>193</v>
      </c>
      <c r="P70" s="93"/>
      <c r="Q70" s="93"/>
      <c r="R70" s="89"/>
      <c r="S70" s="90"/>
      <c r="T70" s="91"/>
      <c r="U70" s="87">
        <f>U16</f>
        <v>9.4299999999999995E-2</v>
      </c>
      <c r="V70" s="88" t="s">
        <v>193</v>
      </c>
      <c r="W70" s="93"/>
      <c r="X70" s="93"/>
      <c r="Y70" s="89"/>
      <c r="Z70" s="90"/>
      <c r="AA70" s="91"/>
      <c r="AB70" s="472">
        <f>AB16</f>
        <v>35.5</v>
      </c>
      <c r="AC70" s="88" t="s">
        <v>193</v>
      </c>
      <c r="AD70" s="93"/>
      <c r="AE70" s="93"/>
      <c r="AF70" s="89"/>
      <c r="AG70" s="96"/>
      <c r="AH70" s="91"/>
      <c r="AI70" s="92">
        <f>AI16</f>
        <v>0.28899999999999998</v>
      </c>
      <c r="AJ70" s="88" t="s">
        <v>193</v>
      </c>
      <c r="AK70" s="93"/>
      <c r="AL70" s="93"/>
      <c r="AM70" s="89"/>
      <c r="AN70" s="90"/>
      <c r="AO70" s="91"/>
      <c r="AP70" s="100">
        <f>AP16</f>
        <v>2.2999999999999998</v>
      </c>
      <c r="AQ70" s="88" t="s">
        <v>193</v>
      </c>
      <c r="AR70" s="93"/>
      <c r="AS70" s="93"/>
      <c r="AT70" s="89"/>
      <c r="AU70" s="90"/>
      <c r="AV70" s="88"/>
      <c r="AW70" s="100">
        <f>AW16</f>
        <v>6.45</v>
      </c>
      <c r="AX70" s="88" t="s">
        <v>193</v>
      </c>
      <c r="AY70" s="93"/>
      <c r="AZ70" s="93"/>
      <c r="BA70" s="89"/>
      <c r="BB70" s="90"/>
      <c r="BC70" s="91"/>
      <c r="BD70" s="92">
        <f>BD16</f>
        <v>7.2</v>
      </c>
      <c r="BE70" s="88" t="s">
        <v>193</v>
      </c>
      <c r="BF70" s="93"/>
      <c r="BG70" s="93"/>
      <c r="BH70" s="89"/>
      <c r="BI70" s="90"/>
      <c r="BJ70" s="91"/>
      <c r="BK70" s="100">
        <f>BK16</f>
        <v>2.68</v>
      </c>
      <c r="BL70" s="88" t="s">
        <v>193</v>
      </c>
      <c r="BM70" s="93"/>
      <c r="BN70" s="93"/>
      <c r="BO70" s="89"/>
      <c r="BP70" s="90"/>
      <c r="BQ70" s="91"/>
      <c r="BR70" s="92">
        <f>BR16</f>
        <v>0.249</v>
      </c>
      <c r="BS70" s="88" t="s">
        <v>193</v>
      </c>
      <c r="BT70" s="93"/>
      <c r="BU70" s="93"/>
      <c r="BV70" s="89"/>
      <c r="BW70" s="90"/>
      <c r="BX70" s="88"/>
      <c r="BY70" s="98">
        <f>BY16</f>
        <v>1863</v>
      </c>
      <c r="BZ70" s="88" t="s">
        <v>193</v>
      </c>
      <c r="CA70" s="93"/>
      <c r="CB70" s="93"/>
      <c r="CC70" s="89"/>
      <c r="CD70" s="96"/>
      <c r="CE70" s="91"/>
      <c r="CF70" s="92">
        <f>CF16</f>
        <v>0.23</v>
      </c>
      <c r="CG70" s="88" t="s">
        <v>193</v>
      </c>
      <c r="CH70" s="93"/>
      <c r="CI70" s="93"/>
      <c r="CJ70" s="89"/>
      <c r="CK70" s="90"/>
      <c r="CL70" s="91"/>
      <c r="CM70" s="100">
        <f>CM16</f>
        <v>3.85</v>
      </c>
      <c r="CN70" s="88" t="s">
        <v>193</v>
      </c>
      <c r="CO70" s="93"/>
      <c r="CP70" s="93"/>
      <c r="CQ70" s="89"/>
      <c r="CR70" s="90"/>
      <c r="CS70" s="91"/>
    </row>
    <row r="71" spans="1:97" s="85" customFormat="1" ht="15.75" customHeight="1" x14ac:dyDescent="0.25">
      <c r="D71" s="86"/>
      <c r="E71" s="86"/>
      <c r="F71" s="345" t="s">
        <v>224</v>
      </c>
      <c r="G71" s="100">
        <f>G17</f>
        <v>53.95000000000001</v>
      </c>
      <c r="H71" s="104" t="s">
        <v>194</v>
      </c>
      <c r="I71" s="309" t="s">
        <v>243</v>
      </c>
      <c r="J71" s="397">
        <f>G71*$E$7/$E$8</f>
        <v>240185.40000000008</v>
      </c>
      <c r="K71" s="104" t="s">
        <v>245</v>
      </c>
      <c r="L71" s="90"/>
      <c r="M71" s="91"/>
      <c r="N71" s="472">
        <f>N17</f>
        <v>767.4</v>
      </c>
      <c r="O71" s="104" t="s">
        <v>194</v>
      </c>
      <c r="P71" s="309" t="s">
        <v>243</v>
      </c>
      <c r="Q71" s="397">
        <f>N71*$E$7/$E$8</f>
        <v>3416464.8000000007</v>
      </c>
      <c r="R71" s="104" t="s">
        <v>245</v>
      </c>
      <c r="S71" s="90"/>
      <c r="T71" s="91"/>
      <c r="U71" s="98">
        <f>U17</f>
        <v>380</v>
      </c>
      <c r="V71" s="104" t="s">
        <v>194</v>
      </c>
      <c r="W71" s="309" t="s">
        <v>243</v>
      </c>
      <c r="X71" s="397">
        <f>U71*$E$7/$E$8</f>
        <v>1691760.0000000002</v>
      </c>
      <c r="Y71" s="104" t="s">
        <v>245</v>
      </c>
      <c r="Z71" s="90"/>
      <c r="AA71" s="91"/>
      <c r="AB71" s="98">
        <f>AB17</f>
        <v>528</v>
      </c>
      <c r="AC71" s="104" t="s">
        <v>194</v>
      </c>
      <c r="AD71" s="309" t="s">
        <v>243</v>
      </c>
      <c r="AE71" s="397">
        <f>AB71*$E$7/$E$8</f>
        <v>2350656.0000000005</v>
      </c>
      <c r="AF71" s="104" t="s">
        <v>245</v>
      </c>
      <c r="AG71" s="96"/>
      <c r="AH71" s="91"/>
      <c r="AI71" s="472">
        <f>AI17</f>
        <v>21.1</v>
      </c>
      <c r="AJ71" s="104" t="s">
        <v>194</v>
      </c>
      <c r="AK71" s="309" t="s">
        <v>243</v>
      </c>
      <c r="AL71" s="397">
        <f>AI71*$E$7/$E$8</f>
        <v>93937.200000000012</v>
      </c>
      <c r="AM71" s="104" t="s">
        <v>245</v>
      </c>
      <c r="AN71" s="90"/>
      <c r="AO71" s="91"/>
      <c r="AP71" s="98">
        <f>AP17</f>
        <v>8988</v>
      </c>
      <c r="AQ71" s="104" t="s">
        <v>194</v>
      </c>
      <c r="AR71" s="309" t="s">
        <v>243</v>
      </c>
      <c r="AS71" s="397">
        <f>AP71*$E$7/$E$8</f>
        <v>40014576.000000007</v>
      </c>
      <c r="AT71" s="104" t="s">
        <v>245</v>
      </c>
      <c r="AU71" s="90"/>
      <c r="AV71" s="88"/>
      <c r="AW71" s="98">
        <f>AW17</f>
        <v>302</v>
      </c>
      <c r="AX71" s="104" t="s">
        <v>194</v>
      </c>
      <c r="AY71" s="309" t="s">
        <v>243</v>
      </c>
      <c r="AZ71" s="397">
        <f>AW71*$E$7/$E$8</f>
        <v>1344504.0000000002</v>
      </c>
      <c r="BA71" s="104" t="s">
        <v>245</v>
      </c>
      <c r="BB71" s="90"/>
      <c r="BC71" s="91"/>
      <c r="BD71" s="98">
        <f>BD17</f>
        <v>114</v>
      </c>
      <c r="BE71" s="104" t="s">
        <v>194</v>
      </c>
      <c r="BF71" s="309" t="s">
        <v>243</v>
      </c>
      <c r="BG71" s="397">
        <f>BD71*$E$7/$E$8</f>
        <v>507528.00000000006</v>
      </c>
      <c r="BH71" s="104" t="s">
        <v>245</v>
      </c>
      <c r="BI71" s="90"/>
      <c r="BJ71" s="91"/>
      <c r="BK71" s="100">
        <f>BK17</f>
        <v>26.8</v>
      </c>
      <c r="BL71" s="104" t="s">
        <v>194</v>
      </c>
      <c r="BM71" s="309" t="s">
        <v>243</v>
      </c>
      <c r="BN71" s="397">
        <f>BK71*$E$7/$E$8</f>
        <v>119313.60000000002</v>
      </c>
      <c r="BO71" s="104" t="s">
        <v>245</v>
      </c>
      <c r="BP71" s="90"/>
      <c r="BQ71" s="91"/>
      <c r="BR71" s="100">
        <f>BR17</f>
        <v>5.13</v>
      </c>
      <c r="BS71" s="104" t="s">
        <v>194</v>
      </c>
      <c r="BT71" s="309" t="s">
        <v>243</v>
      </c>
      <c r="BU71" s="397">
        <f>BR71*$E$7/$E$8</f>
        <v>22838.760000000006</v>
      </c>
      <c r="BV71" s="104" t="s">
        <v>245</v>
      </c>
      <c r="BW71" s="90"/>
      <c r="BX71" s="88"/>
      <c r="BY71" s="98">
        <f>BY17</f>
        <v>21323</v>
      </c>
      <c r="BZ71" s="104" t="s">
        <v>194</v>
      </c>
      <c r="CA71" s="309" t="s">
        <v>243</v>
      </c>
      <c r="CB71" s="397">
        <f>BY71*$E$7/$E$8</f>
        <v>94929996.000000015</v>
      </c>
      <c r="CC71" s="104" t="s">
        <v>245</v>
      </c>
      <c r="CD71" s="96"/>
      <c r="CE71" s="91"/>
      <c r="CF71" s="100">
        <f>CF17</f>
        <v>17.55</v>
      </c>
      <c r="CG71" s="104" t="s">
        <v>194</v>
      </c>
      <c r="CH71" s="309" t="s">
        <v>243</v>
      </c>
      <c r="CI71" s="397">
        <f>CF71*$E$7/$E$8</f>
        <v>78132.600000000006</v>
      </c>
      <c r="CJ71" s="104" t="s">
        <v>245</v>
      </c>
      <c r="CK71" s="90"/>
      <c r="CL71" s="91"/>
      <c r="CM71" s="98">
        <f>CM17</f>
        <v>1625</v>
      </c>
      <c r="CN71" s="104" t="s">
        <v>194</v>
      </c>
      <c r="CO71" s="309" t="s">
        <v>243</v>
      </c>
      <c r="CP71" s="397">
        <f>CM71*$E$7/$E$8</f>
        <v>7234500.0000000009</v>
      </c>
      <c r="CQ71" s="104" t="s">
        <v>245</v>
      </c>
      <c r="CR71" s="90"/>
      <c r="CS71" s="91"/>
    </row>
    <row r="72" spans="1:97" s="85" customFormat="1" ht="15.75" customHeight="1" x14ac:dyDescent="0.25">
      <c r="D72" s="86"/>
      <c r="E72" s="86"/>
      <c r="F72" s="86" t="s">
        <v>242</v>
      </c>
      <c r="G72" s="98">
        <f>G18</f>
        <v>444</v>
      </c>
      <c r="H72" s="104" t="s">
        <v>194</v>
      </c>
      <c r="I72" s="309" t="s">
        <v>243</v>
      </c>
      <c r="J72" s="397">
        <f>G72*$E$7/$E$8</f>
        <v>1976688.0000000002</v>
      </c>
      <c r="K72" s="396" t="s">
        <v>246</v>
      </c>
      <c r="L72" s="90"/>
      <c r="M72" s="91"/>
      <c r="N72" s="472">
        <f>N18</f>
        <v>251.4</v>
      </c>
      <c r="O72" s="104" t="s">
        <v>194</v>
      </c>
      <c r="P72" s="309" t="s">
        <v>243</v>
      </c>
      <c r="Q72" s="397">
        <f>N72*$E$7/$E$8</f>
        <v>1119232.8</v>
      </c>
      <c r="R72" s="396" t="s">
        <v>246</v>
      </c>
      <c r="S72" s="90"/>
      <c r="T72" s="91"/>
      <c r="U72" s="98">
        <f>U18</f>
        <v>13000</v>
      </c>
      <c r="V72" s="104" t="s">
        <v>194</v>
      </c>
      <c r="W72" s="309" t="s">
        <v>243</v>
      </c>
      <c r="X72" s="397">
        <f>U72*$E$7/$E$8</f>
        <v>57876000.000000007</v>
      </c>
      <c r="Y72" s="396" t="s">
        <v>246</v>
      </c>
      <c r="Z72" s="90"/>
      <c r="AA72" s="91"/>
      <c r="AB72" s="467" t="str">
        <f>AB18</f>
        <v>NA</v>
      </c>
      <c r="AC72" s="104" t="s">
        <v>194</v>
      </c>
      <c r="AD72" s="309" t="s">
        <v>243</v>
      </c>
      <c r="AE72" s="452" t="s">
        <v>44</v>
      </c>
      <c r="AF72" s="396" t="s">
        <v>246</v>
      </c>
      <c r="AG72" s="96"/>
      <c r="AH72" s="91"/>
      <c r="AI72" s="472">
        <f>AI18</f>
        <v>552.1</v>
      </c>
      <c r="AJ72" s="104" t="s">
        <v>194</v>
      </c>
      <c r="AK72" s="309" t="s">
        <v>243</v>
      </c>
      <c r="AL72" s="397">
        <f>AI72*$E$7/$E$8</f>
        <v>2457949.2000000002</v>
      </c>
      <c r="AM72" s="396" t="s">
        <v>246</v>
      </c>
      <c r="AN72" s="90"/>
      <c r="AO72" s="91"/>
      <c r="AP72" s="98">
        <f>AP18</f>
        <v>16348</v>
      </c>
      <c r="AQ72" s="104" t="s">
        <v>194</v>
      </c>
      <c r="AR72" s="309" t="s">
        <v>243</v>
      </c>
      <c r="AS72" s="397">
        <f>AP72*$E$7/$E$8</f>
        <v>72781296.000000015</v>
      </c>
      <c r="AT72" s="396" t="s">
        <v>246</v>
      </c>
      <c r="AU72" s="90"/>
      <c r="AV72" s="88"/>
      <c r="AW72" s="467" t="str">
        <f>AW18</f>
        <v>NA</v>
      </c>
      <c r="AX72" s="104" t="s">
        <v>194</v>
      </c>
      <c r="AY72" s="309" t="s">
        <v>243</v>
      </c>
      <c r="AZ72" s="452" t="s">
        <v>44</v>
      </c>
      <c r="BA72" s="396" t="s">
        <v>246</v>
      </c>
      <c r="BB72" s="90"/>
      <c r="BC72" s="91"/>
      <c r="BD72" s="98">
        <f>BD18</f>
        <v>3131</v>
      </c>
      <c r="BE72" s="104" t="s">
        <v>194</v>
      </c>
      <c r="BF72" s="309" t="s">
        <v>243</v>
      </c>
      <c r="BG72" s="397">
        <f>BD72*$E$7/$E$8</f>
        <v>13939212.000000002</v>
      </c>
      <c r="BH72" s="396" t="s">
        <v>246</v>
      </c>
      <c r="BI72" s="90"/>
      <c r="BJ72" s="91"/>
      <c r="BK72" s="467" t="str">
        <f>BK18</f>
        <v>NA</v>
      </c>
      <c r="BL72" s="104" t="s">
        <v>194</v>
      </c>
      <c r="BM72" s="309" t="s">
        <v>243</v>
      </c>
      <c r="BN72" s="452" t="s">
        <v>44</v>
      </c>
      <c r="BO72" s="396" t="s">
        <v>246</v>
      </c>
      <c r="BP72" s="90"/>
      <c r="BQ72" s="91"/>
      <c r="BR72" s="100">
        <f>BR18</f>
        <v>31.6</v>
      </c>
      <c r="BS72" s="104" t="s">
        <v>194</v>
      </c>
      <c r="BT72" s="309" t="s">
        <v>243</v>
      </c>
      <c r="BU72" s="397">
        <f>BR72*$E$7/$E$8</f>
        <v>140683.20000000001</v>
      </c>
      <c r="BV72" s="396" t="s">
        <v>246</v>
      </c>
      <c r="BW72" s="90"/>
      <c r="BX72" s="88"/>
      <c r="BY72" s="467" t="str">
        <f>BY18</f>
        <v>NA</v>
      </c>
      <c r="BZ72" s="104" t="s">
        <v>194</v>
      </c>
      <c r="CA72" s="309" t="s">
        <v>243</v>
      </c>
      <c r="CB72" s="452" t="s">
        <v>44</v>
      </c>
      <c r="CC72" s="396" t="s">
        <v>246</v>
      </c>
      <c r="CD72" s="96"/>
      <c r="CE72" s="91"/>
      <c r="CF72" s="100">
        <f>CF18</f>
        <v>24.3</v>
      </c>
      <c r="CG72" s="104" t="s">
        <v>194</v>
      </c>
      <c r="CH72" s="309" t="s">
        <v>243</v>
      </c>
      <c r="CI72" s="397">
        <f>CF72*$E$7/$E$8</f>
        <v>108183.60000000002</v>
      </c>
      <c r="CJ72" s="396" t="s">
        <v>246</v>
      </c>
      <c r="CK72" s="90"/>
      <c r="CL72" s="91"/>
      <c r="CM72" s="98">
        <f>CM18</f>
        <v>11184</v>
      </c>
      <c r="CN72" s="104" t="s">
        <v>194</v>
      </c>
      <c r="CO72" s="309" t="s">
        <v>243</v>
      </c>
      <c r="CP72" s="397">
        <f>CM72*$E$7/$E$8</f>
        <v>49791168.000000007</v>
      </c>
      <c r="CQ72" s="396" t="s">
        <v>246</v>
      </c>
      <c r="CR72" s="90"/>
      <c r="CS72" s="91"/>
    </row>
    <row r="73" spans="1:97" s="85" customFormat="1" ht="15.75" customHeight="1" x14ac:dyDescent="0.25">
      <c r="D73" s="86"/>
      <c r="E73" s="86"/>
      <c r="F73" s="86"/>
      <c r="G73" s="100"/>
      <c r="H73" s="104"/>
      <c r="I73" s="101"/>
      <c r="J73" s="104"/>
      <c r="K73" s="89"/>
      <c r="L73" s="90"/>
      <c r="M73" s="91"/>
      <c r="N73" s="100"/>
      <c r="O73" s="104"/>
      <c r="P73" s="101"/>
      <c r="Q73" s="93"/>
      <c r="R73" s="89"/>
      <c r="S73" s="90"/>
      <c r="T73" s="91"/>
      <c r="U73" s="100"/>
      <c r="V73" s="104"/>
      <c r="W73" s="101"/>
      <c r="X73" s="93"/>
      <c r="Y73" s="89"/>
      <c r="Z73" s="90"/>
      <c r="AA73" s="91"/>
      <c r="AB73" s="100"/>
      <c r="AC73" s="104"/>
      <c r="AD73" s="101"/>
      <c r="AE73" s="93"/>
      <c r="AF73" s="89"/>
      <c r="AG73" s="96"/>
      <c r="AH73" s="91"/>
      <c r="AI73" s="100"/>
      <c r="AJ73" s="104"/>
      <c r="AK73" s="101"/>
      <c r="AL73" s="93"/>
      <c r="AM73" s="89"/>
      <c r="AN73" s="90"/>
      <c r="AO73" s="91"/>
      <c r="AP73" s="100"/>
      <c r="AQ73" s="104"/>
      <c r="AR73" s="101"/>
      <c r="AS73" s="93"/>
      <c r="AT73" s="89"/>
      <c r="AU73" s="90"/>
      <c r="AV73" s="88"/>
      <c r="AW73" s="100"/>
      <c r="AX73" s="104"/>
      <c r="AY73" s="101"/>
      <c r="AZ73" s="93"/>
      <c r="BA73" s="89"/>
      <c r="BB73" s="90"/>
      <c r="BC73" s="91"/>
      <c r="BD73" s="100"/>
      <c r="BE73" s="104"/>
      <c r="BF73" s="101"/>
      <c r="BG73" s="93"/>
      <c r="BH73" s="89"/>
      <c r="BI73" s="90"/>
      <c r="BJ73" s="91"/>
      <c r="BK73" s="100"/>
      <c r="BL73" s="104"/>
      <c r="BM73" s="101"/>
      <c r="BN73" s="93"/>
      <c r="BO73" s="89"/>
      <c r="BP73" s="90"/>
      <c r="BQ73" s="91"/>
      <c r="BR73" s="100"/>
      <c r="BS73" s="104"/>
      <c r="BT73" s="101"/>
      <c r="BU73" s="93"/>
      <c r="BV73" s="89"/>
      <c r="BW73" s="90"/>
      <c r="BX73" s="88"/>
      <c r="BY73" s="100"/>
      <c r="BZ73" s="104"/>
      <c r="CA73" s="101"/>
      <c r="CB73" s="93"/>
      <c r="CC73" s="89"/>
      <c r="CD73" s="96"/>
      <c r="CE73" s="91"/>
      <c r="CF73" s="100"/>
      <c r="CG73" s="104"/>
      <c r="CH73" s="101"/>
      <c r="CI73" s="93"/>
      <c r="CJ73" s="89"/>
      <c r="CK73" s="90"/>
      <c r="CL73" s="91"/>
      <c r="CM73" s="100"/>
      <c r="CN73" s="104"/>
      <c r="CO73" s="101"/>
      <c r="CP73" s="93"/>
      <c r="CQ73" s="89"/>
      <c r="CR73" s="90"/>
      <c r="CS73" s="91"/>
    </row>
    <row r="74" spans="1:97" s="85" customFormat="1" ht="15.75" customHeight="1" x14ac:dyDescent="0.25">
      <c r="D74" s="86"/>
      <c r="E74" s="86"/>
      <c r="F74" s="347" t="s">
        <v>227</v>
      </c>
      <c r="G74" s="100"/>
      <c r="H74" s="104"/>
      <c r="I74" s="101" t="s">
        <v>38</v>
      </c>
      <c r="J74" s="104"/>
      <c r="K74" s="89"/>
      <c r="L74" s="90"/>
      <c r="M74" s="91"/>
      <c r="N74" s="100"/>
      <c r="O74" s="104"/>
      <c r="P74" s="101" t="s">
        <v>38</v>
      </c>
      <c r="Q74" s="93"/>
      <c r="R74" s="89"/>
      <c r="S74" s="90"/>
      <c r="T74" s="91"/>
      <c r="U74" s="100"/>
      <c r="V74" s="104"/>
      <c r="W74" s="101" t="s">
        <v>38</v>
      </c>
      <c r="X74" s="93"/>
      <c r="Y74" s="89"/>
      <c r="Z74" s="90"/>
      <c r="AA74" s="91"/>
      <c r="AB74" s="100"/>
      <c r="AC74" s="104"/>
      <c r="AD74" s="101" t="s">
        <v>38</v>
      </c>
      <c r="AE74" s="93"/>
      <c r="AF74" s="89"/>
      <c r="AG74" s="96"/>
      <c r="AH74" s="91"/>
      <c r="AI74" s="100"/>
      <c r="AJ74" s="104"/>
      <c r="AK74" s="101" t="s">
        <v>38</v>
      </c>
      <c r="AL74" s="93"/>
      <c r="AM74" s="89"/>
      <c r="AN74" s="90"/>
      <c r="AO74" s="91"/>
      <c r="AP74" s="100"/>
      <c r="AQ74" s="104"/>
      <c r="AR74" s="101" t="s">
        <v>38</v>
      </c>
      <c r="AS74" s="93"/>
      <c r="AT74" s="89"/>
      <c r="AU74" s="90"/>
      <c r="AV74" s="88"/>
      <c r="AW74" s="100"/>
      <c r="AX74" s="104"/>
      <c r="AY74" s="101" t="s">
        <v>38</v>
      </c>
      <c r="AZ74" s="93"/>
      <c r="BA74" s="89"/>
      <c r="BB74" s="90"/>
      <c r="BC74" s="91"/>
      <c r="BD74" s="100"/>
      <c r="BE74" s="104"/>
      <c r="BF74" s="101" t="s">
        <v>38</v>
      </c>
      <c r="BG74" s="93"/>
      <c r="BH74" s="89"/>
      <c r="BI74" s="90"/>
      <c r="BJ74" s="91"/>
      <c r="BK74" s="100"/>
      <c r="BL74" s="104"/>
      <c r="BM74" s="101" t="s">
        <v>38</v>
      </c>
      <c r="BN74" s="93"/>
      <c r="BO74" s="89"/>
      <c r="BP74" s="90"/>
      <c r="BQ74" s="91"/>
      <c r="BR74" s="100"/>
      <c r="BS74" s="104"/>
      <c r="BT74" s="101" t="s">
        <v>38</v>
      </c>
      <c r="BU74" s="93"/>
      <c r="BV74" s="89"/>
      <c r="BW74" s="90"/>
      <c r="BX74" s="88"/>
      <c r="BY74" s="100"/>
      <c r="BZ74" s="104"/>
      <c r="CA74" s="101" t="s">
        <v>38</v>
      </c>
      <c r="CB74" s="93"/>
      <c r="CC74" s="89"/>
      <c r="CD74" s="96"/>
      <c r="CE74" s="91"/>
      <c r="CF74" s="100"/>
      <c r="CG74" s="104"/>
      <c r="CH74" s="101" t="s">
        <v>38</v>
      </c>
      <c r="CI74" s="93"/>
      <c r="CJ74" s="89"/>
      <c r="CK74" s="90"/>
      <c r="CL74" s="91"/>
      <c r="CM74" s="100"/>
      <c r="CN74" s="104"/>
      <c r="CO74" s="101" t="s">
        <v>38</v>
      </c>
      <c r="CP74" s="93"/>
      <c r="CQ74" s="89"/>
      <c r="CR74" s="90"/>
      <c r="CS74" s="91"/>
    </row>
    <row r="75" spans="1:97" s="292" customFormat="1" ht="15.75" customHeight="1" x14ac:dyDescent="0.25">
      <c r="A75" s="85"/>
      <c r="B75" s="85"/>
      <c r="C75" s="86"/>
      <c r="D75" s="86"/>
      <c r="E75" s="86"/>
      <c r="F75" s="86" t="s">
        <v>85</v>
      </c>
      <c r="G75" s="458">
        <f>I83</f>
        <v>8.0668046035552148E-3</v>
      </c>
      <c r="H75" s="342" t="s">
        <v>193</v>
      </c>
      <c r="I75" s="348">
        <f>G75/G$15</f>
        <v>1.3444674339258691</v>
      </c>
      <c r="J75" s="432"/>
      <c r="K75" s="104"/>
      <c r="L75" s="104"/>
      <c r="M75" s="343"/>
      <c r="N75" s="458">
        <f>P83</f>
        <v>6.768915063892568E-2</v>
      </c>
      <c r="O75" s="342" t="s">
        <v>193</v>
      </c>
      <c r="P75" s="348">
        <f>N75/N$15</f>
        <v>6.7689150638925675</v>
      </c>
      <c r="Q75" s="432"/>
      <c r="R75" s="85"/>
      <c r="S75" s="85"/>
      <c r="T75" s="343"/>
      <c r="U75" s="458">
        <f>W83</f>
        <v>5.2233559620517714E-3</v>
      </c>
      <c r="V75" s="342" t="s">
        <v>193</v>
      </c>
      <c r="W75" s="459">
        <f>U75/U$15</f>
        <v>1.0446711924103542</v>
      </c>
      <c r="X75" s="432"/>
      <c r="Y75" s="85"/>
      <c r="Z75" s="85"/>
      <c r="AA75" s="343"/>
      <c r="AB75" s="265">
        <f>AD83</f>
        <v>35.5</v>
      </c>
      <c r="AC75" s="342" t="s">
        <v>193</v>
      </c>
      <c r="AD75" s="459">
        <f>AB75/AB$15</f>
        <v>0.14199999999999999</v>
      </c>
      <c r="AE75" s="432"/>
      <c r="AF75" s="85"/>
      <c r="AG75" s="85"/>
      <c r="AH75" s="343"/>
      <c r="AI75" s="458">
        <f>AK83</f>
        <v>5.3675332516422092E-2</v>
      </c>
      <c r="AJ75" s="342" t="s">
        <v>193</v>
      </c>
      <c r="AK75" s="459">
        <f>AI75/AI$15</f>
        <v>0.53675332516422092</v>
      </c>
      <c r="AL75" s="432"/>
      <c r="AM75" s="85"/>
      <c r="AN75" s="85"/>
      <c r="AO75" s="343"/>
      <c r="AP75" s="264">
        <f>AR83</f>
        <v>0.26088435831760515</v>
      </c>
      <c r="AQ75" s="342" t="s">
        <v>193</v>
      </c>
      <c r="AR75" s="459">
        <f>AP75/AP$15</f>
        <v>0.20068027562892704</v>
      </c>
      <c r="AS75" s="432"/>
      <c r="AT75" s="85"/>
      <c r="AU75" s="85"/>
      <c r="AV75" s="343"/>
      <c r="AW75" s="458">
        <f>AY83</f>
        <v>7.220570365062183E-2</v>
      </c>
      <c r="AX75" s="342" t="s">
        <v>193</v>
      </c>
      <c r="AY75" s="349">
        <f>AW75/AW$15</f>
        <v>1.8051425912655458E-2</v>
      </c>
      <c r="AZ75" s="432"/>
      <c r="BA75" s="85"/>
      <c r="BB75" s="85"/>
      <c r="BC75" s="343"/>
      <c r="BD75" s="458">
        <f>BF83</f>
        <v>0.75173562947453354</v>
      </c>
      <c r="BE75" s="342" t="s">
        <v>193</v>
      </c>
      <c r="BF75" s="344">
        <f>BD75/BD$15</f>
        <v>50.11570863163557</v>
      </c>
      <c r="BG75" s="432"/>
      <c r="BH75" s="85"/>
      <c r="BI75" s="85"/>
      <c r="BJ75" s="343"/>
      <c r="BK75" s="346">
        <f>BM83</f>
        <v>2.68</v>
      </c>
      <c r="BL75" s="342" t="s">
        <v>193</v>
      </c>
      <c r="BM75" s="349">
        <f>BK75/BK$15</f>
        <v>6.0909090909090913E-2</v>
      </c>
      <c r="BN75" s="432"/>
      <c r="BO75" s="85"/>
      <c r="BP75" s="85"/>
      <c r="BQ75" s="343"/>
      <c r="BR75" s="458">
        <f>BT83</f>
        <v>5.2176779741528866E-2</v>
      </c>
      <c r="BS75" s="342" t="s">
        <v>193</v>
      </c>
      <c r="BT75" s="459">
        <f>BR75/BR$15</f>
        <v>1.0435355948305773</v>
      </c>
      <c r="BU75" s="432"/>
      <c r="BV75" s="85"/>
      <c r="BW75" s="85"/>
      <c r="BX75" s="343"/>
      <c r="BY75" s="263">
        <f>CA83</f>
        <v>524.27138726381179</v>
      </c>
      <c r="BZ75" s="342" t="s">
        <v>193</v>
      </c>
      <c r="CA75" s="348">
        <f>BY75/BY$15</f>
        <v>2.0970855490552474</v>
      </c>
      <c r="CB75" s="432"/>
      <c r="CC75" s="85"/>
      <c r="CD75" s="85"/>
      <c r="CE75" s="343"/>
      <c r="CF75" s="346">
        <f>CH83</f>
        <v>0.23</v>
      </c>
      <c r="CG75" s="342" t="s">
        <v>193</v>
      </c>
      <c r="CH75" s="344">
        <f>CF75/CF$15</f>
        <v>115</v>
      </c>
      <c r="CI75" s="432"/>
      <c r="CJ75" s="85"/>
      <c r="CK75" s="85"/>
      <c r="CL75" s="343"/>
      <c r="CM75" s="264">
        <f>CO83</f>
        <v>6.8212006762629035E-2</v>
      </c>
      <c r="CN75" s="342" t="s">
        <v>193</v>
      </c>
      <c r="CO75" s="349">
        <f>CM75/CM$15</f>
        <v>1.3642401352525807E-2</v>
      </c>
      <c r="CP75" s="432"/>
      <c r="CQ75" s="85"/>
      <c r="CR75" s="85"/>
      <c r="CS75" s="343"/>
    </row>
    <row r="76" spans="1:97" s="292" customFormat="1" ht="15.75" customHeight="1" x14ac:dyDescent="0.25">
      <c r="A76" s="85"/>
      <c r="B76" s="85"/>
      <c r="C76" s="86"/>
      <c r="D76" s="86"/>
      <c r="E76" s="86"/>
      <c r="F76" s="86" t="s">
        <v>86</v>
      </c>
      <c r="G76" s="458">
        <f>AVERAGE(I83:I87)</f>
        <v>8.0668046035552148E-3</v>
      </c>
      <c r="H76" s="342" t="s">
        <v>193</v>
      </c>
      <c r="I76" s="348">
        <f>G76/G$15</f>
        <v>1.3444674339258691</v>
      </c>
      <c r="J76" s="432"/>
      <c r="K76" s="104"/>
      <c r="L76" s="104"/>
      <c r="M76" s="343"/>
      <c r="N76" s="458">
        <f>AVERAGE(P83:P87)</f>
        <v>6.768915063892568E-2</v>
      </c>
      <c r="O76" s="342" t="s">
        <v>193</v>
      </c>
      <c r="P76" s="348">
        <f>N76/N$15</f>
        <v>6.7689150638925675</v>
      </c>
      <c r="Q76" s="432"/>
      <c r="R76" s="85"/>
      <c r="S76" s="85"/>
      <c r="T76" s="343"/>
      <c r="U76" s="458">
        <f>AVERAGE(W83:W87)</f>
        <v>5.2233559620517714E-3</v>
      </c>
      <c r="V76" s="342" t="s">
        <v>193</v>
      </c>
      <c r="W76" s="459">
        <f>U76/U$15</f>
        <v>1.0446711924103542</v>
      </c>
      <c r="X76" s="432"/>
      <c r="Y76" s="85"/>
      <c r="Z76" s="85"/>
      <c r="AA76" s="343"/>
      <c r="AB76" s="265">
        <f>AVERAGE(AD83:AD87)</f>
        <v>35.5</v>
      </c>
      <c r="AC76" s="342" t="s">
        <v>193</v>
      </c>
      <c r="AD76" s="459">
        <f>AB76/AB$15</f>
        <v>0.14199999999999999</v>
      </c>
      <c r="AE76" s="432"/>
      <c r="AF76" s="85"/>
      <c r="AG76" s="85"/>
      <c r="AH76" s="343"/>
      <c r="AI76" s="458">
        <f>AVERAGE(AK83:AK87)</f>
        <v>5.3675332516422092E-2</v>
      </c>
      <c r="AJ76" s="342" t="s">
        <v>193</v>
      </c>
      <c r="AK76" s="459">
        <f>AI76/AI$15</f>
        <v>0.53675332516422092</v>
      </c>
      <c r="AL76" s="432"/>
      <c r="AM76" s="85"/>
      <c r="AN76" s="85"/>
      <c r="AO76" s="343"/>
      <c r="AP76" s="264">
        <f>AVERAGE(AR83:AR87)</f>
        <v>0.26088435831760515</v>
      </c>
      <c r="AQ76" s="342" t="s">
        <v>193</v>
      </c>
      <c r="AR76" s="459">
        <f>AP76/AP$15</f>
        <v>0.20068027562892704</v>
      </c>
      <c r="AS76" s="432"/>
      <c r="AT76" s="85"/>
      <c r="AU76" s="85"/>
      <c r="AV76" s="343"/>
      <c r="AW76" s="458">
        <f>AVERAGE(AY83:AY87)</f>
        <v>7.220570365062183E-2</v>
      </c>
      <c r="AX76" s="342" t="s">
        <v>193</v>
      </c>
      <c r="AY76" s="349">
        <f>AW76/AW$15</f>
        <v>1.8051425912655458E-2</v>
      </c>
      <c r="AZ76" s="432"/>
      <c r="BA76" s="85"/>
      <c r="BB76" s="85"/>
      <c r="BC76" s="343"/>
      <c r="BD76" s="458">
        <f>AVERAGE(BF83:BF87)</f>
        <v>0.75173562947453354</v>
      </c>
      <c r="BE76" s="342" t="s">
        <v>193</v>
      </c>
      <c r="BF76" s="344">
        <f>BD76/BD$15</f>
        <v>50.11570863163557</v>
      </c>
      <c r="BG76" s="432"/>
      <c r="BH76" s="85"/>
      <c r="BI76" s="85"/>
      <c r="BJ76" s="343"/>
      <c r="BK76" s="346">
        <f>AVERAGE(BM83:BM87)</f>
        <v>2.68</v>
      </c>
      <c r="BL76" s="342" t="s">
        <v>193</v>
      </c>
      <c r="BM76" s="349">
        <f>BK76/BK$15</f>
        <v>6.0909090909090913E-2</v>
      </c>
      <c r="BN76" s="432"/>
      <c r="BO76" s="85"/>
      <c r="BP76" s="85"/>
      <c r="BQ76" s="343"/>
      <c r="BR76" s="458">
        <f>AVERAGE(BT83:BT87)</f>
        <v>5.2176779741528866E-2</v>
      </c>
      <c r="BS76" s="342" t="s">
        <v>193</v>
      </c>
      <c r="BT76" s="459">
        <f>BR76/BR$15</f>
        <v>1.0435355948305773</v>
      </c>
      <c r="BU76" s="432"/>
      <c r="BV76" s="85"/>
      <c r="BW76" s="85"/>
      <c r="BX76" s="343"/>
      <c r="BY76" s="263">
        <f>AVERAGE(CA83:CA87)</f>
        <v>524.27138726381179</v>
      </c>
      <c r="BZ76" s="342" t="s">
        <v>193</v>
      </c>
      <c r="CA76" s="348">
        <f>BY76/BY$15</f>
        <v>2.0970855490552474</v>
      </c>
      <c r="CB76" s="432"/>
      <c r="CC76" s="85"/>
      <c r="CD76" s="85"/>
      <c r="CE76" s="343"/>
      <c r="CF76" s="346">
        <f>AVERAGE(CH83:CH87)</f>
        <v>0.23000000000000004</v>
      </c>
      <c r="CG76" s="342" t="s">
        <v>193</v>
      </c>
      <c r="CH76" s="344">
        <f>CF76/CF$15</f>
        <v>115.00000000000001</v>
      </c>
      <c r="CI76" s="432"/>
      <c r="CJ76" s="85"/>
      <c r="CK76" s="85"/>
      <c r="CL76" s="343"/>
      <c r="CM76" s="264">
        <f>AVERAGE(CO83:CO87)</f>
        <v>6.8212006762629035E-2</v>
      </c>
      <c r="CN76" s="342" t="s">
        <v>193</v>
      </c>
      <c r="CO76" s="349">
        <f>CM76/CM$15</f>
        <v>1.3642401352525807E-2</v>
      </c>
      <c r="CP76" s="432"/>
      <c r="CQ76" s="85"/>
      <c r="CR76" s="85"/>
      <c r="CS76" s="343"/>
    </row>
    <row r="77" spans="1:97" s="188" customFormat="1" ht="15.75" customHeight="1" x14ac:dyDescent="0.25">
      <c r="A77" s="85"/>
      <c r="B77" s="85"/>
      <c r="C77" s="86"/>
      <c r="D77" s="86"/>
      <c r="E77" s="86"/>
      <c r="F77" s="86" t="s">
        <v>87</v>
      </c>
      <c r="G77" s="458">
        <f>AVERAGE(I83:I112)</f>
        <v>8.0668046035552148E-3</v>
      </c>
      <c r="H77" s="342" t="s">
        <v>193</v>
      </c>
      <c r="I77" s="348">
        <f>G77/G$15</f>
        <v>1.3444674339258691</v>
      </c>
      <c r="J77" s="432"/>
      <c r="K77" s="104"/>
      <c r="L77" s="104"/>
      <c r="M77" s="343"/>
      <c r="N77" s="458">
        <f>AVERAGE(P83:P112)</f>
        <v>6.768915063892568E-2</v>
      </c>
      <c r="O77" s="342" t="s">
        <v>193</v>
      </c>
      <c r="P77" s="348">
        <f>N77/N$15</f>
        <v>6.7689150638925675</v>
      </c>
      <c r="Q77" s="432"/>
      <c r="R77" s="85"/>
      <c r="S77" s="85"/>
      <c r="T77" s="343"/>
      <c r="U77" s="458">
        <f>AVERAGE(W83:W112)</f>
        <v>5.223355962051774E-3</v>
      </c>
      <c r="V77" s="342" t="s">
        <v>193</v>
      </c>
      <c r="W77" s="459">
        <f>U77/U$15</f>
        <v>1.0446711924103549</v>
      </c>
      <c r="X77" s="432"/>
      <c r="Y77" s="85"/>
      <c r="Z77" s="85"/>
      <c r="AA77" s="343"/>
      <c r="AB77" s="265">
        <f>AVERAGE(AD83:AD112)</f>
        <v>35.5</v>
      </c>
      <c r="AC77" s="342" t="s">
        <v>193</v>
      </c>
      <c r="AD77" s="459">
        <f>AB77/AB$15</f>
        <v>0.14199999999999999</v>
      </c>
      <c r="AE77" s="432"/>
      <c r="AF77" s="85"/>
      <c r="AG77" s="85"/>
      <c r="AH77" s="343"/>
      <c r="AI77" s="458">
        <f>AVERAGE(AK83:AK112)</f>
        <v>5.3675332516422092E-2</v>
      </c>
      <c r="AJ77" s="342" t="s">
        <v>193</v>
      </c>
      <c r="AK77" s="459">
        <f>AI77/AI$15</f>
        <v>0.53675332516422092</v>
      </c>
      <c r="AL77" s="432"/>
      <c r="AM77" s="85"/>
      <c r="AN77" s="85"/>
      <c r="AO77" s="343"/>
      <c r="AP77" s="264">
        <f>AVERAGE(AR83:AR112)</f>
        <v>0.26088435831760504</v>
      </c>
      <c r="AQ77" s="342" t="s">
        <v>193</v>
      </c>
      <c r="AR77" s="459">
        <f>AP77/AP$15</f>
        <v>0.20068027562892696</v>
      </c>
      <c r="AS77" s="432"/>
      <c r="AT77" s="85"/>
      <c r="AU77" s="85"/>
      <c r="AV77" s="343"/>
      <c r="AW77" s="458">
        <f>AVERAGE(AY83:AY112)</f>
        <v>7.2205703650621816E-2</v>
      </c>
      <c r="AX77" s="342" t="s">
        <v>193</v>
      </c>
      <c r="AY77" s="349">
        <f>AW77/AW$15</f>
        <v>1.8051425912655454E-2</v>
      </c>
      <c r="AZ77" s="432"/>
      <c r="BA77" s="85"/>
      <c r="BB77" s="85"/>
      <c r="BC77" s="343"/>
      <c r="BD77" s="458">
        <f>AVERAGE(BF83:BF112)</f>
        <v>0.75173562947453365</v>
      </c>
      <c r="BE77" s="342" t="s">
        <v>193</v>
      </c>
      <c r="BF77" s="344">
        <f>BD77/BD$15</f>
        <v>50.115708631635577</v>
      </c>
      <c r="BG77" s="432"/>
      <c r="BH77" s="85"/>
      <c r="BI77" s="85"/>
      <c r="BJ77" s="343"/>
      <c r="BK77" s="346">
        <f>AVERAGE(BM83:BM112)</f>
        <v>2.6800000000000015</v>
      </c>
      <c r="BL77" s="342" t="s">
        <v>193</v>
      </c>
      <c r="BM77" s="349">
        <f>BK77/BK$15</f>
        <v>6.090909090909094E-2</v>
      </c>
      <c r="BN77" s="432"/>
      <c r="BO77" s="85"/>
      <c r="BP77" s="85"/>
      <c r="BQ77" s="343"/>
      <c r="BR77" s="458">
        <f>AVERAGE(BT83:BT112)</f>
        <v>5.2176779741528886E-2</v>
      </c>
      <c r="BS77" s="342" t="s">
        <v>193</v>
      </c>
      <c r="BT77" s="459">
        <f>BR77/BR$15</f>
        <v>1.0435355948305776</v>
      </c>
      <c r="BU77" s="432"/>
      <c r="BV77" s="85"/>
      <c r="BW77" s="85"/>
      <c r="BX77" s="343"/>
      <c r="BY77" s="263">
        <f>AVERAGE(CA83:CA112)</f>
        <v>524.27138726381202</v>
      </c>
      <c r="BZ77" s="342" t="s">
        <v>193</v>
      </c>
      <c r="CA77" s="348">
        <f>BY77/BY$15</f>
        <v>2.0970855490552482</v>
      </c>
      <c r="CB77" s="432"/>
      <c r="CC77" s="85"/>
      <c r="CD77" s="85"/>
      <c r="CE77" s="343"/>
      <c r="CF77" s="346">
        <f>AVERAGE(CH83:CH112)</f>
        <v>0.23000000000000018</v>
      </c>
      <c r="CG77" s="342" t="s">
        <v>193</v>
      </c>
      <c r="CH77" s="344">
        <f>CF77/CF$15</f>
        <v>115.00000000000009</v>
      </c>
      <c r="CI77" s="432"/>
      <c r="CJ77" s="85"/>
      <c r="CK77" s="85"/>
      <c r="CL77" s="343"/>
      <c r="CM77" s="264">
        <f>AVERAGE(CO83:CO112)</f>
        <v>6.8212006762629049E-2</v>
      </c>
      <c r="CN77" s="342" t="s">
        <v>193</v>
      </c>
      <c r="CO77" s="349">
        <f>CM77/CM$15</f>
        <v>1.3642401352525809E-2</v>
      </c>
      <c r="CP77" s="432"/>
      <c r="CQ77" s="85"/>
      <c r="CR77" s="85"/>
      <c r="CS77" s="343"/>
    </row>
    <row r="78" spans="1:97" s="188" customFormat="1" ht="15.75" customHeight="1" x14ac:dyDescent="0.25">
      <c r="A78" s="85"/>
      <c r="B78" s="85"/>
      <c r="C78" s="86"/>
      <c r="D78" s="86"/>
      <c r="E78" s="86"/>
      <c r="F78" s="86"/>
      <c r="G78" s="466"/>
      <c r="H78" s="93"/>
      <c r="I78" s="93"/>
      <c r="J78" s="432"/>
      <c r="K78" s="104"/>
      <c r="L78" s="104"/>
      <c r="M78" s="343"/>
      <c r="N78" s="93"/>
      <c r="O78" s="93"/>
      <c r="P78" s="93"/>
      <c r="Q78" s="432"/>
      <c r="R78" s="85"/>
      <c r="S78" s="85"/>
      <c r="T78" s="343"/>
      <c r="U78" s="93"/>
      <c r="V78" s="93"/>
      <c r="W78" s="93"/>
      <c r="X78" s="432"/>
      <c r="Y78" s="85"/>
      <c r="Z78" s="85"/>
      <c r="AA78" s="343"/>
      <c r="AB78" s="93"/>
      <c r="AC78" s="93"/>
      <c r="AD78" s="93"/>
      <c r="AE78" s="432"/>
      <c r="AF78" s="85"/>
      <c r="AG78" s="85"/>
      <c r="AH78" s="343"/>
      <c r="AI78" s="93"/>
      <c r="AJ78" s="93"/>
      <c r="AK78" s="93"/>
      <c r="AL78" s="432"/>
      <c r="AM78" s="85"/>
      <c r="AN78" s="85"/>
      <c r="AO78" s="343"/>
      <c r="AP78" s="93"/>
      <c r="AQ78" s="93"/>
      <c r="AR78" s="93"/>
      <c r="AS78" s="432"/>
      <c r="AT78" s="85"/>
      <c r="AU78" s="85"/>
      <c r="AV78" s="343"/>
      <c r="AW78" s="93"/>
      <c r="AX78" s="93"/>
      <c r="AY78" s="93"/>
      <c r="AZ78" s="432"/>
      <c r="BA78" s="85"/>
      <c r="BB78" s="85"/>
      <c r="BC78" s="343"/>
      <c r="BD78" s="93"/>
      <c r="BE78" s="93"/>
      <c r="BF78" s="93"/>
      <c r="BG78" s="432"/>
      <c r="BH78" s="85"/>
      <c r="BI78" s="85"/>
      <c r="BJ78" s="343"/>
      <c r="BK78" s="97"/>
      <c r="BL78" s="88"/>
      <c r="BM78" s="93"/>
      <c r="BN78" s="432"/>
      <c r="BO78" s="85"/>
      <c r="BP78" s="85"/>
      <c r="BQ78" s="343"/>
      <c r="BR78" s="94"/>
      <c r="BS78" s="88"/>
      <c r="BT78" s="93"/>
      <c r="BU78" s="432"/>
      <c r="BV78" s="85"/>
      <c r="BW78" s="85"/>
      <c r="BX78" s="343"/>
      <c r="BY78" s="95"/>
      <c r="BZ78" s="88"/>
      <c r="CA78" s="93"/>
      <c r="CB78" s="432"/>
      <c r="CC78" s="85"/>
      <c r="CD78" s="85"/>
      <c r="CE78" s="343"/>
      <c r="CF78" s="94"/>
      <c r="CG78" s="88"/>
      <c r="CH78" s="93"/>
      <c r="CI78" s="432"/>
      <c r="CJ78" s="85"/>
      <c r="CK78" s="85"/>
      <c r="CL78" s="343"/>
      <c r="CM78" s="94"/>
      <c r="CN78" s="88"/>
      <c r="CO78" s="93"/>
      <c r="CP78" s="432"/>
      <c r="CQ78" s="85"/>
      <c r="CR78" s="85"/>
      <c r="CS78" s="343"/>
    </row>
    <row r="79" spans="1:97" ht="35.1" customHeight="1" x14ac:dyDescent="0.35">
      <c r="A79" s="398"/>
      <c r="B79" s="398"/>
      <c r="C79" s="399" t="s">
        <v>65</v>
      </c>
      <c r="D79" s="399" t="s">
        <v>255</v>
      </c>
      <c r="E79" s="399" t="s">
        <v>256</v>
      </c>
      <c r="F79" s="399" t="s">
        <v>230</v>
      </c>
      <c r="G79" s="410" t="s">
        <v>258</v>
      </c>
      <c r="H79" s="400" t="s">
        <v>257</v>
      </c>
      <c r="I79" s="400" t="s">
        <v>262</v>
      </c>
      <c r="J79" s="400" t="s">
        <v>264</v>
      </c>
      <c r="K79" s="400" t="s">
        <v>263</v>
      </c>
      <c r="L79" s="400" t="s">
        <v>265</v>
      </c>
      <c r="M79" s="401" t="s">
        <v>266</v>
      </c>
      <c r="N79" s="410" t="s">
        <v>258</v>
      </c>
      <c r="O79" s="400" t="s">
        <v>257</v>
      </c>
      <c r="P79" s="400" t="s">
        <v>262</v>
      </c>
      <c r="Q79" s="400" t="s">
        <v>264</v>
      </c>
      <c r="R79" s="400" t="s">
        <v>263</v>
      </c>
      <c r="S79" s="400" t="s">
        <v>265</v>
      </c>
      <c r="T79" s="401" t="s">
        <v>266</v>
      </c>
      <c r="U79" s="410" t="s">
        <v>258</v>
      </c>
      <c r="V79" s="400" t="s">
        <v>257</v>
      </c>
      <c r="W79" s="400" t="s">
        <v>262</v>
      </c>
      <c r="X79" s="400" t="s">
        <v>264</v>
      </c>
      <c r="Y79" s="400" t="s">
        <v>263</v>
      </c>
      <c r="Z79" s="400" t="s">
        <v>265</v>
      </c>
      <c r="AA79" s="401" t="s">
        <v>266</v>
      </c>
      <c r="AB79" s="410" t="s">
        <v>258</v>
      </c>
      <c r="AC79" s="400" t="s">
        <v>257</v>
      </c>
      <c r="AD79" s="400" t="s">
        <v>262</v>
      </c>
      <c r="AE79" s="400" t="s">
        <v>264</v>
      </c>
      <c r="AF79" s="400" t="s">
        <v>263</v>
      </c>
      <c r="AG79" s="400" t="s">
        <v>265</v>
      </c>
      <c r="AH79" s="401" t="s">
        <v>266</v>
      </c>
      <c r="AI79" s="410" t="s">
        <v>258</v>
      </c>
      <c r="AJ79" s="400" t="s">
        <v>257</v>
      </c>
      <c r="AK79" s="400" t="s">
        <v>262</v>
      </c>
      <c r="AL79" s="400" t="s">
        <v>264</v>
      </c>
      <c r="AM79" s="400" t="s">
        <v>263</v>
      </c>
      <c r="AN79" s="400" t="s">
        <v>265</v>
      </c>
      <c r="AO79" s="401" t="s">
        <v>266</v>
      </c>
      <c r="AP79" s="410" t="s">
        <v>258</v>
      </c>
      <c r="AQ79" s="400" t="s">
        <v>257</v>
      </c>
      <c r="AR79" s="400" t="s">
        <v>262</v>
      </c>
      <c r="AS79" s="400" t="s">
        <v>264</v>
      </c>
      <c r="AT79" s="400" t="s">
        <v>263</v>
      </c>
      <c r="AU79" s="400" t="s">
        <v>265</v>
      </c>
      <c r="AV79" s="401" t="s">
        <v>266</v>
      </c>
      <c r="AW79" s="410" t="s">
        <v>258</v>
      </c>
      <c r="AX79" s="400" t="s">
        <v>257</v>
      </c>
      <c r="AY79" s="400" t="s">
        <v>262</v>
      </c>
      <c r="AZ79" s="400" t="s">
        <v>264</v>
      </c>
      <c r="BA79" s="400" t="s">
        <v>263</v>
      </c>
      <c r="BB79" s="400" t="s">
        <v>265</v>
      </c>
      <c r="BC79" s="401" t="s">
        <v>266</v>
      </c>
      <c r="BD79" s="410" t="s">
        <v>258</v>
      </c>
      <c r="BE79" s="400" t="s">
        <v>257</v>
      </c>
      <c r="BF79" s="400" t="s">
        <v>262</v>
      </c>
      <c r="BG79" s="400" t="s">
        <v>264</v>
      </c>
      <c r="BH79" s="400" t="s">
        <v>263</v>
      </c>
      <c r="BI79" s="400" t="s">
        <v>265</v>
      </c>
      <c r="BJ79" s="401" t="s">
        <v>266</v>
      </c>
      <c r="BK79" s="410" t="s">
        <v>258</v>
      </c>
      <c r="BL79" s="400" t="s">
        <v>257</v>
      </c>
      <c r="BM79" s="400" t="s">
        <v>262</v>
      </c>
      <c r="BN79" s="400" t="s">
        <v>264</v>
      </c>
      <c r="BO79" s="400" t="s">
        <v>263</v>
      </c>
      <c r="BP79" s="400" t="s">
        <v>265</v>
      </c>
      <c r="BQ79" s="401" t="s">
        <v>266</v>
      </c>
      <c r="BR79" s="410" t="s">
        <v>258</v>
      </c>
      <c r="BS79" s="400" t="s">
        <v>257</v>
      </c>
      <c r="BT79" s="400" t="s">
        <v>262</v>
      </c>
      <c r="BU79" s="400" t="s">
        <v>264</v>
      </c>
      <c r="BV79" s="400" t="s">
        <v>263</v>
      </c>
      <c r="BW79" s="400" t="s">
        <v>265</v>
      </c>
      <c r="BX79" s="401" t="s">
        <v>266</v>
      </c>
      <c r="BY79" s="410" t="s">
        <v>258</v>
      </c>
      <c r="BZ79" s="400" t="s">
        <v>257</v>
      </c>
      <c r="CA79" s="400" t="s">
        <v>262</v>
      </c>
      <c r="CB79" s="400" t="s">
        <v>264</v>
      </c>
      <c r="CC79" s="400" t="s">
        <v>263</v>
      </c>
      <c r="CD79" s="400" t="s">
        <v>265</v>
      </c>
      <c r="CE79" s="401" t="s">
        <v>266</v>
      </c>
      <c r="CF79" s="410" t="s">
        <v>258</v>
      </c>
      <c r="CG79" s="400" t="s">
        <v>257</v>
      </c>
      <c r="CH79" s="400" t="s">
        <v>262</v>
      </c>
      <c r="CI79" s="400" t="s">
        <v>264</v>
      </c>
      <c r="CJ79" s="400" t="s">
        <v>263</v>
      </c>
      <c r="CK79" s="400" t="s">
        <v>265</v>
      </c>
      <c r="CL79" s="401" t="s">
        <v>266</v>
      </c>
      <c r="CM79" s="410" t="s">
        <v>258</v>
      </c>
      <c r="CN79" s="400" t="s">
        <v>257</v>
      </c>
      <c r="CO79" s="400" t="s">
        <v>262</v>
      </c>
      <c r="CP79" s="400" t="s">
        <v>264</v>
      </c>
      <c r="CQ79" s="400" t="s">
        <v>263</v>
      </c>
      <c r="CR79" s="400" t="s">
        <v>265</v>
      </c>
      <c r="CS79" s="401" t="s">
        <v>266</v>
      </c>
    </row>
    <row r="80" spans="1:97" ht="15.75" customHeight="1" x14ac:dyDescent="0.25">
      <c r="A80" s="6"/>
      <c r="B80" s="6"/>
      <c r="C80" s="7"/>
      <c r="D80" s="60" t="s">
        <v>252</v>
      </c>
      <c r="E80" s="60" t="s">
        <v>252</v>
      </c>
      <c r="F80" s="60" t="s">
        <v>251</v>
      </c>
      <c r="G80" s="411" t="s">
        <v>7</v>
      </c>
      <c r="H80" s="403" t="s">
        <v>7</v>
      </c>
      <c r="I80" s="403" t="s">
        <v>7</v>
      </c>
      <c r="J80" s="403" t="s">
        <v>253</v>
      </c>
      <c r="K80" s="403" t="s">
        <v>253</v>
      </c>
      <c r="L80" s="403" t="s">
        <v>254</v>
      </c>
      <c r="M80" s="404" t="s">
        <v>254</v>
      </c>
      <c r="N80" s="411" t="s">
        <v>7</v>
      </c>
      <c r="O80" s="403" t="s">
        <v>7</v>
      </c>
      <c r="P80" s="403" t="s">
        <v>7</v>
      </c>
      <c r="Q80" s="403" t="s">
        <v>253</v>
      </c>
      <c r="R80" s="403" t="s">
        <v>253</v>
      </c>
      <c r="S80" s="403" t="s">
        <v>254</v>
      </c>
      <c r="T80" s="404" t="s">
        <v>254</v>
      </c>
      <c r="U80" s="411" t="s">
        <v>7</v>
      </c>
      <c r="V80" s="403" t="s">
        <v>7</v>
      </c>
      <c r="W80" s="403" t="s">
        <v>7</v>
      </c>
      <c r="X80" s="403" t="s">
        <v>253</v>
      </c>
      <c r="Y80" s="403" t="s">
        <v>253</v>
      </c>
      <c r="Z80" s="403" t="s">
        <v>254</v>
      </c>
      <c r="AA80" s="404" t="s">
        <v>254</v>
      </c>
      <c r="AB80" s="411" t="s">
        <v>7</v>
      </c>
      <c r="AC80" s="403" t="s">
        <v>7</v>
      </c>
      <c r="AD80" s="403" t="s">
        <v>7</v>
      </c>
      <c r="AE80" s="403" t="s">
        <v>253</v>
      </c>
      <c r="AF80" s="403" t="s">
        <v>253</v>
      </c>
      <c r="AG80" s="403" t="s">
        <v>254</v>
      </c>
      <c r="AH80" s="404" t="s">
        <v>254</v>
      </c>
      <c r="AI80" s="411" t="s">
        <v>7</v>
      </c>
      <c r="AJ80" s="403" t="s">
        <v>7</v>
      </c>
      <c r="AK80" s="403" t="s">
        <v>7</v>
      </c>
      <c r="AL80" s="403" t="s">
        <v>253</v>
      </c>
      <c r="AM80" s="403" t="s">
        <v>253</v>
      </c>
      <c r="AN80" s="403" t="s">
        <v>254</v>
      </c>
      <c r="AO80" s="404" t="s">
        <v>254</v>
      </c>
      <c r="AP80" s="411" t="s">
        <v>7</v>
      </c>
      <c r="AQ80" s="403" t="s">
        <v>7</v>
      </c>
      <c r="AR80" s="403" t="s">
        <v>7</v>
      </c>
      <c r="AS80" s="403" t="s">
        <v>253</v>
      </c>
      <c r="AT80" s="403" t="s">
        <v>253</v>
      </c>
      <c r="AU80" s="403" t="s">
        <v>254</v>
      </c>
      <c r="AV80" s="404" t="s">
        <v>254</v>
      </c>
      <c r="AW80" s="411" t="s">
        <v>7</v>
      </c>
      <c r="AX80" s="403" t="s">
        <v>7</v>
      </c>
      <c r="AY80" s="403" t="s">
        <v>7</v>
      </c>
      <c r="AZ80" s="403" t="s">
        <v>253</v>
      </c>
      <c r="BA80" s="403" t="s">
        <v>253</v>
      </c>
      <c r="BB80" s="403" t="s">
        <v>254</v>
      </c>
      <c r="BC80" s="404" t="s">
        <v>254</v>
      </c>
      <c r="BD80" s="411" t="s">
        <v>7</v>
      </c>
      <c r="BE80" s="403" t="s">
        <v>7</v>
      </c>
      <c r="BF80" s="403" t="s">
        <v>7</v>
      </c>
      <c r="BG80" s="403" t="s">
        <v>253</v>
      </c>
      <c r="BH80" s="403" t="s">
        <v>253</v>
      </c>
      <c r="BI80" s="403" t="s">
        <v>254</v>
      </c>
      <c r="BJ80" s="404" t="s">
        <v>254</v>
      </c>
      <c r="BK80" s="411" t="s">
        <v>7</v>
      </c>
      <c r="BL80" s="403" t="s">
        <v>7</v>
      </c>
      <c r="BM80" s="403" t="s">
        <v>7</v>
      </c>
      <c r="BN80" s="403" t="s">
        <v>253</v>
      </c>
      <c r="BO80" s="403" t="s">
        <v>253</v>
      </c>
      <c r="BP80" s="403" t="s">
        <v>254</v>
      </c>
      <c r="BQ80" s="404" t="s">
        <v>254</v>
      </c>
      <c r="BR80" s="411" t="s">
        <v>7</v>
      </c>
      <c r="BS80" s="403" t="s">
        <v>7</v>
      </c>
      <c r="BT80" s="403" t="s">
        <v>7</v>
      </c>
      <c r="BU80" s="403" t="s">
        <v>253</v>
      </c>
      <c r="BV80" s="403" t="s">
        <v>253</v>
      </c>
      <c r="BW80" s="403" t="s">
        <v>254</v>
      </c>
      <c r="BX80" s="404" t="s">
        <v>254</v>
      </c>
      <c r="BY80" s="411" t="s">
        <v>7</v>
      </c>
      <c r="BZ80" s="403" t="s">
        <v>7</v>
      </c>
      <c r="CA80" s="403" t="s">
        <v>7</v>
      </c>
      <c r="CB80" s="403" t="s">
        <v>253</v>
      </c>
      <c r="CC80" s="403" t="s">
        <v>253</v>
      </c>
      <c r="CD80" s="403" t="s">
        <v>254</v>
      </c>
      <c r="CE80" s="404" t="s">
        <v>254</v>
      </c>
      <c r="CF80" s="411" t="s">
        <v>7</v>
      </c>
      <c r="CG80" s="403" t="s">
        <v>7</v>
      </c>
      <c r="CH80" s="403" t="s">
        <v>7</v>
      </c>
      <c r="CI80" s="403" t="s">
        <v>253</v>
      </c>
      <c r="CJ80" s="403" t="s">
        <v>253</v>
      </c>
      <c r="CK80" s="403" t="s">
        <v>254</v>
      </c>
      <c r="CL80" s="404" t="s">
        <v>254</v>
      </c>
      <c r="CM80" s="411" t="s">
        <v>7</v>
      </c>
      <c r="CN80" s="403" t="s">
        <v>7</v>
      </c>
      <c r="CO80" s="403" t="s">
        <v>7</v>
      </c>
      <c r="CP80" s="403" t="s">
        <v>253</v>
      </c>
      <c r="CQ80" s="403" t="s">
        <v>253</v>
      </c>
      <c r="CR80" s="403" t="s">
        <v>254</v>
      </c>
      <c r="CS80" s="404" t="s">
        <v>254</v>
      </c>
    </row>
    <row r="81" spans="1:97" ht="15.75" customHeight="1" thickBot="1" x14ac:dyDescent="0.3">
      <c r="A81" s="6"/>
      <c r="B81" s="6"/>
      <c r="C81" s="405"/>
      <c r="D81" s="406"/>
      <c r="E81" s="406"/>
      <c r="F81" s="406"/>
      <c r="G81" s="412" t="s">
        <v>259</v>
      </c>
      <c r="H81" s="407" t="s">
        <v>260</v>
      </c>
      <c r="I81" s="407" t="s">
        <v>261</v>
      </c>
      <c r="J81" s="407"/>
      <c r="K81" s="407"/>
      <c r="L81" s="407" t="s">
        <v>268</v>
      </c>
      <c r="M81" s="413"/>
      <c r="N81" s="412" t="s">
        <v>259</v>
      </c>
      <c r="O81" s="407" t="s">
        <v>260</v>
      </c>
      <c r="P81" s="407" t="s">
        <v>261</v>
      </c>
      <c r="Q81" s="407"/>
      <c r="R81" s="407"/>
      <c r="S81" s="407" t="s">
        <v>268</v>
      </c>
      <c r="T81" s="413"/>
      <c r="U81" s="412" t="s">
        <v>259</v>
      </c>
      <c r="V81" s="407" t="s">
        <v>260</v>
      </c>
      <c r="W81" s="407" t="s">
        <v>261</v>
      </c>
      <c r="X81" s="407"/>
      <c r="Y81" s="407"/>
      <c r="Z81" s="407" t="s">
        <v>268</v>
      </c>
      <c r="AA81" s="413"/>
      <c r="AB81" s="412" t="s">
        <v>259</v>
      </c>
      <c r="AC81" s="407" t="s">
        <v>260</v>
      </c>
      <c r="AD81" s="407" t="s">
        <v>261</v>
      </c>
      <c r="AE81" s="407"/>
      <c r="AF81" s="407"/>
      <c r="AG81" s="407" t="s">
        <v>268</v>
      </c>
      <c r="AH81" s="413"/>
      <c r="AI81" s="412" t="s">
        <v>259</v>
      </c>
      <c r="AJ81" s="407" t="s">
        <v>260</v>
      </c>
      <c r="AK81" s="407" t="s">
        <v>261</v>
      </c>
      <c r="AL81" s="407"/>
      <c r="AM81" s="407"/>
      <c r="AN81" s="407" t="s">
        <v>268</v>
      </c>
      <c r="AO81" s="413"/>
      <c r="AP81" s="412" t="s">
        <v>259</v>
      </c>
      <c r="AQ81" s="407" t="s">
        <v>260</v>
      </c>
      <c r="AR81" s="407" t="s">
        <v>261</v>
      </c>
      <c r="AS81" s="407"/>
      <c r="AT81" s="407"/>
      <c r="AU81" s="407" t="s">
        <v>268</v>
      </c>
      <c r="AV81" s="413"/>
      <c r="AW81" s="412" t="s">
        <v>259</v>
      </c>
      <c r="AX81" s="407" t="s">
        <v>260</v>
      </c>
      <c r="AY81" s="407" t="s">
        <v>261</v>
      </c>
      <c r="AZ81" s="407"/>
      <c r="BA81" s="407"/>
      <c r="BB81" s="407" t="s">
        <v>268</v>
      </c>
      <c r="BC81" s="413"/>
      <c r="BD81" s="412" t="s">
        <v>259</v>
      </c>
      <c r="BE81" s="407" t="s">
        <v>260</v>
      </c>
      <c r="BF81" s="407" t="s">
        <v>261</v>
      </c>
      <c r="BG81" s="407"/>
      <c r="BH81" s="407"/>
      <c r="BI81" s="407" t="s">
        <v>268</v>
      </c>
      <c r="BJ81" s="413"/>
      <c r="BK81" s="412" t="s">
        <v>259</v>
      </c>
      <c r="BL81" s="407" t="s">
        <v>260</v>
      </c>
      <c r="BM81" s="407" t="s">
        <v>261</v>
      </c>
      <c r="BN81" s="407"/>
      <c r="BO81" s="407"/>
      <c r="BP81" s="407" t="s">
        <v>268</v>
      </c>
      <c r="BQ81" s="413"/>
      <c r="BR81" s="412" t="s">
        <v>259</v>
      </c>
      <c r="BS81" s="407" t="s">
        <v>260</v>
      </c>
      <c r="BT81" s="407" t="s">
        <v>261</v>
      </c>
      <c r="BU81" s="407"/>
      <c r="BV81" s="407"/>
      <c r="BW81" s="407" t="s">
        <v>268</v>
      </c>
      <c r="BX81" s="413"/>
      <c r="BY81" s="412" t="s">
        <v>259</v>
      </c>
      <c r="BZ81" s="407" t="s">
        <v>260</v>
      </c>
      <c r="CA81" s="407" t="s">
        <v>261</v>
      </c>
      <c r="CB81" s="407"/>
      <c r="CC81" s="407"/>
      <c r="CD81" s="407" t="s">
        <v>268</v>
      </c>
      <c r="CE81" s="413"/>
      <c r="CF81" s="412" t="s">
        <v>259</v>
      </c>
      <c r="CG81" s="407" t="s">
        <v>260</v>
      </c>
      <c r="CH81" s="407" t="s">
        <v>261</v>
      </c>
      <c r="CI81" s="407"/>
      <c r="CJ81" s="407"/>
      <c r="CK81" s="407" t="s">
        <v>268</v>
      </c>
      <c r="CL81" s="413"/>
      <c r="CM81" s="412" t="s">
        <v>259</v>
      </c>
      <c r="CN81" s="407" t="s">
        <v>260</v>
      </c>
      <c r="CO81" s="407" t="s">
        <v>261</v>
      </c>
      <c r="CP81" s="407"/>
      <c r="CQ81" s="407"/>
      <c r="CR81" s="407" t="s">
        <v>268</v>
      </c>
      <c r="CS81" s="413"/>
    </row>
    <row r="82" spans="1:97" ht="15.75" customHeight="1" thickTop="1" x14ac:dyDescent="0.25">
      <c r="C82" s="1">
        <v>0</v>
      </c>
      <c r="D82" s="60" t="s">
        <v>46</v>
      </c>
      <c r="E82" s="60" t="s">
        <v>46</v>
      </c>
      <c r="F82" s="1" t="s">
        <v>46</v>
      </c>
      <c r="G82" s="460" t="s">
        <v>46</v>
      </c>
      <c r="H82" s="461" t="s">
        <v>46</v>
      </c>
      <c r="I82" s="461" t="s">
        <v>46</v>
      </c>
      <c r="J82" s="461" t="s">
        <v>46</v>
      </c>
      <c r="K82" s="461" t="s">
        <v>46</v>
      </c>
      <c r="L82" s="461" t="s">
        <v>46</v>
      </c>
      <c r="M82" s="462">
        <v>0</v>
      </c>
      <c r="N82" s="411" t="s">
        <v>46</v>
      </c>
      <c r="O82" s="403" t="s">
        <v>46</v>
      </c>
      <c r="P82" s="403" t="s">
        <v>46</v>
      </c>
      <c r="Q82" s="403" t="s">
        <v>46</v>
      </c>
      <c r="R82" s="403" t="s">
        <v>46</v>
      </c>
      <c r="S82" s="403" t="s">
        <v>46</v>
      </c>
      <c r="T82" s="457">
        <v>0</v>
      </c>
      <c r="U82" s="411" t="s">
        <v>46</v>
      </c>
      <c r="V82" s="403" t="s">
        <v>46</v>
      </c>
      <c r="W82" s="403" t="s">
        <v>46</v>
      </c>
      <c r="X82" s="403" t="s">
        <v>46</v>
      </c>
      <c r="Y82" s="403" t="s">
        <v>46</v>
      </c>
      <c r="Z82" s="403" t="s">
        <v>46</v>
      </c>
      <c r="AA82" s="457">
        <v>0</v>
      </c>
      <c r="AB82" s="411" t="s">
        <v>46</v>
      </c>
      <c r="AC82" s="403" t="s">
        <v>46</v>
      </c>
      <c r="AD82" s="403" t="s">
        <v>46</v>
      </c>
      <c r="AE82" s="403" t="s">
        <v>46</v>
      </c>
      <c r="AF82" s="403" t="s">
        <v>46</v>
      </c>
      <c r="AG82" s="403" t="s">
        <v>46</v>
      </c>
      <c r="AH82" s="457">
        <v>0</v>
      </c>
      <c r="AI82" s="411" t="s">
        <v>46</v>
      </c>
      <c r="AJ82" s="403" t="s">
        <v>46</v>
      </c>
      <c r="AK82" s="403" t="s">
        <v>46</v>
      </c>
      <c r="AL82" s="403" t="s">
        <v>46</v>
      </c>
      <c r="AM82" s="403" t="s">
        <v>46</v>
      </c>
      <c r="AN82" s="403" t="s">
        <v>46</v>
      </c>
      <c r="AO82" s="457">
        <v>0</v>
      </c>
      <c r="AP82" s="411" t="s">
        <v>46</v>
      </c>
      <c r="AQ82" s="403" t="s">
        <v>46</v>
      </c>
      <c r="AR82" s="403" t="s">
        <v>46</v>
      </c>
      <c r="AS82" s="403" t="s">
        <v>46</v>
      </c>
      <c r="AT82" s="403" t="s">
        <v>46</v>
      </c>
      <c r="AU82" s="403" t="s">
        <v>46</v>
      </c>
      <c r="AV82" s="457">
        <v>0</v>
      </c>
      <c r="AW82" s="411" t="s">
        <v>46</v>
      </c>
      <c r="AX82" s="403" t="s">
        <v>46</v>
      </c>
      <c r="AY82" s="403" t="s">
        <v>46</v>
      </c>
      <c r="AZ82" s="403" t="s">
        <v>46</v>
      </c>
      <c r="BA82" s="403" t="s">
        <v>46</v>
      </c>
      <c r="BB82" s="403" t="s">
        <v>46</v>
      </c>
      <c r="BC82" s="457">
        <v>0</v>
      </c>
      <c r="BD82" s="411" t="s">
        <v>46</v>
      </c>
      <c r="BE82" s="403" t="s">
        <v>46</v>
      </c>
      <c r="BF82" s="403" t="s">
        <v>46</v>
      </c>
      <c r="BG82" s="403" t="s">
        <v>46</v>
      </c>
      <c r="BH82" s="403" t="s">
        <v>46</v>
      </c>
      <c r="BI82" s="403" t="s">
        <v>46</v>
      </c>
      <c r="BJ82" s="457">
        <v>0</v>
      </c>
      <c r="BK82" s="411" t="s">
        <v>46</v>
      </c>
      <c r="BL82" s="403" t="s">
        <v>46</v>
      </c>
      <c r="BM82" s="403" t="s">
        <v>46</v>
      </c>
      <c r="BN82" s="403" t="s">
        <v>46</v>
      </c>
      <c r="BO82" s="403" t="s">
        <v>46</v>
      </c>
      <c r="BP82" s="403" t="s">
        <v>46</v>
      </c>
      <c r="BQ82" s="457">
        <v>0</v>
      </c>
      <c r="BR82" s="411" t="s">
        <v>46</v>
      </c>
      <c r="BS82" s="403" t="s">
        <v>46</v>
      </c>
      <c r="BT82" s="403" t="s">
        <v>46</v>
      </c>
      <c r="BU82" s="403" t="s">
        <v>46</v>
      </c>
      <c r="BV82" s="403" t="s">
        <v>46</v>
      </c>
      <c r="BW82" s="403" t="s">
        <v>46</v>
      </c>
      <c r="BX82" s="457">
        <v>0</v>
      </c>
      <c r="BY82" s="411" t="s">
        <v>46</v>
      </c>
      <c r="BZ82" s="403" t="s">
        <v>46</v>
      </c>
      <c r="CA82" s="403" t="s">
        <v>46</v>
      </c>
      <c r="CB82" s="403" t="s">
        <v>46</v>
      </c>
      <c r="CC82" s="403" t="s">
        <v>46</v>
      </c>
      <c r="CD82" s="403" t="s">
        <v>46</v>
      </c>
      <c r="CE82" s="457">
        <v>0</v>
      </c>
      <c r="CF82" s="411" t="s">
        <v>46</v>
      </c>
      <c r="CG82" s="403" t="s">
        <v>46</v>
      </c>
      <c r="CH82" s="403" t="s">
        <v>46</v>
      </c>
      <c r="CI82" s="403" t="s">
        <v>46</v>
      </c>
      <c r="CJ82" s="403" t="s">
        <v>46</v>
      </c>
      <c r="CK82" s="403" t="s">
        <v>46</v>
      </c>
      <c r="CL82" s="457">
        <v>0</v>
      </c>
      <c r="CM82" s="411" t="s">
        <v>46</v>
      </c>
      <c r="CN82" s="403" t="s">
        <v>46</v>
      </c>
      <c r="CO82" s="403" t="s">
        <v>46</v>
      </c>
      <c r="CP82" s="403" t="s">
        <v>46</v>
      </c>
      <c r="CQ82" s="403" t="s">
        <v>46</v>
      </c>
      <c r="CR82" s="403" t="s">
        <v>46</v>
      </c>
      <c r="CS82" s="457">
        <v>0</v>
      </c>
    </row>
    <row r="83" spans="1:97" ht="15.75" customHeight="1" x14ac:dyDescent="0.25">
      <c r="C83" s="1">
        <v>1</v>
      </c>
      <c r="D83" s="1">
        <f>Scenario_Info!$O$11</f>
        <v>15</v>
      </c>
      <c r="E83" s="1">
        <f>Scenario_Info!$O$12</f>
        <v>6</v>
      </c>
      <c r="F83" s="1">
        <f>Scenario_Info!$O$14/100</f>
        <v>0.11599999999999999</v>
      </c>
      <c r="G83" s="426">
        <f>IF((H$9-H$8)*$E$8/($E$66*$E$9*1000)&lt;=G$70, (H$9-H$8)*$E$8/($E$66*$E$9*1000), G$70)</f>
        <v>9.2495614373408717E-3</v>
      </c>
      <c r="H83" s="21">
        <f>IF((H$10-H$8)*$E$8/($E$67*$E$9*1000)&lt;=G$70,(H$10-H$8)*$E$8/($E$67*$E$9*1000),G$70)</f>
        <v>5.1099125190910743E-3</v>
      </c>
      <c r="I83" s="21">
        <f t="shared" ref="I83:I112" si="91">($D83*G83+$E83*H83)/($D83+$E83)</f>
        <v>8.0668046035552148E-3</v>
      </c>
      <c r="J83" s="42">
        <f>G83*($E$66*$E$9*1000)</f>
        <v>12.209421097289951</v>
      </c>
      <c r="K83" s="42">
        <f>H83*($E$67*$E$9*1000)</f>
        <v>22.483615084000725</v>
      </c>
      <c r="L83" s="42">
        <f>($D83*J83+$E83*K83)/$E$8</f>
        <v>0.39755375870419202</v>
      </c>
      <c r="M83" s="43">
        <f>L83</f>
        <v>0.39755375870419202</v>
      </c>
      <c r="N83" s="21">
        <f>IF((O$9-O$8)*$E$8/($E$66*$E$9*1000)&lt;=N$70, (O$9-O$8)*$E$8/($E$66*$E$9*1000), N$70)</f>
        <v>7.1314374635136416E-2</v>
      </c>
      <c r="O83" s="21">
        <f>IF((O$10-O$8)*$E$8/($E$67*$E$9*1000)&lt;=N$70,(O$10-O$8)*$E$8/($E$67*$E$9*1000),N$70)</f>
        <v>5.862609064839882E-2</v>
      </c>
      <c r="P83" s="21">
        <f t="shared" ref="P83:P112" si="92">($D83*N83+$E83*O83)/($D83+$E83)</f>
        <v>6.768915063892568E-2</v>
      </c>
      <c r="Q83" s="42">
        <f>N83*($E$66*$E$9*1000)</f>
        <v>94.134974518380062</v>
      </c>
      <c r="R83" s="42">
        <f>O83*($E$67*$E$9*1000)</f>
        <v>257.95479885295481</v>
      </c>
      <c r="S83" s="42">
        <f>($D83*Q83+$E83*R83)/$E$8</f>
        <v>3.6996917636167872</v>
      </c>
      <c r="T83" s="43">
        <f>S83</f>
        <v>3.6996917636167872</v>
      </c>
      <c r="U83" s="21">
        <f>IF((V$9-V$8)*$E$8/($E$66*$E$9*1000)&lt;=U$70, (V$9-V$8)*$E$8/($E$66*$E$9*1000), U$70)</f>
        <v>5.4977507945551023E-3</v>
      </c>
      <c r="V83" s="21">
        <f>IF((V$10-V$8)*$E$8/($E$67*$E$9*1000)&lt;=U$70,(V$10-V$8)*$E$8/($E$67*$E$9*1000),U$70)</f>
        <v>4.5373688807934442E-3</v>
      </c>
      <c r="W83" s="21">
        <f t="shared" ref="W83:W112" si="93">($D83*U83+$E83*V83)/($D83+$E83)</f>
        <v>5.2233559620517714E-3</v>
      </c>
      <c r="X83" s="42">
        <f>U83*($E$66*$E$9*1000)</f>
        <v>7.2570310488127348</v>
      </c>
      <c r="Y83" s="42">
        <f>V83*($E$67*$E$9*1000)</f>
        <v>19.964423075491155</v>
      </c>
      <c r="Z83" s="42">
        <f>($D83*X83+$E83*Y83)/$E$8</f>
        <v>0.28580250523142242</v>
      </c>
      <c r="AA83" s="43">
        <f>Z83</f>
        <v>0.28580250523142242</v>
      </c>
      <c r="AB83" s="46">
        <f>IF((AC$9-AC$8)*$E$8/($E$66*$E$9*1000)&lt;=AB$70, (AC$9-AC$8)*$E$8/($E$66*$E$9*1000), AB$70)</f>
        <v>35.5</v>
      </c>
      <c r="AC83" s="46">
        <f>IF((AC$10-AC$8)*$E$8/($E$67*$E$9*1000)&lt;=AB$70,(AC$10-AC$8)*$E$8/($E$67*$E$9*1000),AB$70)</f>
        <v>35.5</v>
      </c>
      <c r="AD83" s="46">
        <f t="shared" ref="AD83:AD112" si="94">($D83*AB83+$E83*AC83)/($D83+$E83)</f>
        <v>35.5</v>
      </c>
      <c r="AE83" s="49">
        <f>AB83*($E$66*$E$9*1000)</f>
        <v>46860</v>
      </c>
      <c r="AF83" s="49">
        <f>AC83*($E$67*$E$9*1000)</f>
        <v>156200</v>
      </c>
      <c r="AG83" s="49">
        <f>($D83*AE83+$E83*AF83)/$E$8</f>
        <v>2050.125</v>
      </c>
      <c r="AH83" s="47">
        <f>AG83</f>
        <v>2050.125</v>
      </c>
      <c r="AI83" s="41">
        <f>IF((AJ$9-AJ$8)*$E$8/($E$66*$E$9*1000)&lt;=AI$70, (AJ$9-AJ$8)*$E$8/($E$66*$E$9*1000), AI$70)</f>
        <v>6.0989926484335738E-2</v>
      </c>
      <c r="AJ83" s="41">
        <f>IF((AJ$10-AJ$8)*$E$8/($E$67*$E$9*1000)&lt;=AI$70,(AJ$10-AJ$8)*$E$8/($E$67*$E$9*1000),AI$70)</f>
        <v>3.5388847596637969E-2</v>
      </c>
      <c r="AK83" s="41">
        <f t="shared" ref="AK83:AK112" si="95">($D83*AI83+$E83*AJ83)/($D83+$E83)</f>
        <v>5.3675332516422092E-2</v>
      </c>
      <c r="AL83" s="42">
        <f>AI83*($E$66*$E$9*1000)</f>
        <v>80.506702959323178</v>
      </c>
      <c r="AM83" s="42">
        <f>AJ83*($E$67*$E$9*1000)</f>
        <v>155.71092942520707</v>
      </c>
      <c r="AN83" s="42">
        <f>($D83*AL83+$E83*AM83)/$E$8</f>
        <v>2.6773326511763629</v>
      </c>
      <c r="AO83" s="44">
        <f>AN83</f>
        <v>2.6773326511763629</v>
      </c>
      <c r="AP83" s="41">
        <f>IF((AQ$9-AQ$8)*$E$8/($E$66*$E$9*1000)&lt;=AP$70, (AQ$9-AQ$8)*$E$8/($E$66*$E$9*1000), AP$70)</f>
        <v>0.29088456772100729</v>
      </c>
      <c r="AQ83" s="41">
        <f>IF((AQ$10-AQ$8)*$E$8/($E$67*$E$9*1000)&lt;=AP$70,(AQ$10-AQ$8)*$E$8/($E$67*$E$9*1000),AP$70)</f>
        <v>0.18588383480909978</v>
      </c>
      <c r="AR83" s="41">
        <f t="shared" ref="AR83:AR112" si="96">($D83*AP83+$E83*AQ83)/($D83+$E83)</f>
        <v>0.26088435831760515</v>
      </c>
      <c r="AS83" s="42">
        <f>AP83*($E$66*$E$9*1000)</f>
        <v>383.96762939172964</v>
      </c>
      <c r="AT83" s="42">
        <f>AQ83*($E$67*$E$9*1000)</f>
        <v>817.888873160039</v>
      </c>
      <c r="AU83" s="42">
        <f>($D83*AS83+$E83*AT83)/$E$8</f>
        <v>13.333559599795221</v>
      </c>
      <c r="AV83" s="43">
        <f>AU83</f>
        <v>13.333559599795221</v>
      </c>
      <c r="AW83" s="41">
        <f>IF((AX$9-AX$8)*$E$8/($E$66*$E$9*1000)&lt;=AW$70, (AX$9-AX$8)*$E$8/($E$66*$E$9*1000), AW$70)</f>
        <v>8.1443089558856319E-2</v>
      </c>
      <c r="AX83" s="41">
        <f>IF((AX$10-AX$8)*$E$8/($E$67*$E$9*1000)&lt;=AW$70,(AX$10-AX$8)*$E$8/($E$67*$E$9*1000),AW$70)</f>
        <v>4.9112238880035609E-2</v>
      </c>
      <c r="AY83" s="41">
        <f t="shared" ref="AY83:AY112" si="97">($D83*AW83+$E83*AX83)/($D83+$E83)</f>
        <v>7.220570365062183E-2</v>
      </c>
      <c r="AZ83" s="42">
        <f>AW83*($E$66*$E$9*1000)</f>
        <v>107.50487821769035</v>
      </c>
      <c r="BA83" s="42">
        <f>AX83*($E$67*$E$9*1000)</f>
        <v>216.09385107215667</v>
      </c>
      <c r="BB83" s="42">
        <f>($D83*AZ83+$E83*BA83)/$E$8</f>
        <v>3.6364203496228691</v>
      </c>
      <c r="BC83" s="43">
        <f>BB83</f>
        <v>3.6364203496228691</v>
      </c>
      <c r="BD83" s="41">
        <f>IF((BE$9-BE$8)*$E$8/($E$66*$E$9*1000)&lt;=BD$70, (BE$9-BE$8)*$E$8/($E$66*$E$9*1000), BD$70)</f>
        <v>0.75744955016892113</v>
      </c>
      <c r="BE83" s="41">
        <f>IF((BE$10-BE$8)*$E$8/($E$67*$E$9*1000)&lt;=BD$70,(BE$10-BE$8)*$E$8/($E$67*$E$9*1000),BD$70)</f>
        <v>0.73745082773856463</v>
      </c>
      <c r="BF83" s="41">
        <f t="shared" ref="BF83:BF112" si="98">($D83*BD83+$E83*BE83)/($D83+$E83)</f>
        <v>0.75173562947453354</v>
      </c>
      <c r="BG83" s="49">
        <f>BD83*($E$66*$E$9*1000)</f>
        <v>999.8334062229759</v>
      </c>
      <c r="BH83" s="49">
        <f>BE83*($E$67*$E$9*1000)</f>
        <v>3244.7836420496842</v>
      </c>
      <c r="BI83" s="49">
        <f>($D83*BG83+$E83*BH83)/$E$8</f>
        <v>43.082753682053429</v>
      </c>
      <c r="BJ83" s="47">
        <f>BI83</f>
        <v>43.082753682053429</v>
      </c>
      <c r="BK83" s="42">
        <f>IF((BL$9-BL$8)*$E$8/($E$66*$E$9*1000)&lt;=BK$70, (BL$9-BL$8)*$E$8/($E$66*$E$9*1000), BK$70)</f>
        <v>2.68</v>
      </c>
      <c r="BL83" s="42">
        <f>IF((BL$10-BL$8)*$E$8/($E$67*$E$9*1000)&lt;=BK$70,(BL$10-BL$8)*$E$8/($E$67*$E$9*1000),BK$70)</f>
        <v>2.68</v>
      </c>
      <c r="BM83" s="42">
        <f t="shared" ref="BM83:BM112" si="99">($D83*BK83+$E83*BL83)/($D83+$E83)</f>
        <v>2.68</v>
      </c>
      <c r="BN83" s="49">
        <f>BK83*($E$66*$E$9*1000)</f>
        <v>3537.6000000000004</v>
      </c>
      <c r="BO83" s="49">
        <f>BL83*($E$67*$E$9*1000)</f>
        <v>11792</v>
      </c>
      <c r="BP83" s="49">
        <f>($D83*BN83+$E83*BO83)/$E$8</f>
        <v>154.77000000000001</v>
      </c>
      <c r="BQ83" s="47">
        <f>BP83</f>
        <v>154.77000000000001</v>
      </c>
      <c r="BR83" s="21">
        <f>IF((BS$9-BS$8)*$E$8/($E$66*$E$9*1000)&lt;=BR$70, (BS$9-BS$8)*$E$8/($E$66*$E$9*1000), BR$70)</f>
        <v>6.1452231092498699E-2</v>
      </c>
      <c r="BS83" s="21">
        <f>IF((BS$10-BS$8)*$E$8/($E$67*$E$9*1000)&lt;=BR$70,(BS$10-BS$8)*$E$8/($E$67*$E$9*1000),BR$70)</f>
        <v>2.8988151364104296E-2</v>
      </c>
      <c r="BT83" s="21">
        <f t="shared" ref="BT83:BT112" si="100">($D83*BR83+$E83*BS83)/($D83+$E83)</f>
        <v>5.2176779741528866E-2</v>
      </c>
      <c r="BU83" s="42">
        <f>BR83*($E$66*$E$9*1000)</f>
        <v>81.11694504209828</v>
      </c>
      <c r="BV83" s="42">
        <f>BS83*($E$67*$E$9*1000)</f>
        <v>127.5478660020589</v>
      </c>
      <c r="BW83" s="42">
        <f>($D83*BU83+$E83*BV83)/$E$8</f>
        <v>2.4775517145547847</v>
      </c>
      <c r="BX83" s="43">
        <f>BW83</f>
        <v>2.4775517145547847</v>
      </c>
      <c r="BY83" s="49">
        <f>IF((BZ$9-BZ$8)*$E$8/($E$66*$E$9*1000)&lt;=BY$70, (BZ$9-BZ$8)*$E$8/($E$66*$E$9*1000), BY$70)</f>
        <v>594.65989857141892</v>
      </c>
      <c r="BZ83" s="49">
        <f>IF((BZ$10-BZ$8)*$E$8/($E$67*$E$9*1000)&lt;=BY$70,(BZ$10-BZ$8)*$E$8/($E$67*$E$9*1000),BY$70)</f>
        <v>348.30010899479413</v>
      </c>
      <c r="CA83" s="49">
        <f t="shared" ref="CA83:CA112" si="101">($D83*BY83+$E83*BZ83)/($D83+$E83)</f>
        <v>524.27138726381179</v>
      </c>
      <c r="CB83" s="49">
        <f>BY83*($E$66*$E$9*1000)</f>
        <v>784951.06611427292</v>
      </c>
      <c r="CC83" s="49">
        <f>BZ83*($E$67*$E$9*1000)</f>
        <v>1532520.4795770941</v>
      </c>
      <c r="CD83" s="49">
        <f>($D83*CB83+$E83*CC83)/$E$8</f>
        <v>26211.736086470821</v>
      </c>
      <c r="CE83" s="47">
        <f>CD83</f>
        <v>26211.736086470821</v>
      </c>
      <c r="CF83" s="21">
        <f>IF((CG$9-CG$8)*$E$8/($E$66*$E$9*1000)&lt;=CF$70, (CG$9-CG$8)*$E$8/($E$66*$E$9*1000), CF$70)</f>
        <v>0.23</v>
      </c>
      <c r="CG83" s="21">
        <f>IF((CG$10-CG$8)*$E$8/($E$67*$E$9*1000)&lt;=CF$70,(CG$10-CG$8)*$E$8/($E$67*$E$9*1000),CF$70)</f>
        <v>0.23</v>
      </c>
      <c r="CH83" s="21">
        <f t="shared" ref="CH83:CH112" si="102">($D83*CF83+$E83*CG83)/($D83+$E83)</f>
        <v>0.23</v>
      </c>
      <c r="CI83" s="42">
        <f>CF83*($E$66*$E$9*1000)</f>
        <v>303.60000000000002</v>
      </c>
      <c r="CJ83" s="42">
        <f>CG83*($E$67*$E$9*1000)</f>
        <v>1012</v>
      </c>
      <c r="CK83" s="42">
        <f>($D83*CI83+$E83*CJ83)/$E$8</f>
        <v>13.282500000000001</v>
      </c>
      <c r="CL83" s="43">
        <f>CK83</f>
        <v>13.282500000000001</v>
      </c>
      <c r="CM83" s="21">
        <f>IF((CN$9-CN$8)*$E$8/($E$66*$E$9*1000)&lt;=CM$70, (CN$9-CN$8)*$E$8/($E$66*$E$9*1000), CM$70)</f>
        <v>6.7949700306537048E-2</v>
      </c>
      <c r="CN83" s="21">
        <f>IF((CN$10-CN$8)*$E$8/($E$67*$E$9*1000)&lt;=CM$70,(CN$10-CN$8)*$E$8/($E$67*$E$9*1000),CM$70)</f>
        <v>6.886777290285899E-2</v>
      </c>
      <c r="CO83" s="41">
        <f t="shared" ref="CO83:CO112" si="103">($D83*CM83+$E83*CN83)/($D83+$E83)</f>
        <v>6.8212006762629035E-2</v>
      </c>
      <c r="CP83" s="46">
        <f>CM83*($E$66*$E$9*1000)</f>
        <v>89.6936044046289</v>
      </c>
      <c r="CQ83" s="46">
        <f>CN83*($E$67*$E$9*1000)</f>
        <v>303.01820077257958</v>
      </c>
      <c r="CR83" s="42">
        <f>($D83*CP83+$E83*CQ83)/$E$8</f>
        <v>3.9543915883811387</v>
      </c>
      <c r="CS83" s="43">
        <f>CR83</f>
        <v>3.9543915883811387</v>
      </c>
    </row>
    <row r="84" spans="1:97" ht="15.75" customHeight="1" x14ac:dyDescent="0.25">
      <c r="C84" s="1">
        <v>2</v>
      </c>
      <c r="D84" s="1">
        <f>Scenario_Info!$O$11</f>
        <v>15</v>
      </c>
      <c r="E84" s="1">
        <f>Scenario_Info!$O$12</f>
        <v>6</v>
      </c>
      <c r="F84" s="1">
        <f>Scenario_Info!$O$14/100</f>
        <v>0.11599999999999999</v>
      </c>
      <c r="G84" s="426">
        <f t="shared" ref="G84:G112" si="104">IF((H$9-H$8)*$E$8/($E$66*$E$9*1000)&lt;=G$70, (H$9-H$8)*$E$8/($E$66*$E$9*1000), G$70)</f>
        <v>9.2495614373408717E-3</v>
      </c>
      <c r="H84" s="21">
        <f t="shared" ref="H84:H112" si="105">IF((H$10-H$8)*$E$8/($E$67*$E$9*1000)&lt;=G$70,(H$10-H$8)*$E$8/($E$67*$E$9*1000),G$70)</f>
        <v>5.1099125190910743E-3</v>
      </c>
      <c r="I84" s="21">
        <f t="shared" si="91"/>
        <v>8.0668046035552148E-3</v>
      </c>
      <c r="J84" s="42">
        <f t="shared" ref="J84:J112" si="106">G84*($E$66*$E$9*1000)</f>
        <v>12.209421097289951</v>
      </c>
      <c r="K84" s="42">
        <f t="shared" ref="K84:K112" si="107">H84*($E$67*$E$9*1000)</f>
        <v>22.483615084000725</v>
      </c>
      <c r="L84" s="42">
        <f t="shared" ref="L84:L112" si="108">($D84*J84+$E84*K84)/$E$8</f>
        <v>0.39755375870419202</v>
      </c>
      <c r="M84" s="43">
        <f t="shared" ref="M84:M112" si="109">L84+M83</f>
        <v>0.79510751740838403</v>
      </c>
      <c r="N84" s="21">
        <f t="shared" ref="N84:N112" si="110">IF((O$9-O$8)*$E$8/($E$66*$E$9*1000)&lt;=N$70, (O$9-O$8)*$E$8/($E$66*$E$9*1000), N$70)</f>
        <v>7.1314374635136416E-2</v>
      </c>
      <c r="O84" s="21">
        <f t="shared" ref="O84:O112" si="111">IF((O$10-O$8)*$E$8/($E$67*$E$9*1000)&lt;=N$70,(O$10-O$8)*$E$8/($E$67*$E$9*1000),N$70)</f>
        <v>5.862609064839882E-2</v>
      </c>
      <c r="P84" s="21">
        <f t="shared" si="92"/>
        <v>6.768915063892568E-2</v>
      </c>
      <c r="Q84" s="42">
        <f t="shared" ref="Q84:Q112" si="112">N84*($E$66*$E$9*1000)</f>
        <v>94.134974518380062</v>
      </c>
      <c r="R84" s="42">
        <f t="shared" ref="R84:R112" si="113">O84*($E$67*$E$9*1000)</f>
        <v>257.95479885295481</v>
      </c>
      <c r="S84" s="42">
        <f t="shared" ref="S84:S112" si="114">($D84*Q84+$E84*R84)/$E$8</f>
        <v>3.6996917636167872</v>
      </c>
      <c r="T84" s="43">
        <f t="shared" ref="T84:T112" si="115">S84+T83</f>
        <v>7.3993835272335744</v>
      </c>
      <c r="U84" s="21">
        <f t="shared" ref="U84:U112" si="116">IF((V$9-V$8)*$E$8/($E$66*$E$9*1000)&lt;=U$70, (V$9-V$8)*$E$8/($E$66*$E$9*1000), U$70)</f>
        <v>5.4977507945551023E-3</v>
      </c>
      <c r="V84" s="21">
        <f t="shared" ref="V84:V112" si="117">IF((V$10-V$8)*$E$8/($E$67*$E$9*1000)&lt;=U$70,(V$10-V$8)*$E$8/($E$67*$E$9*1000),U$70)</f>
        <v>4.5373688807934442E-3</v>
      </c>
      <c r="W84" s="21">
        <f t="shared" si="93"/>
        <v>5.2233559620517714E-3</v>
      </c>
      <c r="X84" s="42">
        <f t="shared" ref="X84:X112" si="118">U84*($E$66*$E$9*1000)</f>
        <v>7.2570310488127348</v>
      </c>
      <c r="Y84" s="42">
        <f t="shared" ref="Y84:Y112" si="119">V84*($E$67*$E$9*1000)</f>
        <v>19.964423075491155</v>
      </c>
      <c r="Z84" s="42">
        <f t="shared" ref="Z84:Z112" si="120">($D84*X84+$E84*Y84)/$E$8</f>
        <v>0.28580250523142242</v>
      </c>
      <c r="AA84" s="43">
        <f t="shared" ref="AA84:AA112" si="121">Z84+AA83</f>
        <v>0.57160501046284484</v>
      </c>
      <c r="AB84" s="46">
        <f t="shared" ref="AB84:AB112" si="122">IF((AC$9-AC$8)*$E$8/($E$66*$E$9*1000)&lt;=AB$70, (AC$9-AC$8)*$E$8/($E$66*$E$9*1000), AB$70)</f>
        <v>35.5</v>
      </c>
      <c r="AC84" s="46">
        <f t="shared" ref="AC84:AC112" si="123">IF((AC$10-AC$8)*$E$8/($E$67*$E$9*1000)&lt;=AB$70,(AC$10-AC$8)*$E$8/($E$67*$E$9*1000),AB$70)</f>
        <v>35.5</v>
      </c>
      <c r="AD84" s="46">
        <f t="shared" si="94"/>
        <v>35.5</v>
      </c>
      <c r="AE84" s="49">
        <f t="shared" ref="AE84:AE112" si="124">AB84*($E$66*$E$9*1000)</f>
        <v>46860</v>
      </c>
      <c r="AF84" s="49">
        <f t="shared" ref="AF84:AF112" si="125">AC84*($E$67*$E$9*1000)</f>
        <v>156200</v>
      </c>
      <c r="AG84" s="49">
        <f t="shared" ref="AG84:AG112" si="126">($D84*AE84+$E84*AF84)/$E$8</f>
        <v>2050.125</v>
      </c>
      <c r="AH84" s="47">
        <f t="shared" ref="AH84:AH112" si="127">AG84+AH83</f>
        <v>4100.25</v>
      </c>
      <c r="AI84" s="41">
        <f t="shared" ref="AI84:AI112" si="128">IF((AJ$9-AJ$8)*$E$8/($E$66*$E$9*1000)&lt;=AI$70, (AJ$9-AJ$8)*$E$8/($E$66*$E$9*1000), AI$70)</f>
        <v>6.0989926484335738E-2</v>
      </c>
      <c r="AJ84" s="41">
        <f t="shared" ref="AJ84:AJ112" si="129">IF((AJ$10-AJ$8)*$E$8/($E$67*$E$9*1000)&lt;=AI$70,(AJ$10-AJ$8)*$E$8/($E$67*$E$9*1000),AI$70)</f>
        <v>3.5388847596637969E-2</v>
      </c>
      <c r="AK84" s="41">
        <f t="shared" si="95"/>
        <v>5.3675332516422092E-2</v>
      </c>
      <c r="AL84" s="42">
        <f t="shared" ref="AL84:AL112" si="130">AI84*($E$66*$E$9*1000)</f>
        <v>80.506702959323178</v>
      </c>
      <c r="AM84" s="42">
        <f t="shared" ref="AM84:AM112" si="131">AJ84*($E$67*$E$9*1000)</f>
        <v>155.71092942520707</v>
      </c>
      <c r="AN84" s="42">
        <f t="shared" ref="AN84:AN112" si="132">($D84*AL84+$E84*AM84)/$E$8</f>
        <v>2.6773326511763629</v>
      </c>
      <c r="AO84" s="44">
        <f t="shared" ref="AO84:AO112" si="133">AN84+AO83</f>
        <v>5.3546653023527258</v>
      </c>
      <c r="AP84" s="41">
        <f t="shared" ref="AP84:AP112" si="134">IF((AQ$9-AQ$8)*$E$8/($E$66*$E$9*1000)&lt;=AP$70, (AQ$9-AQ$8)*$E$8/($E$66*$E$9*1000), AP$70)</f>
        <v>0.29088456772100729</v>
      </c>
      <c r="AQ84" s="41">
        <f t="shared" ref="AQ84:AQ112" si="135">IF((AQ$10-AQ$8)*$E$8/($E$67*$E$9*1000)&lt;=AP$70,(AQ$10-AQ$8)*$E$8/($E$67*$E$9*1000),AP$70)</f>
        <v>0.18588383480909978</v>
      </c>
      <c r="AR84" s="41">
        <f t="shared" si="96"/>
        <v>0.26088435831760515</v>
      </c>
      <c r="AS84" s="42">
        <f t="shared" ref="AS84:AS112" si="136">AP84*($E$66*$E$9*1000)</f>
        <v>383.96762939172964</v>
      </c>
      <c r="AT84" s="42">
        <f t="shared" ref="AT84:AT112" si="137">AQ84*($E$67*$E$9*1000)</f>
        <v>817.888873160039</v>
      </c>
      <c r="AU84" s="42">
        <f t="shared" ref="AU84:AU112" si="138">($D84*AS84+$E84*AT84)/$E$8</f>
        <v>13.333559599795221</v>
      </c>
      <c r="AV84" s="43">
        <f t="shared" ref="AV84:AV112" si="139">AU84+AV83</f>
        <v>26.667119199590442</v>
      </c>
      <c r="AW84" s="41">
        <f t="shared" ref="AW84:AW112" si="140">IF((AX$9-AX$8)*$E$8/($E$66*$E$9*1000)&lt;=AW$70, (AX$9-AX$8)*$E$8/($E$66*$E$9*1000), AW$70)</f>
        <v>8.1443089558856319E-2</v>
      </c>
      <c r="AX84" s="41">
        <f t="shared" ref="AX84:AX112" si="141">IF((AX$10-AX$8)*$E$8/($E$67*$E$9*1000)&lt;=AW$70,(AX$10-AX$8)*$E$8/($E$67*$E$9*1000),AW$70)</f>
        <v>4.9112238880035609E-2</v>
      </c>
      <c r="AY84" s="41">
        <f t="shared" si="97"/>
        <v>7.220570365062183E-2</v>
      </c>
      <c r="AZ84" s="42">
        <f t="shared" ref="AZ84:AZ112" si="142">AW84*($E$66*$E$9*1000)</f>
        <v>107.50487821769035</v>
      </c>
      <c r="BA84" s="42">
        <f t="shared" ref="BA84:BA112" si="143">AX84*($E$67*$E$9*1000)</f>
        <v>216.09385107215667</v>
      </c>
      <c r="BB84" s="42">
        <f t="shared" ref="BB84:BB112" si="144">($D84*AZ84+$E84*BA84)/$E$8</f>
        <v>3.6364203496228691</v>
      </c>
      <c r="BC84" s="43">
        <f t="shared" ref="BC84:BC112" si="145">BB84+BC83</f>
        <v>7.2728406992457382</v>
      </c>
      <c r="BD84" s="41">
        <f t="shared" ref="BD84:BD112" si="146">IF((BE$9-BE$8)*$E$8/($E$66*$E$9*1000)&lt;=BD$70, (BE$9-BE$8)*$E$8/($E$66*$E$9*1000), BD$70)</f>
        <v>0.75744955016892113</v>
      </c>
      <c r="BE84" s="41">
        <f t="shared" ref="BE84:BE112" si="147">IF((BE$10-BE$8)*$E$8/($E$67*$E$9*1000)&lt;=BD$70,(BE$10-BE$8)*$E$8/($E$67*$E$9*1000),BD$70)</f>
        <v>0.73745082773856463</v>
      </c>
      <c r="BF84" s="41">
        <f t="shared" si="98"/>
        <v>0.75173562947453354</v>
      </c>
      <c r="BG84" s="49">
        <f t="shared" ref="BG84:BG112" si="148">BD84*($E$66*$E$9*1000)</f>
        <v>999.8334062229759</v>
      </c>
      <c r="BH84" s="49">
        <f t="shared" ref="BH84:BH112" si="149">BE84*($E$67*$E$9*1000)</f>
        <v>3244.7836420496842</v>
      </c>
      <c r="BI84" s="49">
        <f t="shared" ref="BI84:BI112" si="150">($D84*BG84+$E84*BH84)/$E$8</f>
        <v>43.082753682053429</v>
      </c>
      <c r="BJ84" s="47">
        <f t="shared" ref="BJ84:BJ112" si="151">BI84+BJ83</f>
        <v>86.165507364106858</v>
      </c>
      <c r="BK84" s="42">
        <f t="shared" ref="BK84:BK112" si="152">IF((BL$9-BL$8)*$E$8/($E$66*$E$9*1000)&lt;=BK$70, (BL$9-BL$8)*$E$8/($E$66*$E$9*1000), BK$70)</f>
        <v>2.68</v>
      </c>
      <c r="BL84" s="42">
        <f t="shared" ref="BL84:BL112" si="153">IF((BL$10-BL$8)*$E$8/($E$67*$E$9*1000)&lt;=BK$70,(BL$10-BL$8)*$E$8/($E$67*$E$9*1000),BK$70)</f>
        <v>2.68</v>
      </c>
      <c r="BM84" s="42">
        <f t="shared" si="99"/>
        <v>2.68</v>
      </c>
      <c r="BN84" s="49">
        <f t="shared" ref="BN84:BN112" si="154">BK84*($E$66*$E$9*1000)</f>
        <v>3537.6000000000004</v>
      </c>
      <c r="BO84" s="49">
        <f t="shared" ref="BO84:BO112" si="155">BL84*($E$67*$E$9*1000)</f>
        <v>11792</v>
      </c>
      <c r="BP84" s="49">
        <f t="shared" ref="BP84:BP112" si="156">($D84*BN84+$E84*BO84)/$E$8</f>
        <v>154.77000000000001</v>
      </c>
      <c r="BQ84" s="47">
        <f t="shared" ref="BQ84:BQ112" si="157">BP84+BQ83</f>
        <v>309.54000000000002</v>
      </c>
      <c r="BR84" s="21">
        <f t="shared" ref="BR84:BR112" si="158">IF((BS$9-BS$8)*$E$8/($E$66*$E$9*1000)&lt;=BR$70, (BS$9-BS$8)*$E$8/($E$66*$E$9*1000), BR$70)</f>
        <v>6.1452231092498699E-2</v>
      </c>
      <c r="BS84" s="21">
        <f t="shared" ref="BS84:BS112" si="159">IF((BS$10-BS$8)*$E$8/($E$67*$E$9*1000)&lt;=BR$70,(BS$10-BS$8)*$E$8/($E$67*$E$9*1000),BR$70)</f>
        <v>2.8988151364104296E-2</v>
      </c>
      <c r="BT84" s="21">
        <f t="shared" si="100"/>
        <v>5.2176779741528866E-2</v>
      </c>
      <c r="BU84" s="42">
        <f t="shared" ref="BU84:BU112" si="160">BR84*($E$66*$E$9*1000)</f>
        <v>81.11694504209828</v>
      </c>
      <c r="BV84" s="42">
        <f t="shared" ref="BV84:BV112" si="161">BS84*($E$67*$E$9*1000)</f>
        <v>127.5478660020589</v>
      </c>
      <c r="BW84" s="42">
        <f t="shared" ref="BW84:BW112" si="162">($D84*BU84+$E84*BV84)/$E$8</f>
        <v>2.4775517145547847</v>
      </c>
      <c r="BX84" s="43">
        <f t="shared" ref="BX84:BX112" si="163">BW84+BX83</f>
        <v>4.9551034291095695</v>
      </c>
      <c r="BY84" s="49">
        <f t="shared" ref="BY84:BY112" si="164">IF((BZ$9-BZ$8)*$E$8/($E$66*$E$9*1000)&lt;=BY$70, (BZ$9-BZ$8)*$E$8/($E$66*$E$9*1000), BY$70)</f>
        <v>594.65989857141892</v>
      </c>
      <c r="BZ84" s="49">
        <f t="shared" ref="BZ84:BZ112" si="165">IF((BZ$10-BZ$8)*$E$8/($E$67*$E$9*1000)&lt;=BY$70,(BZ$10-BZ$8)*$E$8/($E$67*$E$9*1000),BY$70)</f>
        <v>348.30010899479413</v>
      </c>
      <c r="CA84" s="49">
        <f t="shared" si="101"/>
        <v>524.27138726381179</v>
      </c>
      <c r="CB84" s="49">
        <f t="shared" ref="CB84:CB112" si="166">BY84*($E$66*$E$9*1000)</f>
        <v>784951.06611427292</v>
      </c>
      <c r="CC84" s="49">
        <f t="shared" ref="CC84:CC112" si="167">BZ84*($E$67*$E$9*1000)</f>
        <v>1532520.4795770941</v>
      </c>
      <c r="CD84" s="49">
        <f t="shared" ref="CD84:CD112" si="168">($D84*CB84+$E84*CC84)/$E$8</f>
        <v>26211.736086470821</v>
      </c>
      <c r="CE84" s="47">
        <f t="shared" ref="CE84:CE112" si="169">CD84+CE83</f>
        <v>52423.472172941641</v>
      </c>
      <c r="CF84" s="21">
        <f t="shared" ref="CF84:CF112" si="170">IF((CG$9-CG$8)*$E$8/($E$66*$E$9*1000)&lt;=CF$70, (CG$9-CG$8)*$E$8/($E$66*$E$9*1000), CF$70)</f>
        <v>0.23</v>
      </c>
      <c r="CG84" s="21">
        <f t="shared" ref="CG84:CG112" si="171">IF((CG$10-CG$8)*$E$8/($E$67*$E$9*1000)&lt;=CF$70,(CG$10-CG$8)*$E$8/($E$67*$E$9*1000),CF$70)</f>
        <v>0.23</v>
      </c>
      <c r="CH84" s="21">
        <f t="shared" si="102"/>
        <v>0.23</v>
      </c>
      <c r="CI84" s="42">
        <f t="shared" ref="CI84:CI112" si="172">CF84*($E$66*$E$9*1000)</f>
        <v>303.60000000000002</v>
      </c>
      <c r="CJ84" s="42">
        <f t="shared" ref="CJ84:CJ112" si="173">CG84*($E$67*$E$9*1000)</f>
        <v>1012</v>
      </c>
      <c r="CK84" s="42">
        <f t="shared" ref="CK84:CK112" si="174">($D84*CI84+$E84*CJ84)/$E$8</f>
        <v>13.282500000000001</v>
      </c>
      <c r="CL84" s="43">
        <f t="shared" ref="CL84:CL112" si="175">CK84+CL83</f>
        <v>26.565000000000001</v>
      </c>
      <c r="CM84" s="21">
        <f t="shared" ref="CM84:CM112" si="176">IF((CN$9-CN$8)*$E$8/($E$66*$E$9*1000)&lt;=CM$70, (CN$9-CN$8)*$E$8/($E$66*$E$9*1000), CM$70)</f>
        <v>6.7949700306537048E-2</v>
      </c>
      <c r="CN84" s="21">
        <f t="shared" ref="CN84:CN112" si="177">IF((CN$10-CN$8)*$E$8/($E$67*$E$9*1000)&lt;=CM$70,(CN$10-CN$8)*$E$8/($E$67*$E$9*1000),CM$70)</f>
        <v>6.886777290285899E-2</v>
      </c>
      <c r="CO84" s="41">
        <f t="shared" si="103"/>
        <v>6.8212006762629035E-2</v>
      </c>
      <c r="CP84" s="46">
        <f t="shared" ref="CP84:CP112" si="178">CM84*($E$66*$E$9*1000)</f>
        <v>89.6936044046289</v>
      </c>
      <c r="CQ84" s="46">
        <f t="shared" ref="CQ84:CQ112" si="179">CN84*($E$67*$E$9*1000)</f>
        <v>303.01820077257958</v>
      </c>
      <c r="CR84" s="42">
        <f t="shared" ref="CR84:CR112" si="180">($D84*CP84+$E84*CQ84)/$E$8</f>
        <v>3.9543915883811387</v>
      </c>
      <c r="CS84" s="43">
        <f t="shared" ref="CS84:CS112" si="181">CR84+CS83</f>
        <v>7.9087831767622774</v>
      </c>
    </row>
    <row r="85" spans="1:97" ht="15.75" customHeight="1" x14ac:dyDescent="0.25">
      <c r="C85" s="1">
        <v>3</v>
      </c>
      <c r="D85" s="1">
        <f>Scenario_Info!$O$11</f>
        <v>15</v>
      </c>
      <c r="E85" s="1">
        <f>Scenario_Info!$O$12</f>
        <v>6</v>
      </c>
      <c r="F85" s="1">
        <f>Scenario_Info!$O$14/100</f>
        <v>0.11599999999999999</v>
      </c>
      <c r="G85" s="426">
        <f t="shared" si="104"/>
        <v>9.2495614373408717E-3</v>
      </c>
      <c r="H85" s="21">
        <f t="shared" si="105"/>
        <v>5.1099125190910743E-3</v>
      </c>
      <c r="I85" s="21">
        <f t="shared" si="91"/>
        <v>8.0668046035552148E-3</v>
      </c>
      <c r="J85" s="42">
        <f t="shared" si="106"/>
        <v>12.209421097289951</v>
      </c>
      <c r="K85" s="42">
        <f t="shared" si="107"/>
        <v>22.483615084000725</v>
      </c>
      <c r="L85" s="42">
        <f t="shared" si="108"/>
        <v>0.39755375870419202</v>
      </c>
      <c r="M85" s="43">
        <f t="shared" si="109"/>
        <v>1.1926612761125761</v>
      </c>
      <c r="N85" s="21">
        <f t="shared" si="110"/>
        <v>7.1314374635136416E-2</v>
      </c>
      <c r="O85" s="21">
        <f t="shared" si="111"/>
        <v>5.862609064839882E-2</v>
      </c>
      <c r="P85" s="21">
        <f t="shared" si="92"/>
        <v>6.768915063892568E-2</v>
      </c>
      <c r="Q85" s="42">
        <f t="shared" si="112"/>
        <v>94.134974518380062</v>
      </c>
      <c r="R85" s="42">
        <f t="shared" si="113"/>
        <v>257.95479885295481</v>
      </c>
      <c r="S85" s="42">
        <f t="shared" si="114"/>
        <v>3.6996917636167872</v>
      </c>
      <c r="T85" s="43">
        <f t="shared" si="115"/>
        <v>11.099075290850362</v>
      </c>
      <c r="U85" s="21">
        <f t="shared" si="116"/>
        <v>5.4977507945551023E-3</v>
      </c>
      <c r="V85" s="21">
        <f t="shared" si="117"/>
        <v>4.5373688807934442E-3</v>
      </c>
      <c r="W85" s="21">
        <f t="shared" si="93"/>
        <v>5.2233559620517714E-3</v>
      </c>
      <c r="X85" s="42">
        <f t="shared" si="118"/>
        <v>7.2570310488127348</v>
      </c>
      <c r="Y85" s="42">
        <f t="shared" si="119"/>
        <v>19.964423075491155</v>
      </c>
      <c r="Z85" s="42">
        <f t="shared" si="120"/>
        <v>0.28580250523142242</v>
      </c>
      <c r="AA85" s="43">
        <f t="shared" si="121"/>
        <v>0.85740751569426732</v>
      </c>
      <c r="AB85" s="46">
        <f t="shared" si="122"/>
        <v>35.5</v>
      </c>
      <c r="AC85" s="46">
        <f t="shared" si="123"/>
        <v>35.5</v>
      </c>
      <c r="AD85" s="46">
        <f t="shared" si="94"/>
        <v>35.5</v>
      </c>
      <c r="AE85" s="49">
        <f t="shared" si="124"/>
        <v>46860</v>
      </c>
      <c r="AF85" s="49">
        <f t="shared" si="125"/>
        <v>156200</v>
      </c>
      <c r="AG85" s="49">
        <f t="shared" si="126"/>
        <v>2050.125</v>
      </c>
      <c r="AH85" s="47">
        <f t="shared" si="127"/>
        <v>6150.375</v>
      </c>
      <c r="AI85" s="41">
        <f t="shared" si="128"/>
        <v>6.0989926484335738E-2</v>
      </c>
      <c r="AJ85" s="41">
        <f t="shared" si="129"/>
        <v>3.5388847596637969E-2</v>
      </c>
      <c r="AK85" s="41">
        <f t="shared" si="95"/>
        <v>5.3675332516422092E-2</v>
      </c>
      <c r="AL85" s="42">
        <f t="shared" si="130"/>
        <v>80.506702959323178</v>
      </c>
      <c r="AM85" s="42">
        <f t="shared" si="131"/>
        <v>155.71092942520707</v>
      </c>
      <c r="AN85" s="42">
        <f t="shared" si="132"/>
        <v>2.6773326511763629</v>
      </c>
      <c r="AO85" s="44">
        <f t="shared" si="133"/>
        <v>8.0319979535290891</v>
      </c>
      <c r="AP85" s="41">
        <f t="shared" si="134"/>
        <v>0.29088456772100729</v>
      </c>
      <c r="AQ85" s="41">
        <f t="shared" si="135"/>
        <v>0.18588383480909978</v>
      </c>
      <c r="AR85" s="41">
        <f t="shared" si="96"/>
        <v>0.26088435831760515</v>
      </c>
      <c r="AS85" s="42">
        <f t="shared" si="136"/>
        <v>383.96762939172964</v>
      </c>
      <c r="AT85" s="42">
        <f t="shared" si="137"/>
        <v>817.888873160039</v>
      </c>
      <c r="AU85" s="42">
        <f t="shared" si="138"/>
        <v>13.333559599795221</v>
      </c>
      <c r="AV85" s="43">
        <f t="shared" si="139"/>
        <v>40.000678799385661</v>
      </c>
      <c r="AW85" s="41">
        <f t="shared" si="140"/>
        <v>8.1443089558856319E-2</v>
      </c>
      <c r="AX85" s="41">
        <f t="shared" si="141"/>
        <v>4.9112238880035609E-2</v>
      </c>
      <c r="AY85" s="41">
        <f t="shared" si="97"/>
        <v>7.220570365062183E-2</v>
      </c>
      <c r="AZ85" s="42">
        <f t="shared" si="142"/>
        <v>107.50487821769035</v>
      </c>
      <c r="BA85" s="42">
        <f t="shared" si="143"/>
        <v>216.09385107215667</v>
      </c>
      <c r="BB85" s="42">
        <f t="shared" si="144"/>
        <v>3.6364203496228691</v>
      </c>
      <c r="BC85" s="43">
        <f t="shared" si="145"/>
        <v>10.909261048868608</v>
      </c>
      <c r="BD85" s="41">
        <f t="shared" si="146"/>
        <v>0.75744955016892113</v>
      </c>
      <c r="BE85" s="41">
        <f t="shared" si="147"/>
        <v>0.73745082773856463</v>
      </c>
      <c r="BF85" s="41">
        <f t="shared" si="98"/>
        <v>0.75173562947453354</v>
      </c>
      <c r="BG85" s="49">
        <f t="shared" si="148"/>
        <v>999.8334062229759</v>
      </c>
      <c r="BH85" s="49">
        <f t="shared" si="149"/>
        <v>3244.7836420496842</v>
      </c>
      <c r="BI85" s="49">
        <f t="shared" si="150"/>
        <v>43.082753682053429</v>
      </c>
      <c r="BJ85" s="47">
        <f t="shared" si="151"/>
        <v>129.24826104616028</v>
      </c>
      <c r="BK85" s="42">
        <f t="shared" si="152"/>
        <v>2.68</v>
      </c>
      <c r="BL85" s="42">
        <f t="shared" si="153"/>
        <v>2.68</v>
      </c>
      <c r="BM85" s="42">
        <f t="shared" si="99"/>
        <v>2.68</v>
      </c>
      <c r="BN85" s="49">
        <f t="shared" si="154"/>
        <v>3537.6000000000004</v>
      </c>
      <c r="BO85" s="49">
        <f t="shared" si="155"/>
        <v>11792</v>
      </c>
      <c r="BP85" s="49">
        <f t="shared" si="156"/>
        <v>154.77000000000001</v>
      </c>
      <c r="BQ85" s="47">
        <f t="shared" si="157"/>
        <v>464.31000000000006</v>
      </c>
      <c r="BR85" s="21">
        <f t="shared" si="158"/>
        <v>6.1452231092498699E-2</v>
      </c>
      <c r="BS85" s="21">
        <f t="shared" si="159"/>
        <v>2.8988151364104296E-2</v>
      </c>
      <c r="BT85" s="21">
        <f t="shared" si="100"/>
        <v>5.2176779741528866E-2</v>
      </c>
      <c r="BU85" s="42">
        <f t="shared" si="160"/>
        <v>81.11694504209828</v>
      </c>
      <c r="BV85" s="42">
        <f t="shared" si="161"/>
        <v>127.5478660020589</v>
      </c>
      <c r="BW85" s="42">
        <f t="shared" si="162"/>
        <v>2.4775517145547847</v>
      </c>
      <c r="BX85" s="43">
        <f t="shared" si="163"/>
        <v>7.4326551436643538</v>
      </c>
      <c r="BY85" s="49">
        <f t="shared" si="164"/>
        <v>594.65989857141892</v>
      </c>
      <c r="BZ85" s="49">
        <f t="shared" si="165"/>
        <v>348.30010899479413</v>
      </c>
      <c r="CA85" s="49">
        <f t="shared" si="101"/>
        <v>524.27138726381179</v>
      </c>
      <c r="CB85" s="49">
        <f t="shared" si="166"/>
        <v>784951.06611427292</v>
      </c>
      <c r="CC85" s="49">
        <f t="shared" si="167"/>
        <v>1532520.4795770941</v>
      </c>
      <c r="CD85" s="49">
        <f t="shared" si="168"/>
        <v>26211.736086470821</v>
      </c>
      <c r="CE85" s="47">
        <f t="shared" si="169"/>
        <v>78635.208259412466</v>
      </c>
      <c r="CF85" s="21">
        <f t="shared" si="170"/>
        <v>0.23</v>
      </c>
      <c r="CG85" s="21">
        <f t="shared" si="171"/>
        <v>0.23</v>
      </c>
      <c r="CH85" s="21">
        <f t="shared" si="102"/>
        <v>0.23</v>
      </c>
      <c r="CI85" s="42">
        <f t="shared" si="172"/>
        <v>303.60000000000002</v>
      </c>
      <c r="CJ85" s="42">
        <f t="shared" si="173"/>
        <v>1012</v>
      </c>
      <c r="CK85" s="42">
        <f t="shared" si="174"/>
        <v>13.282500000000001</v>
      </c>
      <c r="CL85" s="43">
        <f t="shared" si="175"/>
        <v>39.847500000000004</v>
      </c>
      <c r="CM85" s="21">
        <f t="shared" si="176"/>
        <v>6.7949700306537048E-2</v>
      </c>
      <c r="CN85" s="21">
        <f t="shared" si="177"/>
        <v>6.886777290285899E-2</v>
      </c>
      <c r="CO85" s="41">
        <f t="shared" si="103"/>
        <v>6.8212006762629035E-2</v>
      </c>
      <c r="CP85" s="46">
        <f t="shared" si="178"/>
        <v>89.6936044046289</v>
      </c>
      <c r="CQ85" s="46">
        <f t="shared" si="179"/>
        <v>303.01820077257958</v>
      </c>
      <c r="CR85" s="42">
        <f t="shared" si="180"/>
        <v>3.9543915883811387</v>
      </c>
      <c r="CS85" s="43">
        <f t="shared" si="181"/>
        <v>11.863174765143416</v>
      </c>
    </row>
    <row r="86" spans="1:97" ht="15.75" customHeight="1" x14ac:dyDescent="0.25">
      <c r="C86" s="1">
        <v>4</v>
      </c>
      <c r="D86" s="1">
        <f>Scenario_Info!$O$11</f>
        <v>15</v>
      </c>
      <c r="E86" s="1">
        <f>Scenario_Info!$O$12</f>
        <v>6</v>
      </c>
      <c r="F86" s="1">
        <f>Scenario_Info!$O$14/100</f>
        <v>0.11599999999999999</v>
      </c>
      <c r="G86" s="426">
        <f t="shared" si="104"/>
        <v>9.2495614373408717E-3</v>
      </c>
      <c r="H86" s="21">
        <f t="shared" si="105"/>
        <v>5.1099125190910743E-3</v>
      </c>
      <c r="I86" s="21">
        <f t="shared" si="91"/>
        <v>8.0668046035552148E-3</v>
      </c>
      <c r="J86" s="42">
        <f t="shared" si="106"/>
        <v>12.209421097289951</v>
      </c>
      <c r="K86" s="42">
        <f t="shared" si="107"/>
        <v>22.483615084000725</v>
      </c>
      <c r="L86" s="42">
        <f t="shared" si="108"/>
        <v>0.39755375870419202</v>
      </c>
      <c r="M86" s="43">
        <f t="shared" si="109"/>
        <v>1.5902150348167681</v>
      </c>
      <c r="N86" s="21">
        <f t="shared" si="110"/>
        <v>7.1314374635136416E-2</v>
      </c>
      <c r="O86" s="21">
        <f t="shared" si="111"/>
        <v>5.862609064839882E-2</v>
      </c>
      <c r="P86" s="21">
        <f t="shared" si="92"/>
        <v>6.768915063892568E-2</v>
      </c>
      <c r="Q86" s="42">
        <f t="shared" si="112"/>
        <v>94.134974518380062</v>
      </c>
      <c r="R86" s="42">
        <f t="shared" si="113"/>
        <v>257.95479885295481</v>
      </c>
      <c r="S86" s="42">
        <f t="shared" si="114"/>
        <v>3.6996917636167872</v>
      </c>
      <c r="T86" s="43">
        <f t="shared" si="115"/>
        <v>14.798767054467149</v>
      </c>
      <c r="U86" s="21">
        <f t="shared" si="116"/>
        <v>5.4977507945551023E-3</v>
      </c>
      <c r="V86" s="21">
        <f t="shared" si="117"/>
        <v>4.5373688807934442E-3</v>
      </c>
      <c r="W86" s="21">
        <f t="shared" si="93"/>
        <v>5.2233559620517714E-3</v>
      </c>
      <c r="X86" s="42">
        <f t="shared" si="118"/>
        <v>7.2570310488127348</v>
      </c>
      <c r="Y86" s="42">
        <f t="shared" si="119"/>
        <v>19.964423075491155</v>
      </c>
      <c r="Z86" s="42">
        <f t="shared" si="120"/>
        <v>0.28580250523142242</v>
      </c>
      <c r="AA86" s="43">
        <f t="shared" si="121"/>
        <v>1.1432100209256897</v>
      </c>
      <c r="AB86" s="46">
        <f t="shared" si="122"/>
        <v>35.5</v>
      </c>
      <c r="AC86" s="46">
        <f t="shared" si="123"/>
        <v>35.5</v>
      </c>
      <c r="AD86" s="46">
        <f t="shared" si="94"/>
        <v>35.5</v>
      </c>
      <c r="AE86" s="49">
        <f t="shared" si="124"/>
        <v>46860</v>
      </c>
      <c r="AF86" s="49">
        <f t="shared" si="125"/>
        <v>156200</v>
      </c>
      <c r="AG86" s="49">
        <f t="shared" si="126"/>
        <v>2050.125</v>
      </c>
      <c r="AH86" s="47">
        <f t="shared" si="127"/>
        <v>8200.5</v>
      </c>
      <c r="AI86" s="41">
        <f t="shared" si="128"/>
        <v>6.0989926484335738E-2</v>
      </c>
      <c r="AJ86" s="41">
        <f t="shared" si="129"/>
        <v>3.5388847596637969E-2</v>
      </c>
      <c r="AK86" s="41">
        <f t="shared" si="95"/>
        <v>5.3675332516422092E-2</v>
      </c>
      <c r="AL86" s="42">
        <f t="shared" si="130"/>
        <v>80.506702959323178</v>
      </c>
      <c r="AM86" s="42">
        <f t="shared" si="131"/>
        <v>155.71092942520707</v>
      </c>
      <c r="AN86" s="42">
        <f t="shared" si="132"/>
        <v>2.6773326511763629</v>
      </c>
      <c r="AO86" s="44">
        <f t="shared" si="133"/>
        <v>10.709330604705452</v>
      </c>
      <c r="AP86" s="41">
        <f t="shared" si="134"/>
        <v>0.29088456772100729</v>
      </c>
      <c r="AQ86" s="41">
        <f t="shared" si="135"/>
        <v>0.18588383480909978</v>
      </c>
      <c r="AR86" s="41">
        <f t="shared" si="96"/>
        <v>0.26088435831760515</v>
      </c>
      <c r="AS86" s="42">
        <f t="shared" si="136"/>
        <v>383.96762939172964</v>
      </c>
      <c r="AT86" s="42">
        <f t="shared" si="137"/>
        <v>817.888873160039</v>
      </c>
      <c r="AU86" s="42">
        <f t="shared" si="138"/>
        <v>13.333559599795221</v>
      </c>
      <c r="AV86" s="43">
        <f t="shared" si="139"/>
        <v>53.334238399180883</v>
      </c>
      <c r="AW86" s="41">
        <f t="shared" si="140"/>
        <v>8.1443089558856319E-2</v>
      </c>
      <c r="AX86" s="41">
        <f t="shared" si="141"/>
        <v>4.9112238880035609E-2</v>
      </c>
      <c r="AY86" s="41">
        <f t="shared" si="97"/>
        <v>7.220570365062183E-2</v>
      </c>
      <c r="AZ86" s="42">
        <f t="shared" si="142"/>
        <v>107.50487821769035</v>
      </c>
      <c r="BA86" s="42">
        <f t="shared" si="143"/>
        <v>216.09385107215667</v>
      </c>
      <c r="BB86" s="42">
        <f t="shared" si="144"/>
        <v>3.6364203496228691</v>
      </c>
      <c r="BC86" s="43">
        <f t="shared" si="145"/>
        <v>14.545681398491476</v>
      </c>
      <c r="BD86" s="41">
        <f t="shared" si="146"/>
        <v>0.75744955016892113</v>
      </c>
      <c r="BE86" s="41">
        <f t="shared" si="147"/>
        <v>0.73745082773856463</v>
      </c>
      <c r="BF86" s="41">
        <f t="shared" si="98"/>
        <v>0.75173562947453354</v>
      </c>
      <c r="BG86" s="49">
        <f t="shared" si="148"/>
        <v>999.8334062229759</v>
      </c>
      <c r="BH86" s="49">
        <f t="shared" si="149"/>
        <v>3244.7836420496842</v>
      </c>
      <c r="BI86" s="49">
        <f t="shared" si="150"/>
        <v>43.082753682053429</v>
      </c>
      <c r="BJ86" s="47">
        <f t="shared" si="151"/>
        <v>172.33101472821372</v>
      </c>
      <c r="BK86" s="42">
        <f t="shared" si="152"/>
        <v>2.68</v>
      </c>
      <c r="BL86" s="42">
        <f t="shared" si="153"/>
        <v>2.68</v>
      </c>
      <c r="BM86" s="42">
        <f t="shared" si="99"/>
        <v>2.68</v>
      </c>
      <c r="BN86" s="49">
        <f t="shared" si="154"/>
        <v>3537.6000000000004</v>
      </c>
      <c r="BO86" s="49">
        <f t="shared" si="155"/>
        <v>11792</v>
      </c>
      <c r="BP86" s="49">
        <f t="shared" si="156"/>
        <v>154.77000000000001</v>
      </c>
      <c r="BQ86" s="47">
        <f t="shared" si="157"/>
        <v>619.08000000000004</v>
      </c>
      <c r="BR86" s="21">
        <f t="shared" si="158"/>
        <v>6.1452231092498699E-2</v>
      </c>
      <c r="BS86" s="21">
        <f t="shared" si="159"/>
        <v>2.8988151364104296E-2</v>
      </c>
      <c r="BT86" s="21">
        <f t="shared" si="100"/>
        <v>5.2176779741528866E-2</v>
      </c>
      <c r="BU86" s="42">
        <f t="shared" si="160"/>
        <v>81.11694504209828</v>
      </c>
      <c r="BV86" s="42">
        <f t="shared" si="161"/>
        <v>127.5478660020589</v>
      </c>
      <c r="BW86" s="42">
        <f t="shared" si="162"/>
        <v>2.4775517145547847</v>
      </c>
      <c r="BX86" s="43">
        <f t="shared" si="163"/>
        <v>9.9102068582191389</v>
      </c>
      <c r="BY86" s="49">
        <f t="shared" si="164"/>
        <v>594.65989857141892</v>
      </c>
      <c r="BZ86" s="49">
        <f t="shared" si="165"/>
        <v>348.30010899479413</v>
      </c>
      <c r="CA86" s="49">
        <f t="shared" si="101"/>
        <v>524.27138726381179</v>
      </c>
      <c r="CB86" s="49">
        <f t="shared" si="166"/>
        <v>784951.06611427292</v>
      </c>
      <c r="CC86" s="49">
        <f t="shared" si="167"/>
        <v>1532520.4795770941</v>
      </c>
      <c r="CD86" s="49">
        <f t="shared" si="168"/>
        <v>26211.736086470821</v>
      </c>
      <c r="CE86" s="47">
        <f t="shared" si="169"/>
        <v>104846.94434588328</v>
      </c>
      <c r="CF86" s="21">
        <f t="shared" si="170"/>
        <v>0.23</v>
      </c>
      <c r="CG86" s="21">
        <f t="shared" si="171"/>
        <v>0.23</v>
      </c>
      <c r="CH86" s="21">
        <f t="shared" si="102"/>
        <v>0.23</v>
      </c>
      <c r="CI86" s="42">
        <f t="shared" si="172"/>
        <v>303.60000000000002</v>
      </c>
      <c r="CJ86" s="42">
        <f t="shared" si="173"/>
        <v>1012</v>
      </c>
      <c r="CK86" s="42">
        <f t="shared" si="174"/>
        <v>13.282500000000001</v>
      </c>
      <c r="CL86" s="43">
        <f t="shared" si="175"/>
        <v>53.13</v>
      </c>
      <c r="CM86" s="21">
        <f t="shared" si="176"/>
        <v>6.7949700306537048E-2</v>
      </c>
      <c r="CN86" s="21">
        <f t="shared" si="177"/>
        <v>6.886777290285899E-2</v>
      </c>
      <c r="CO86" s="41">
        <f t="shared" si="103"/>
        <v>6.8212006762629035E-2</v>
      </c>
      <c r="CP86" s="46">
        <f t="shared" si="178"/>
        <v>89.6936044046289</v>
      </c>
      <c r="CQ86" s="46">
        <f t="shared" si="179"/>
        <v>303.01820077257958</v>
      </c>
      <c r="CR86" s="42">
        <f t="shared" si="180"/>
        <v>3.9543915883811387</v>
      </c>
      <c r="CS86" s="43">
        <f t="shared" si="181"/>
        <v>15.817566353524555</v>
      </c>
    </row>
    <row r="87" spans="1:97" ht="15.75" customHeight="1" x14ac:dyDescent="0.25">
      <c r="C87" s="1">
        <v>5</v>
      </c>
      <c r="D87" s="1">
        <f>Scenario_Info!$O$11</f>
        <v>15</v>
      </c>
      <c r="E87" s="1">
        <f>Scenario_Info!$O$12</f>
        <v>6</v>
      </c>
      <c r="F87" s="1">
        <f>Scenario_Info!$O$14/100</f>
        <v>0.11599999999999999</v>
      </c>
      <c r="G87" s="426">
        <f t="shared" si="104"/>
        <v>9.2495614373408717E-3</v>
      </c>
      <c r="H87" s="21">
        <f t="shared" si="105"/>
        <v>5.1099125190910743E-3</v>
      </c>
      <c r="I87" s="21">
        <f t="shared" si="91"/>
        <v>8.0668046035552148E-3</v>
      </c>
      <c r="J87" s="42">
        <f t="shared" si="106"/>
        <v>12.209421097289951</v>
      </c>
      <c r="K87" s="42">
        <f t="shared" si="107"/>
        <v>22.483615084000725</v>
      </c>
      <c r="L87" s="42">
        <f t="shared" si="108"/>
        <v>0.39755375870419202</v>
      </c>
      <c r="M87" s="43">
        <f t="shared" si="109"/>
        <v>1.98776879352096</v>
      </c>
      <c r="N87" s="21">
        <f t="shared" si="110"/>
        <v>7.1314374635136416E-2</v>
      </c>
      <c r="O87" s="21">
        <f t="shared" si="111"/>
        <v>5.862609064839882E-2</v>
      </c>
      <c r="P87" s="21">
        <f t="shared" si="92"/>
        <v>6.768915063892568E-2</v>
      </c>
      <c r="Q87" s="42">
        <f t="shared" si="112"/>
        <v>94.134974518380062</v>
      </c>
      <c r="R87" s="42">
        <f t="shared" si="113"/>
        <v>257.95479885295481</v>
      </c>
      <c r="S87" s="42">
        <f t="shared" si="114"/>
        <v>3.6996917636167872</v>
      </c>
      <c r="T87" s="43">
        <f t="shared" si="115"/>
        <v>18.498458818083936</v>
      </c>
      <c r="U87" s="21">
        <f t="shared" si="116"/>
        <v>5.4977507945551023E-3</v>
      </c>
      <c r="V87" s="21">
        <f t="shared" si="117"/>
        <v>4.5373688807934442E-3</v>
      </c>
      <c r="W87" s="21">
        <f t="shared" si="93"/>
        <v>5.2233559620517714E-3</v>
      </c>
      <c r="X87" s="42">
        <f t="shared" si="118"/>
        <v>7.2570310488127348</v>
      </c>
      <c r="Y87" s="42">
        <f t="shared" si="119"/>
        <v>19.964423075491155</v>
      </c>
      <c r="Z87" s="42">
        <f t="shared" si="120"/>
        <v>0.28580250523142242</v>
      </c>
      <c r="AA87" s="43">
        <f t="shared" si="121"/>
        <v>1.4290125261571121</v>
      </c>
      <c r="AB87" s="46">
        <f t="shared" si="122"/>
        <v>35.5</v>
      </c>
      <c r="AC87" s="46">
        <f t="shared" si="123"/>
        <v>35.5</v>
      </c>
      <c r="AD87" s="46">
        <f t="shared" si="94"/>
        <v>35.5</v>
      </c>
      <c r="AE87" s="49">
        <f t="shared" si="124"/>
        <v>46860</v>
      </c>
      <c r="AF87" s="49">
        <f t="shared" si="125"/>
        <v>156200</v>
      </c>
      <c r="AG87" s="49">
        <f t="shared" si="126"/>
        <v>2050.125</v>
      </c>
      <c r="AH87" s="47">
        <f t="shared" si="127"/>
        <v>10250.625</v>
      </c>
      <c r="AI87" s="41">
        <f t="shared" si="128"/>
        <v>6.0989926484335738E-2</v>
      </c>
      <c r="AJ87" s="41">
        <f t="shared" si="129"/>
        <v>3.5388847596637969E-2</v>
      </c>
      <c r="AK87" s="41">
        <f t="shared" si="95"/>
        <v>5.3675332516422092E-2</v>
      </c>
      <c r="AL87" s="42">
        <f t="shared" si="130"/>
        <v>80.506702959323178</v>
      </c>
      <c r="AM87" s="42">
        <f t="shared" si="131"/>
        <v>155.71092942520707</v>
      </c>
      <c r="AN87" s="42">
        <f t="shared" si="132"/>
        <v>2.6773326511763629</v>
      </c>
      <c r="AO87" s="44">
        <f t="shared" si="133"/>
        <v>13.386663255881814</v>
      </c>
      <c r="AP87" s="41">
        <f t="shared" si="134"/>
        <v>0.29088456772100729</v>
      </c>
      <c r="AQ87" s="41">
        <f t="shared" si="135"/>
        <v>0.18588383480909978</v>
      </c>
      <c r="AR87" s="41">
        <f t="shared" si="96"/>
        <v>0.26088435831760515</v>
      </c>
      <c r="AS87" s="42">
        <f t="shared" si="136"/>
        <v>383.96762939172964</v>
      </c>
      <c r="AT87" s="42">
        <f t="shared" si="137"/>
        <v>817.888873160039</v>
      </c>
      <c r="AU87" s="42">
        <f t="shared" si="138"/>
        <v>13.333559599795221</v>
      </c>
      <c r="AV87" s="43">
        <f t="shared" si="139"/>
        <v>66.667797998976098</v>
      </c>
      <c r="AW87" s="41">
        <f t="shared" si="140"/>
        <v>8.1443089558856319E-2</v>
      </c>
      <c r="AX87" s="41">
        <f t="shared" si="141"/>
        <v>4.9112238880035609E-2</v>
      </c>
      <c r="AY87" s="41">
        <f t="shared" si="97"/>
        <v>7.220570365062183E-2</v>
      </c>
      <c r="AZ87" s="42">
        <f t="shared" si="142"/>
        <v>107.50487821769035</v>
      </c>
      <c r="BA87" s="42">
        <f t="shared" si="143"/>
        <v>216.09385107215667</v>
      </c>
      <c r="BB87" s="42">
        <f t="shared" si="144"/>
        <v>3.6364203496228691</v>
      </c>
      <c r="BC87" s="43">
        <f t="shared" si="145"/>
        <v>18.182101748114345</v>
      </c>
      <c r="BD87" s="41">
        <f t="shared" si="146"/>
        <v>0.75744955016892113</v>
      </c>
      <c r="BE87" s="41">
        <f t="shared" si="147"/>
        <v>0.73745082773856463</v>
      </c>
      <c r="BF87" s="41">
        <f t="shared" si="98"/>
        <v>0.75173562947453354</v>
      </c>
      <c r="BG87" s="49">
        <f t="shared" si="148"/>
        <v>999.8334062229759</v>
      </c>
      <c r="BH87" s="49">
        <f t="shared" si="149"/>
        <v>3244.7836420496842</v>
      </c>
      <c r="BI87" s="49">
        <f t="shared" si="150"/>
        <v>43.082753682053429</v>
      </c>
      <c r="BJ87" s="47">
        <f t="shared" si="151"/>
        <v>215.41376841026715</v>
      </c>
      <c r="BK87" s="42">
        <f t="shared" si="152"/>
        <v>2.68</v>
      </c>
      <c r="BL87" s="42">
        <f t="shared" si="153"/>
        <v>2.68</v>
      </c>
      <c r="BM87" s="42">
        <f t="shared" si="99"/>
        <v>2.68</v>
      </c>
      <c r="BN87" s="49">
        <f t="shared" si="154"/>
        <v>3537.6000000000004</v>
      </c>
      <c r="BO87" s="49">
        <f t="shared" si="155"/>
        <v>11792</v>
      </c>
      <c r="BP87" s="49">
        <f t="shared" si="156"/>
        <v>154.77000000000001</v>
      </c>
      <c r="BQ87" s="47">
        <f t="shared" si="157"/>
        <v>773.85</v>
      </c>
      <c r="BR87" s="21">
        <f t="shared" si="158"/>
        <v>6.1452231092498699E-2</v>
      </c>
      <c r="BS87" s="21">
        <f t="shared" si="159"/>
        <v>2.8988151364104296E-2</v>
      </c>
      <c r="BT87" s="21">
        <f t="shared" si="100"/>
        <v>5.2176779741528866E-2</v>
      </c>
      <c r="BU87" s="42">
        <f t="shared" si="160"/>
        <v>81.11694504209828</v>
      </c>
      <c r="BV87" s="42">
        <f t="shared" si="161"/>
        <v>127.5478660020589</v>
      </c>
      <c r="BW87" s="42">
        <f t="shared" si="162"/>
        <v>2.4775517145547847</v>
      </c>
      <c r="BX87" s="43">
        <f t="shared" si="163"/>
        <v>12.387758572773924</v>
      </c>
      <c r="BY87" s="49">
        <f t="shared" si="164"/>
        <v>594.65989857141892</v>
      </c>
      <c r="BZ87" s="49">
        <f t="shared" si="165"/>
        <v>348.30010899479413</v>
      </c>
      <c r="CA87" s="49">
        <f t="shared" si="101"/>
        <v>524.27138726381179</v>
      </c>
      <c r="CB87" s="49">
        <f t="shared" si="166"/>
        <v>784951.06611427292</v>
      </c>
      <c r="CC87" s="49">
        <f t="shared" si="167"/>
        <v>1532520.4795770941</v>
      </c>
      <c r="CD87" s="49">
        <f t="shared" si="168"/>
        <v>26211.736086470821</v>
      </c>
      <c r="CE87" s="47">
        <f t="shared" si="169"/>
        <v>131058.6804323541</v>
      </c>
      <c r="CF87" s="21">
        <f t="shared" si="170"/>
        <v>0.23</v>
      </c>
      <c r="CG87" s="21">
        <f t="shared" si="171"/>
        <v>0.23</v>
      </c>
      <c r="CH87" s="21">
        <f t="shared" si="102"/>
        <v>0.23</v>
      </c>
      <c r="CI87" s="42">
        <f t="shared" si="172"/>
        <v>303.60000000000002</v>
      </c>
      <c r="CJ87" s="42">
        <f t="shared" si="173"/>
        <v>1012</v>
      </c>
      <c r="CK87" s="42">
        <f t="shared" si="174"/>
        <v>13.282500000000001</v>
      </c>
      <c r="CL87" s="43">
        <f t="shared" si="175"/>
        <v>66.412500000000009</v>
      </c>
      <c r="CM87" s="21">
        <f t="shared" si="176"/>
        <v>6.7949700306537048E-2</v>
      </c>
      <c r="CN87" s="21">
        <f t="shared" si="177"/>
        <v>6.886777290285899E-2</v>
      </c>
      <c r="CO87" s="41">
        <f t="shared" si="103"/>
        <v>6.8212006762629035E-2</v>
      </c>
      <c r="CP87" s="46">
        <f t="shared" si="178"/>
        <v>89.6936044046289</v>
      </c>
      <c r="CQ87" s="46">
        <f t="shared" si="179"/>
        <v>303.01820077257958</v>
      </c>
      <c r="CR87" s="42">
        <f t="shared" si="180"/>
        <v>3.9543915883811387</v>
      </c>
      <c r="CS87" s="43">
        <f t="shared" si="181"/>
        <v>19.771957941905693</v>
      </c>
    </row>
    <row r="88" spans="1:97" ht="15.75" customHeight="1" x14ac:dyDescent="0.25">
      <c r="C88" s="1">
        <v>6</v>
      </c>
      <c r="D88" s="1">
        <f>Scenario_Info!$O$11</f>
        <v>15</v>
      </c>
      <c r="E88" s="1">
        <f>Scenario_Info!$O$12</f>
        <v>6</v>
      </c>
      <c r="F88" s="1">
        <f>Scenario_Info!$O$14/100</f>
        <v>0.11599999999999999</v>
      </c>
      <c r="G88" s="426">
        <f t="shared" si="104"/>
        <v>9.2495614373408717E-3</v>
      </c>
      <c r="H88" s="21">
        <f t="shared" si="105"/>
        <v>5.1099125190910743E-3</v>
      </c>
      <c r="I88" s="21">
        <f t="shared" si="91"/>
        <v>8.0668046035552148E-3</v>
      </c>
      <c r="J88" s="42">
        <f t="shared" si="106"/>
        <v>12.209421097289951</v>
      </c>
      <c r="K88" s="42">
        <f t="shared" si="107"/>
        <v>22.483615084000725</v>
      </c>
      <c r="L88" s="42">
        <f t="shared" si="108"/>
        <v>0.39755375870419202</v>
      </c>
      <c r="M88" s="43">
        <f t="shared" si="109"/>
        <v>2.3853225522251522</v>
      </c>
      <c r="N88" s="21">
        <f t="shared" si="110"/>
        <v>7.1314374635136416E-2</v>
      </c>
      <c r="O88" s="21">
        <f t="shared" si="111"/>
        <v>5.862609064839882E-2</v>
      </c>
      <c r="P88" s="21">
        <f t="shared" si="92"/>
        <v>6.768915063892568E-2</v>
      </c>
      <c r="Q88" s="42">
        <f t="shared" si="112"/>
        <v>94.134974518380062</v>
      </c>
      <c r="R88" s="42">
        <f t="shared" si="113"/>
        <v>257.95479885295481</v>
      </c>
      <c r="S88" s="42">
        <f t="shared" si="114"/>
        <v>3.6996917636167872</v>
      </c>
      <c r="T88" s="43">
        <f t="shared" si="115"/>
        <v>22.198150581700723</v>
      </c>
      <c r="U88" s="21">
        <f t="shared" si="116"/>
        <v>5.4977507945551023E-3</v>
      </c>
      <c r="V88" s="21">
        <f t="shared" si="117"/>
        <v>4.5373688807934442E-3</v>
      </c>
      <c r="W88" s="21">
        <f t="shared" si="93"/>
        <v>5.2233559620517714E-3</v>
      </c>
      <c r="X88" s="42">
        <f t="shared" si="118"/>
        <v>7.2570310488127348</v>
      </c>
      <c r="Y88" s="42">
        <f t="shared" si="119"/>
        <v>19.964423075491155</v>
      </c>
      <c r="Z88" s="42">
        <f t="shared" si="120"/>
        <v>0.28580250523142242</v>
      </c>
      <c r="AA88" s="43">
        <f t="shared" si="121"/>
        <v>1.7148150313885344</v>
      </c>
      <c r="AB88" s="46">
        <f t="shared" si="122"/>
        <v>35.5</v>
      </c>
      <c r="AC88" s="46">
        <f t="shared" si="123"/>
        <v>35.5</v>
      </c>
      <c r="AD88" s="46">
        <f t="shared" si="94"/>
        <v>35.5</v>
      </c>
      <c r="AE88" s="49">
        <f t="shared" si="124"/>
        <v>46860</v>
      </c>
      <c r="AF88" s="49">
        <f t="shared" si="125"/>
        <v>156200</v>
      </c>
      <c r="AG88" s="49">
        <f t="shared" si="126"/>
        <v>2050.125</v>
      </c>
      <c r="AH88" s="47">
        <f t="shared" si="127"/>
        <v>12300.75</v>
      </c>
      <c r="AI88" s="41">
        <f t="shared" si="128"/>
        <v>6.0989926484335738E-2</v>
      </c>
      <c r="AJ88" s="41">
        <f t="shared" si="129"/>
        <v>3.5388847596637969E-2</v>
      </c>
      <c r="AK88" s="41">
        <f t="shared" si="95"/>
        <v>5.3675332516422092E-2</v>
      </c>
      <c r="AL88" s="42">
        <f t="shared" si="130"/>
        <v>80.506702959323178</v>
      </c>
      <c r="AM88" s="42">
        <f t="shared" si="131"/>
        <v>155.71092942520707</v>
      </c>
      <c r="AN88" s="42">
        <f t="shared" si="132"/>
        <v>2.6773326511763629</v>
      </c>
      <c r="AO88" s="44">
        <f t="shared" si="133"/>
        <v>16.063995907058178</v>
      </c>
      <c r="AP88" s="41">
        <f t="shared" si="134"/>
        <v>0.29088456772100729</v>
      </c>
      <c r="AQ88" s="41">
        <f t="shared" si="135"/>
        <v>0.18588383480909978</v>
      </c>
      <c r="AR88" s="41">
        <f t="shared" si="96"/>
        <v>0.26088435831760515</v>
      </c>
      <c r="AS88" s="42">
        <f t="shared" si="136"/>
        <v>383.96762939172964</v>
      </c>
      <c r="AT88" s="42">
        <f t="shared" si="137"/>
        <v>817.888873160039</v>
      </c>
      <c r="AU88" s="42">
        <f t="shared" si="138"/>
        <v>13.333559599795221</v>
      </c>
      <c r="AV88" s="43">
        <f t="shared" si="139"/>
        <v>80.001357598771321</v>
      </c>
      <c r="AW88" s="41">
        <f t="shared" si="140"/>
        <v>8.1443089558856319E-2</v>
      </c>
      <c r="AX88" s="41">
        <f t="shared" si="141"/>
        <v>4.9112238880035609E-2</v>
      </c>
      <c r="AY88" s="41">
        <f t="shared" si="97"/>
        <v>7.220570365062183E-2</v>
      </c>
      <c r="AZ88" s="42">
        <f t="shared" si="142"/>
        <v>107.50487821769035</v>
      </c>
      <c r="BA88" s="42">
        <f t="shared" si="143"/>
        <v>216.09385107215667</v>
      </c>
      <c r="BB88" s="42">
        <f t="shared" si="144"/>
        <v>3.6364203496228691</v>
      </c>
      <c r="BC88" s="43">
        <f t="shared" si="145"/>
        <v>21.818522097737215</v>
      </c>
      <c r="BD88" s="41">
        <f t="shared" si="146"/>
        <v>0.75744955016892113</v>
      </c>
      <c r="BE88" s="41">
        <f t="shared" si="147"/>
        <v>0.73745082773856463</v>
      </c>
      <c r="BF88" s="41">
        <f t="shared" si="98"/>
        <v>0.75173562947453354</v>
      </c>
      <c r="BG88" s="49">
        <f t="shared" si="148"/>
        <v>999.8334062229759</v>
      </c>
      <c r="BH88" s="49">
        <f t="shared" si="149"/>
        <v>3244.7836420496842</v>
      </c>
      <c r="BI88" s="49">
        <f t="shared" si="150"/>
        <v>43.082753682053429</v>
      </c>
      <c r="BJ88" s="47">
        <f t="shared" si="151"/>
        <v>258.49652209232056</v>
      </c>
      <c r="BK88" s="42">
        <f t="shared" si="152"/>
        <v>2.68</v>
      </c>
      <c r="BL88" s="42">
        <f t="shared" si="153"/>
        <v>2.68</v>
      </c>
      <c r="BM88" s="42">
        <f t="shared" si="99"/>
        <v>2.68</v>
      </c>
      <c r="BN88" s="49">
        <f t="shared" si="154"/>
        <v>3537.6000000000004</v>
      </c>
      <c r="BO88" s="49">
        <f t="shared" si="155"/>
        <v>11792</v>
      </c>
      <c r="BP88" s="49">
        <f t="shared" si="156"/>
        <v>154.77000000000001</v>
      </c>
      <c r="BQ88" s="47">
        <f t="shared" si="157"/>
        <v>928.62</v>
      </c>
      <c r="BR88" s="21">
        <f t="shared" si="158"/>
        <v>6.1452231092498699E-2</v>
      </c>
      <c r="BS88" s="21">
        <f t="shared" si="159"/>
        <v>2.8988151364104296E-2</v>
      </c>
      <c r="BT88" s="21">
        <f t="shared" si="100"/>
        <v>5.2176779741528866E-2</v>
      </c>
      <c r="BU88" s="42">
        <f t="shared" si="160"/>
        <v>81.11694504209828</v>
      </c>
      <c r="BV88" s="42">
        <f t="shared" si="161"/>
        <v>127.5478660020589</v>
      </c>
      <c r="BW88" s="42">
        <f t="shared" si="162"/>
        <v>2.4775517145547847</v>
      </c>
      <c r="BX88" s="43">
        <f t="shared" si="163"/>
        <v>14.865310287328709</v>
      </c>
      <c r="BY88" s="49">
        <f t="shared" si="164"/>
        <v>594.65989857141892</v>
      </c>
      <c r="BZ88" s="49">
        <f t="shared" si="165"/>
        <v>348.30010899479413</v>
      </c>
      <c r="CA88" s="49">
        <f t="shared" si="101"/>
        <v>524.27138726381179</v>
      </c>
      <c r="CB88" s="49">
        <f t="shared" si="166"/>
        <v>784951.06611427292</v>
      </c>
      <c r="CC88" s="49">
        <f t="shared" si="167"/>
        <v>1532520.4795770941</v>
      </c>
      <c r="CD88" s="49">
        <f t="shared" si="168"/>
        <v>26211.736086470821</v>
      </c>
      <c r="CE88" s="47">
        <f t="shared" si="169"/>
        <v>157270.41651882493</v>
      </c>
      <c r="CF88" s="21">
        <f t="shared" si="170"/>
        <v>0.23</v>
      </c>
      <c r="CG88" s="21">
        <f t="shared" si="171"/>
        <v>0.23</v>
      </c>
      <c r="CH88" s="21">
        <f t="shared" si="102"/>
        <v>0.23</v>
      </c>
      <c r="CI88" s="42">
        <f t="shared" si="172"/>
        <v>303.60000000000002</v>
      </c>
      <c r="CJ88" s="42">
        <f t="shared" si="173"/>
        <v>1012</v>
      </c>
      <c r="CK88" s="42">
        <f t="shared" si="174"/>
        <v>13.282500000000001</v>
      </c>
      <c r="CL88" s="43">
        <f t="shared" si="175"/>
        <v>79.695000000000007</v>
      </c>
      <c r="CM88" s="21">
        <f t="shared" si="176"/>
        <v>6.7949700306537048E-2</v>
      </c>
      <c r="CN88" s="21">
        <f t="shared" si="177"/>
        <v>6.886777290285899E-2</v>
      </c>
      <c r="CO88" s="41">
        <f t="shared" si="103"/>
        <v>6.8212006762629035E-2</v>
      </c>
      <c r="CP88" s="46">
        <f t="shared" si="178"/>
        <v>89.6936044046289</v>
      </c>
      <c r="CQ88" s="46">
        <f t="shared" si="179"/>
        <v>303.01820077257958</v>
      </c>
      <c r="CR88" s="42">
        <f t="shared" si="180"/>
        <v>3.9543915883811387</v>
      </c>
      <c r="CS88" s="43">
        <f t="shared" si="181"/>
        <v>23.726349530286832</v>
      </c>
    </row>
    <row r="89" spans="1:97" ht="15.75" customHeight="1" x14ac:dyDescent="0.25">
      <c r="C89" s="1">
        <v>7</v>
      </c>
      <c r="D89" s="1">
        <f>Scenario_Info!$O$11</f>
        <v>15</v>
      </c>
      <c r="E89" s="1">
        <f>Scenario_Info!$O$12</f>
        <v>6</v>
      </c>
      <c r="F89" s="1">
        <f>Scenario_Info!$O$14/100</f>
        <v>0.11599999999999999</v>
      </c>
      <c r="G89" s="426">
        <f t="shared" si="104"/>
        <v>9.2495614373408717E-3</v>
      </c>
      <c r="H89" s="21">
        <f t="shared" si="105"/>
        <v>5.1099125190910743E-3</v>
      </c>
      <c r="I89" s="21">
        <f t="shared" si="91"/>
        <v>8.0668046035552148E-3</v>
      </c>
      <c r="J89" s="42">
        <f t="shared" si="106"/>
        <v>12.209421097289951</v>
      </c>
      <c r="K89" s="42">
        <f t="shared" si="107"/>
        <v>22.483615084000725</v>
      </c>
      <c r="L89" s="42">
        <f t="shared" si="108"/>
        <v>0.39755375870419202</v>
      </c>
      <c r="M89" s="43">
        <f t="shared" si="109"/>
        <v>2.7828763109293444</v>
      </c>
      <c r="N89" s="21">
        <f t="shared" si="110"/>
        <v>7.1314374635136416E-2</v>
      </c>
      <c r="O89" s="21">
        <f t="shared" si="111"/>
        <v>5.862609064839882E-2</v>
      </c>
      <c r="P89" s="21">
        <f t="shared" si="92"/>
        <v>6.768915063892568E-2</v>
      </c>
      <c r="Q89" s="42">
        <f t="shared" si="112"/>
        <v>94.134974518380062</v>
      </c>
      <c r="R89" s="42">
        <f t="shared" si="113"/>
        <v>257.95479885295481</v>
      </c>
      <c r="S89" s="42">
        <f t="shared" si="114"/>
        <v>3.6996917636167872</v>
      </c>
      <c r="T89" s="43">
        <f t="shared" si="115"/>
        <v>25.89784234531751</v>
      </c>
      <c r="U89" s="21">
        <f t="shared" si="116"/>
        <v>5.4977507945551023E-3</v>
      </c>
      <c r="V89" s="21">
        <f t="shared" si="117"/>
        <v>4.5373688807934442E-3</v>
      </c>
      <c r="W89" s="21">
        <f t="shared" si="93"/>
        <v>5.2233559620517714E-3</v>
      </c>
      <c r="X89" s="42">
        <f t="shared" si="118"/>
        <v>7.2570310488127348</v>
      </c>
      <c r="Y89" s="42">
        <f t="shared" si="119"/>
        <v>19.964423075491155</v>
      </c>
      <c r="Z89" s="42">
        <f t="shared" si="120"/>
        <v>0.28580250523142242</v>
      </c>
      <c r="AA89" s="43">
        <f t="shared" si="121"/>
        <v>2.000617536619957</v>
      </c>
      <c r="AB89" s="46">
        <f t="shared" si="122"/>
        <v>35.5</v>
      </c>
      <c r="AC89" s="46">
        <f t="shared" si="123"/>
        <v>35.5</v>
      </c>
      <c r="AD89" s="46">
        <f t="shared" si="94"/>
        <v>35.5</v>
      </c>
      <c r="AE89" s="49">
        <f t="shared" si="124"/>
        <v>46860</v>
      </c>
      <c r="AF89" s="49">
        <f t="shared" si="125"/>
        <v>156200</v>
      </c>
      <c r="AG89" s="49">
        <f t="shared" si="126"/>
        <v>2050.125</v>
      </c>
      <c r="AH89" s="47">
        <f t="shared" si="127"/>
        <v>14350.875</v>
      </c>
      <c r="AI89" s="41">
        <f t="shared" si="128"/>
        <v>6.0989926484335738E-2</v>
      </c>
      <c r="AJ89" s="41">
        <f t="shared" si="129"/>
        <v>3.5388847596637969E-2</v>
      </c>
      <c r="AK89" s="41">
        <f t="shared" si="95"/>
        <v>5.3675332516422092E-2</v>
      </c>
      <c r="AL89" s="42">
        <f t="shared" si="130"/>
        <v>80.506702959323178</v>
      </c>
      <c r="AM89" s="42">
        <f t="shared" si="131"/>
        <v>155.71092942520707</v>
      </c>
      <c r="AN89" s="42">
        <f t="shared" si="132"/>
        <v>2.6773326511763629</v>
      </c>
      <c r="AO89" s="44">
        <f t="shared" si="133"/>
        <v>18.741328558234542</v>
      </c>
      <c r="AP89" s="41">
        <f t="shared" si="134"/>
        <v>0.29088456772100729</v>
      </c>
      <c r="AQ89" s="41">
        <f t="shared" si="135"/>
        <v>0.18588383480909978</v>
      </c>
      <c r="AR89" s="41">
        <f t="shared" si="96"/>
        <v>0.26088435831760515</v>
      </c>
      <c r="AS89" s="42">
        <f t="shared" si="136"/>
        <v>383.96762939172964</v>
      </c>
      <c r="AT89" s="42">
        <f t="shared" si="137"/>
        <v>817.888873160039</v>
      </c>
      <c r="AU89" s="42">
        <f t="shared" si="138"/>
        <v>13.333559599795221</v>
      </c>
      <c r="AV89" s="43">
        <f t="shared" si="139"/>
        <v>93.334917198566544</v>
      </c>
      <c r="AW89" s="41">
        <f t="shared" si="140"/>
        <v>8.1443089558856319E-2</v>
      </c>
      <c r="AX89" s="41">
        <f t="shared" si="141"/>
        <v>4.9112238880035609E-2</v>
      </c>
      <c r="AY89" s="41">
        <f t="shared" si="97"/>
        <v>7.220570365062183E-2</v>
      </c>
      <c r="AZ89" s="42">
        <f t="shared" si="142"/>
        <v>107.50487821769035</v>
      </c>
      <c r="BA89" s="42">
        <f t="shared" si="143"/>
        <v>216.09385107215667</v>
      </c>
      <c r="BB89" s="42">
        <f t="shared" si="144"/>
        <v>3.6364203496228691</v>
      </c>
      <c r="BC89" s="43">
        <f t="shared" si="145"/>
        <v>25.454942447360086</v>
      </c>
      <c r="BD89" s="41">
        <f t="shared" si="146"/>
        <v>0.75744955016892113</v>
      </c>
      <c r="BE89" s="41">
        <f t="shared" si="147"/>
        <v>0.73745082773856463</v>
      </c>
      <c r="BF89" s="41">
        <f t="shared" si="98"/>
        <v>0.75173562947453354</v>
      </c>
      <c r="BG89" s="49">
        <f t="shared" si="148"/>
        <v>999.8334062229759</v>
      </c>
      <c r="BH89" s="49">
        <f t="shared" si="149"/>
        <v>3244.7836420496842</v>
      </c>
      <c r="BI89" s="49">
        <f t="shared" si="150"/>
        <v>43.082753682053429</v>
      </c>
      <c r="BJ89" s="47">
        <f t="shared" si="151"/>
        <v>301.57927577437397</v>
      </c>
      <c r="BK89" s="42">
        <f t="shared" si="152"/>
        <v>2.68</v>
      </c>
      <c r="BL89" s="42">
        <f t="shared" si="153"/>
        <v>2.68</v>
      </c>
      <c r="BM89" s="42">
        <f t="shared" si="99"/>
        <v>2.68</v>
      </c>
      <c r="BN89" s="49">
        <f t="shared" si="154"/>
        <v>3537.6000000000004</v>
      </c>
      <c r="BO89" s="49">
        <f t="shared" si="155"/>
        <v>11792</v>
      </c>
      <c r="BP89" s="49">
        <f t="shared" si="156"/>
        <v>154.77000000000001</v>
      </c>
      <c r="BQ89" s="47">
        <f t="shared" si="157"/>
        <v>1083.3900000000001</v>
      </c>
      <c r="BR89" s="21">
        <f t="shared" si="158"/>
        <v>6.1452231092498699E-2</v>
      </c>
      <c r="BS89" s="21">
        <f t="shared" si="159"/>
        <v>2.8988151364104296E-2</v>
      </c>
      <c r="BT89" s="21">
        <f t="shared" si="100"/>
        <v>5.2176779741528866E-2</v>
      </c>
      <c r="BU89" s="42">
        <f t="shared" si="160"/>
        <v>81.11694504209828</v>
      </c>
      <c r="BV89" s="42">
        <f t="shared" si="161"/>
        <v>127.5478660020589</v>
      </c>
      <c r="BW89" s="42">
        <f t="shared" si="162"/>
        <v>2.4775517145547847</v>
      </c>
      <c r="BX89" s="43">
        <f t="shared" si="163"/>
        <v>17.342862001883493</v>
      </c>
      <c r="BY89" s="49">
        <f t="shared" si="164"/>
        <v>594.65989857141892</v>
      </c>
      <c r="BZ89" s="49">
        <f t="shared" si="165"/>
        <v>348.30010899479413</v>
      </c>
      <c r="CA89" s="49">
        <f t="shared" si="101"/>
        <v>524.27138726381179</v>
      </c>
      <c r="CB89" s="49">
        <f t="shared" si="166"/>
        <v>784951.06611427292</v>
      </c>
      <c r="CC89" s="49">
        <f t="shared" si="167"/>
        <v>1532520.4795770941</v>
      </c>
      <c r="CD89" s="49">
        <f t="shared" si="168"/>
        <v>26211.736086470821</v>
      </c>
      <c r="CE89" s="47">
        <f t="shared" si="169"/>
        <v>183482.15260529576</v>
      </c>
      <c r="CF89" s="21">
        <f t="shared" si="170"/>
        <v>0.23</v>
      </c>
      <c r="CG89" s="21">
        <f t="shared" si="171"/>
        <v>0.23</v>
      </c>
      <c r="CH89" s="21">
        <f t="shared" si="102"/>
        <v>0.23</v>
      </c>
      <c r="CI89" s="42">
        <f t="shared" si="172"/>
        <v>303.60000000000002</v>
      </c>
      <c r="CJ89" s="42">
        <f t="shared" si="173"/>
        <v>1012</v>
      </c>
      <c r="CK89" s="42">
        <f t="shared" si="174"/>
        <v>13.282500000000001</v>
      </c>
      <c r="CL89" s="43">
        <f t="shared" si="175"/>
        <v>92.977500000000006</v>
      </c>
      <c r="CM89" s="21">
        <f t="shared" si="176"/>
        <v>6.7949700306537048E-2</v>
      </c>
      <c r="CN89" s="21">
        <f t="shared" si="177"/>
        <v>6.886777290285899E-2</v>
      </c>
      <c r="CO89" s="41">
        <f t="shared" si="103"/>
        <v>6.8212006762629035E-2</v>
      </c>
      <c r="CP89" s="46">
        <f t="shared" si="178"/>
        <v>89.6936044046289</v>
      </c>
      <c r="CQ89" s="46">
        <f t="shared" si="179"/>
        <v>303.01820077257958</v>
      </c>
      <c r="CR89" s="42">
        <f t="shared" si="180"/>
        <v>3.9543915883811387</v>
      </c>
      <c r="CS89" s="43">
        <f t="shared" si="181"/>
        <v>27.680741118667971</v>
      </c>
    </row>
    <row r="90" spans="1:97" ht="15.75" customHeight="1" x14ac:dyDescent="0.25">
      <c r="C90" s="1">
        <v>8</v>
      </c>
      <c r="D90" s="1">
        <f>Scenario_Info!$O$11</f>
        <v>15</v>
      </c>
      <c r="E90" s="1">
        <f>Scenario_Info!$O$12</f>
        <v>6</v>
      </c>
      <c r="F90" s="1">
        <f>Scenario_Info!$O$14/100</f>
        <v>0.11599999999999999</v>
      </c>
      <c r="G90" s="426">
        <f t="shared" si="104"/>
        <v>9.2495614373408717E-3</v>
      </c>
      <c r="H90" s="21">
        <f t="shared" si="105"/>
        <v>5.1099125190910743E-3</v>
      </c>
      <c r="I90" s="21">
        <f t="shared" si="91"/>
        <v>8.0668046035552148E-3</v>
      </c>
      <c r="J90" s="42">
        <f t="shared" si="106"/>
        <v>12.209421097289951</v>
      </c>
      <c r="K90" s="42">
        <f t="shared" si="107"/>
        <v>22.483615084000725</v>
      </c>
      <c r="L90" s="42">
        <f t="shared" si="108"/>
        <v>0.39755375870419202</v>
      </c>
      <c r="M90" s="43">
        <f t="shared" si="109"/>
        <v>3.1804300696335366</v>
      </c>
      <c r="N90" s="21">
        <f t="shared" si="110"/>
        <v>7.1314374635136416E-2</v>
      </c>
      <c r="O90" s="21">
        <f t="shared" si="111"/>
        <v>5.862609064839882E-2</v>
      </c>
      <c r="P90" s="21">
        <f t="shared" si="92"/>
        <v>6.768915063892568E-2</v>
      </c>
      <c r="Q90" s="42">
        <f t="shared" si="112"/>
        <v>94.134974518380062</v>
      </c>
      <c r="R90" s="42">
        <f t="shared" si="113"/>
        <v>257.95479885295481</v>
      </c>
      <c r="S90" s="42">
        <f t="shared" si="114"/>
        <v>3.6996917636167872</v>
      </c>
      <c r="T90" s="43">
        <f t="shared" si="115"/>
        <v>29.597534108934298</v>
      </c>
      <c r="U90" s="21">
        <f t="shared" si="116"/>
        <v>5.4977507945551023E-3</v>
      </c>
      <c r="V90" s="21">
        <f t="shared" si="117"/>
        <v>4.5373688807934442E-3</v>
      </c>
      <c r="W90" s="21">
        <f t="shared" si="93"/>
        <v>5.2233559620517714E-3</v>
      </c>
      <c r="X90" s="42">
        <f t="shared" si="118"/>
        <v>7.2570310488127348</v>
      </c>
      <c r="Y90" s="42">
        <f t="shared" si="119"/>
        <v>19.964423075491155</v>
      </c>
      <c r="Z90" s="42">
        <f t="shared" si="120"/>
        <v>0.28580250523142242</v>
      </c>
      <c r="AA90" s="43">
        <f t="shared" si="121"/>
        <v>2.2864200418513794</v>
      </c>
      <c r="AB90" s="46">
        <f t="shared" si="122"/>
        <v>35.5</v>
      </c>
      <c r="AC90" s="46">
        <f t="shared" si="123"/>
        <v>35.5</v>
      </c>
      <c r="AD90" s="46">
        <f t="shared" si="94"/>
        <v>35.5</v>
      </c>
      <c r="AE90" s="49">
        <f t="shared" si="124"/>
        <v>46860</v>
      </c>
      <c r="AF90" s="49">
        <f t="shared" si="125"/>
        <v>156200</v>
      </c>
      <c r="AG90" s="49">
        <f t="shared" si="126"/>
        <v>2050.125</v>
      </c>
      <c r="AH90" s="47">
        <f t="shared" si="127"/>
        <v>16401</v>
      </c>
      <c r="AI90" s="41">
        <f t="shared" si="128"/>
        <v>6.0989926484335738E-2</v>
      </c>
      <c r="AJ90" s="41">
        <f t="shared" si="129"/>
        <v>3.5388847596637969E-2</v>
      </c>
      <c r="AK90" s="41">
        <f t="shared" si="95"/>
        <v>5.3675332516422092E-2</v>
      </c>
      <c r="AL90" s="42">
        <f t="shared" si="130"/>
        <v>80.506702959323178</v>
      </c>
      <c r="AM90" s="42">
        <f t="shared" si="131"/>
        <v>155.71092942520707</v>
      </c>
      <c r="AN90" s="42">
        <f t="shared" si="132"/>
        <v>2.6773326511763629</v>
      </c>
      <c r="AO90" s="44">
        <f t="shared" si="133"/>
        <v>21.418661209410907</v>
      </c>
      <c r="AP90" s="41">
        <f t="shared" si="134"/>
        <v>0.29088456772100729</v>
      </c>
      <c r="AQ90" s="41">
        <f t="shared" si="135"/>
        <v>0.18588383480909978</v>
      </c>
      <c r="AR90" s="41">
        <f t="shared" si="96"/>
        <v>0.26088435831760515</v>
      </c>
      <c r="AS90" s="42">
        <f t="shared" si="136"/>
        <v>383.96762939172964</v>
      </c>
      <c r="AT90" s="42">
        <f t="shared" si="137"/>
        <v>817.888873160039</v>
      </c>
      <c r="AU90" s="42">
        <f t="shared" si="138"/>
        <v>13.333559599795221</v>
      </c>
      <c r="AV90" s="43">
        <f t="shared" si="139"/>
        <v>106.66847679836177</v>
      </c>
      <c r="AW90" s="41">
        <f t="shared" si="140"/>
        <v>8.1443089558856319E-2</v>
      </c>
      <c r="AX90" s="41">
        <f t="shared" si="141"/>
        <v>4.9112238880035609E-2</v>
      </c>
      <c r="AY90" s="41">
        <f t="shared" si="97"/>
        <v>7.220570365062183E-2</v>
      </c>
      <c r="AZ90" s="42">
        <f t="shared" si="142"/>
        <v>107.50487821769035</v>
      </c>
      <c r="BA90" s="42">
        <f t="shared" si="143"/>
        <v>216.09385107215667</v>
      </c>
      <c r="BB90" s="42">
        <f t="shared" si="144"/>
        <v>3.6364203496228691</v>
      </c>
      <c r="BC90" s="43">
        <f t="shared" si="145"/>
        <v>29.091362796982956</v>
      </c>
      <c r="BD90" s="41">
        <f t="shared" si="146"/>
        <v>0.75744955016892113</v>
      </c>
      <c r="BE90" s="41">
        <f t="shared" si="147"/>
        <v>0.73745082773856463</v>
      </c>
      <c r="BF90" s="41">
        <f t="shared" si="98"/>
        <v>0.75173562947453354</v>
      </c>
      <c r="BG90" s="49">
        <f t="shared" si="148"/>
        <v>999.8334062229759</v>
      </c>
      <c r="BH90" s="49">
        <f t="shared" si="149"/>
        <v>3244.7836420496842</v>
      </c>
      <c r="BI90" s="49">
        <f t="shared" si="150"/>
        <v>43.082753682053429</v>
      </c>
      <c r="BJ90" s="47">
        <f t="shared" si="151"/>
        <v>344.66202945642738</v>
      </c>
      <c r="BK90" s="42">
        <f t="shared" si="152"/>
        <v>2.68</v>
      </c>
      <c r="BL90" s="42">
        <f t="shared" si="153"/>
        <v>2.68</v>
      </c>
      <c r="BM90" s="42">
        <f t="shared" si="99"/>
        <v>2.68</v>
      </c>
      <c r="BN90" s="49">
        <f t="shared" si="154"/>
        <v>3537.6000000000004</v>
      </c>
      <c r="BO90" s="49">
        <f t="shared" si="155"/>
        <v>11792</v>
      </c>
      <c r="BP90" s="49">
        <f t="shared" si="156"/>
        <v>154.77000000000001</v>
      </c>
      <c r="BQ90" s="47">
        <f t="shared" si="157"/>
        <v>1238.1600000000001</v>
      </c>
      <c r="BR90" s="21">
        <f t="shared" si="158"/>
        <v>6.1452231092498699E-2</v>
      </c>
      <c r="BS90" s="21">
        <f t="shared" si="159"/>
        <v>2.8988151364104296E-2</v>
      </c>
      <c r="BT90" s="21">
        <f t="shared" si="100"/>
        <v>5.2176779741528866E-2</v>
      </c>
      <c r="BU90" s="42">
        <f t="shared" si="160"/>
        <v>81.11694504209828</v>
      </c>
      <c r="BV90" s="42">
        <f t="shared" si="161"/>
        <v>127.5478660020589</v>
      </c>
      <c r="BW90" s="42">
        <f t="shared" si="162"/>
        <v>2.4775517145547847</v>
      </c>
      <c r="BX90" s="43">
        <f t="shared" si="163"/>
        <v>19.820413716438278</v>
      </c>
      <c r="BY90" s="49">
        <f t="shared" si="164"/>
        <v>594.65989857141892</v>
      </c>
      <c r="BZ90" s="49">
        <f t="shared" si="165"/>
        <v>348.30010899479413</v>
      </c>
      <c r="CA90" s="49">
        <f t="shared" si="101"/>
        <v>524.27138726381179</v>
      </c>
      <c r="CB90" s="49">
        <f t="shared" si="166"/>
        <v>784951.06611427292</v>
      </c>
      <c r="CC90" s="49">
        <f t="shared" si="167"/>
        <v>1532520.4795770941</v>
      </c>
      <c r="CD90" s="49">
        <f t="shared" si="168"/>
        <v>26211.736086470821</v>
      </c>
      <c r="CE90" s="47">
        <f t="shared" si="169"/>
        <v>209693.8886917666</v>
      </c>
      <c r="CF90" s="21">
        <f t="shared" si="170"/>
        <v>0.23</v>
      </c>
      <c r="CG90" s="21">
        <f t="shared" si="171"/>
        <v>0.23</v>
      </c>
      <c r="CH90" s="21">
        <f t="shared" si="102"/>
        <v>0.23</v>
      </c>
      <c r="CI90" s="42">
        <f t="shared" si="172"/>
        <v>303.60000000000002</v>
      </c>
      <c r="CJ90" s="42">
        <f t="shared" si="173"/>
        <v>1012</v>
      </c>
      <c r="CK90" s="42">
        <f t="shared" si="174"/>
        <v>13.282500000000001</v>
      </c>
      <c r="CL90" s="43">
        <f t="shared" si="175"/>
        <v>106.26</v>
      </c>
      <c r="CM90" s="21">
        <f t="shared" si="176"/>
        <v>6.7949700306537048E-2</v>
      </c>
      <c r="CN90" s="21">
        <f t="shared" si="177"/>
        <v>6.886777290285899E-2</v>
      </c>
      <c r="CO90" s="41">
        <f t="shared" si="103"/>
        <v>6.8212006762629035E-2</v>
      </c>
      <c r="CP90" s="46">
        <f t="shared" si="178"/>
        <v>89.6936044046289</v>
      </c>
      <c r="CQ90" s="46">
        <f t="shared" si="179"/>
        <v>303.01820077257958</v>
      </c>
      <c r="CR90" s="42">
        <f t="shared" si="180"/>
        <v>3.9543915883811387</v>
      </c>
      <c r="CS90" s="43">
        <f t="shared" si="181"/>
        <v>31.63513270704911</v>
      </c>
    </row>
    <row r="91" spans="1:97" ht="15.75" customHeight="1" x14ac:dyDescent="0.25">
      <c r="C91" s="1">
        <v>9</v>
      </c>
      <c r="D91" s="1">
        <f>Scenario_Info!$O$11</f>
        <v>15</v>
      </c>
      <c r="E91" s="1">
        <f>Scenario_Info!$O$12</f>
        <v>6</v>
      </c>
      <c r="F91" s="1">
        <f>Scenario_Info!$O$14/100</f>
        <v>0.11599999999999999</v>
      </c>
      <c r="G91" s="426">
        <f t="shared" si="104"/>
        <v>9.2495614373408717E-3</v>
      </c>
      <c r="H91" s="21">
        <f t="shared" si="105"/>
        <v>5.1099125190910743E-3</v>
      </c>
      <c r="I91" s="21">
        <f t="shared" si="91"/>
        <v>8.0668046035552148E-3</v>
      </c>
      <c r="J91" s="42">
        <f t="shared" si="106"/>
        <v>12.209421097289951</v>
      </c>
      <c r="K91" s="42">
        <f t="shared" si="107"/>
        <v>22.483615084000725</v>
      </c>
      <c r="L91" s="42">
        <f t="shared" si="108"/>
        <v>0.39755375870419202</v>
      </c>
      <c r="M91" s="43">
        <f t="shared" si="109"/>
        <v>3.5779838283377288</v>
      </c>
      <c r="N91" s="21">
        <f t="shared" si="110"/>
        <v>7.1314374635136416E-2</v>
      </c>
      <c r="O91" s="21">
        <f t="shared" si="111"/>
        <v>5.862609064839882E-2</v>
      </c>
      <c r="P91" s="21">
        <f t="shared" si="92"/>
        <v>6.768915063892568E-2</v>
      </c>
      <c r="Q91" s="42">
        <f t="shared" si="112"/>
        <v>94.134974518380062</v>
      </c>
      <c r="R91" s="42">
        <f t="shared" si="113"/>
        <v>257.95479885295481</v>
      </c>
      <c r="S91" s="42">
        <f t="shared" si="114"/>
        <v>3.6996917636167872</v>
      </c>
      <c r="T91" s="43">
        <f t="shared" si="115"/>
        <v>33.297225872551081</v>
      </c>
      <c r="U91" s="21">
        <f t="shared" si="116"/>
        <v>5.4977507945551023E-3</v>
      </c>
      <c r="V91" s="21">
        <f t="shared" si="117"/>
        <v>4.5373688807934442E-3</v>
      </c>
      <c r="W91" s="21">
        <f t="shared" si="93"/>
        <v>5.2233559620517714E-3</v>
      </c>
      <c r="X91" s="42">
        <f t="shared" si="118"/>
        <v>7.2570310488127348</v>
      </c>
      <c r="Y91" s="42">
        <f t="shared" si="119"/>
        <v>19.964423075491155</v>
      </c>
      <c r="Z91" s="42">
        <f t="shared" si="120"/>
        <v>0.28580250523142242</v>
      </c>
      <c r="AA91" s="43">
        <f t="shared" si="121"/>
        <v>2.5722225470828017</v>
      </c>
      <c r="AB91" s="46">
        <f t="shared" si="122"/>
        <v>35.5</v>
      </c>
      <c r="AC91" s="46">
        <f t="shared" si="123"/>
        <v>35.5</v>
      </c>
      <c r="AD91" s="46">
        <f t="shared" si="94"/>
        <v>35.5</v>
      </c>
      <c r="AE91" s="49">
        <f t="shared" si="124"/>
        <v>46860</v>
      </c>
      <c r="AF91" s="49">
        <f t="shared" si="125"/>
        <v>156200</v>
      </c>
      <c r="AG91" s="49">
        <f t="shared" si="126"/>
        <v>2050.125</v>
      </c>
      <c r="AH91" s="47">
        <f t="shared" si="127"/>
        <v>18451.125</v>
      </c>
      <c r="AI91" s="41">
        <f t="shared" si="128"/>
        <v>6.0989926484335738E-2</v>
      </c>
      <c r="AJ91" s="41">
        <f t="shared" si="129"/>
        <v>3.5388847596637969E-2</v>
      </c>
      <c r="AK91" s="41">
        <f t="shared" si="95"/>
        <v>5.3675332516422092E-2</v>
      </c>
      <c r="AL91" s="42">
        <f t="shared" si="130"/>
        <v>80.506702959323178</v>
      </c>
      <c r="AM91" s="42">
        <f t="shared" si="131"/>
        <v>155.71092942520707</v>
      </c>
      <c r="AN91" s="42">
        <f t="shared" si="132"/>
        <v>2.6773326511763629</v>
      </c>
      <c r="AO91" s="44">
        <f t="shared" si="133"/>
        <v>24.095993860587271</v>
      </c>
      <c r="AP91" s="41">
        <f t="shared" si="134"/>
        <v>0.29088456772100729</v>
      </c>
      <c r="AQ91" s="41">
        <f t="shared" si="135"/>
        <v>0.18588383480909978</v>
      </c>
      <c r="AR91" s="41">
        <f t="shared" si="96"/>
        <v>0.26088435831760515</v>
      </c>
      <c r="AS91" s="42">
        <f t="shared" si="136"/>
        <v>383.96762939172964</v>
      </c>
      <c r="AT91" s="42">
        <f t="shared" si="137"/>
        <v>817.888873160039</v>
      </c>
      <c r="AU91" s="42">
        <f t="shared" si="138"/>
        <v>13.333559599795221</v>
      </c>
      <c r="AV91" s="43">
        <f t="shared" si="139"/>
        <v>120.00203639815699</v>
      </c>
      <c r="AW91" s="41">
        <f t="shared" si="140"/>
        <v>8.1443089558856319E-2</v>
      </c>
      <c r="AX91" s="41">
        <f t="shared" si="141"/>
        <v>4.9112238880035609E-2</v>
      </c>
      <c r="AY91" s="41">
        <f t="shared" si="97"/>
        <v>7.220570365062183E-2</v>
      </c>
      <c r="AZ91" s="42">
        <f t="shared" si="142"/>
        <v>107.50487821769035</v>
      </c>
      <c r="BA91" s="42">
        <f t="shared" si="143"/>
        <v>216.09385107215667</v>
      </c>
      <c r="BB91" s="42">
        <f t="shared" si="144"/>
        <v>3.6364203496228691</v>
      </c>
      <c r="BC91" s="43">
        <f t="shared" si="145"/>
        <v>32.727783146605823</v>
      </c>
      <c r="BD91" s="41">
        <f t="shared" si="146"/>
        <v>0.75744955016892113</v>
      </c>
      <c r="BE91" s="41">
        <f t="shared" si="147"/>
        <v>0.73745082773856463</v>
      </c>
      <c r="BF91" s="41">
        <f t="shared" si="98"/>
        <v>0.75173562947453354</v>
      </c>
      <c r="BG91" s="49">
        <f t="shared" si="148"/>
        <v>999.8334062229759</v>
      </c>
      <c r="BH91" s="49">
        <f t="shared" si="149"/>
        <v>3244.7836420496842</v>
      </c>
      <c r="BI91" s="49">
        <f t="shared" si="150"/>
        <v>43.082753682053429</v>
      </c>
      <c r="BJ91" s="47">
        <f t="shared" si="151"/>
        <v>387.74478313848078</v>
      </c>
      <c r="BK91" s="42">
        <f t="shared" si="152"/>
        <v>2.68</v>
      </c>
      <c r="BL91" s="42">
        <f t="shared" si="153"/>
        <v>2.68</v>
      </c>
      <c r="BM91" s="42">
        <f t="shared" si="99"/>
        <v>2.68</v>
      </c>
      <c r="BN91" s="49">
        <f t="shared" si="154"/>
        <v>3537.6000000000004</v>
      </c>
      <c r="BO91" s="49">
        <f t="shared" si="155"/>
        <v>11792</v>
      </c>
      <c r="BP91" s="49">
        <f t="shared" si="156"/>
        <v>154.77000000000001</v>
      </c>
      <c r="BQ91" s="47">
        <f t="shared" si="157"/>
        <v>1392.93</v>
      </c>
      <c r="BR91" s="21">
        <f t="shared" si="158"/>
        <v>6.1452231092498699E-2</v>
      </c>
      <c r="BS91" s="21">
        <f t="shared" si="159"/>
        <v>2.8988151364104296E-2</v>
      </c>
      <c r="BT91" s="21">
        <f t="shared" si="100"/>
        <v>5.2176779741528866E-2</v>
      </c>
      <c r="BU91" s="42">
        <f t="shared" si="160"/>
        <v>81.11694504209828</v>
      </c>
      <c r="BV91" s="42">
        <f t="shared" si="161"/>
        <v>127.5478660020589</v>
      </c>
      <c r="BW91" s="42">
        <f t="shared" si="162"/>
        <v>2.4775517145547847</v>
      </c>
      <c r="BX91" s="43">
        <f t="shared" si="163"/>
        <v>22.297965430993063</v>
      </c>
      <c r="BY91" s="49">
        <f t="shared" si="164"/>
        <v>594.65989857141892</v>
      </c>
      <c r="BZ91" s="49">
        <f t="shared" si="165"/>
        <v>348.30010899479413</v>
      </c>
      <c r="CA91" s="49">
        <f t="shared" si="101"/>
        <v>524.27138726381179</v>
      </c>
      <c r="CB91" s="49">
        <f t="shared" si="166"/>
        <v>784951.06611427292</v>
      </c>
      <c r="CC91" s="49">
        <f t="shared" si="167"/>
        <v>1532520.4795770941</v>
      </c>
      <c r="CD91" s="49">
        <f t="shared" si="168"/>
        <v>26211.736086470821</v>
      </c>
      <c r="CE91" s="47">
        <f t="shared" si="169"/>
        <v>235905.62477823743</v>
      </c>
      <c r="CF91" s="21">
        <f t="shared" si="170"/>
        <v>0.23</v>
      </c>
      <c r="CG91" s="21">
        <f t="shared" si="171"/>
        <v>0.23</v>
      </c>
      <c r="CH91" s="21">
        <f t="shared" si="102"/>
        <v>0.23</v>
      </c>
      <c r="CI91" s="42">
        <f t="shared" si="172"/>
        <v>303.60000000000002</v>
      </c>
      <c r="CJ91" s="42">
        <f t="shared" si="173"/>
        <v>1012</v>
      </c>
      <c r="CK91" s="42">
        <f t="shared" si="174"/>
        <v>13.282500000000001</v>
      </c>
      <c r="CL91" s="43">
        <f t="shared" si="175"/>
        <v>119.5425</v>
      </c>
      <c r="CM91" s="21">
        <f t="shared" si="176"/>
        <v>6.7949700306537048E-2</v>
      </c>
      <c r="CN91" s="21">
        <f t="shared" si="177"/>
        <v>6.886777290285899E-2</v>
      </c>
      <c r="CO91" s="41">
        <f t="shared" si="103"/>
        <v>6.8212006762629035E-2</v>
      </c>
      <c r="CP91" s="46">
        <f t="shared" si="178"/>
        <v>89.6936044046289</v>
      </c>
      <c r="CQ91" s="46">
        <f t="shared" si="179"/>
        <v>303.01820077257958</v>
      </c>
      <c r="CR91" s="42">
        <f t="shared" si="180"/>
        <v>3.9543915883811387</v>
      </c>
      <c r="CS91" s="43">
        <f t="shared" si="181"/>
        <v>35.589524295430252</v>
      </c>
    </row>
    <row r="92" spans="1:97" ht="15.75" customHeight="1" x14ac:dyDescent="0.25">
      <c r="C92" s="1">
        <v>10</v>
      </c>
      <c r="D92" s="1">
        <f>Scenario_Info!$O$11</f>
        <v>15</v>
      </c>
      <c r="E92" s="1">
        <f>Scenario_Info!$O$12</f>
        <v>6</v>
      </c>
      <c r="F92" s="1">
        <f>Scenario_Info!$O$14/100</f>
        <v>0.11599999999999999</v>
      </c>
      <c r="G92" s="426">
        <f t="shared" si="104"/>
        <v>9.2495614373408717E-3</v>
      </c>
      <c r="H92" s="21">
        <f t="shared" si="105"/>
        <v>5.1099125190910743E-3</v>
      </c>
      <c r="I92" s="21">
        <f t="shared" si="91"/>
        <v>8.0668046035552148E-3</v>
      </c>
      <c r="J92" s="42">
        <f t="shared" si="106"/>
        <v>12.209421097289951</v>
      </c>
      <c r="K92" s="42">
        <f t="shared" si="107"/>
        <v>22.483615084000725</v>
      </c>
      <c r="L92" s="42">
        <f t="shared" si="108"/>
        <v>0.39755375870419202</v>
      </c>
      <c r="M92" s="43">
        <f t="shared" si="109"/>
        <v>3.975537587041921</v>
      </c>
      <c r="N92" s="21">
        <f t="shared" si="110"/>
        <v>7.1314374635136416E-2</v>
      </c>
      <c r="O92" s="21">
        <f t="shared" si="111"/>
        <v>5.862609064839882E-2</v>
      </c>
      <c r="P92" s="21">
        <f t="shared" si="92"/>
        <v>6.768915063892568E-2</v>
      </c>
      <c r="Q92" s="42">
        <f t="shared" si="112"/>
        <v>94.134974518380062</v>
      </c>
      <c r="R92" s="42">
        <f t="shared" si="113"/>
        <v>257.95479885295481</v>
      </c>
      <c r="S92" s="42">
        <f t="shared" si="114"/>
        <v>3.6996917636167872</v>
      </c>
      <c r="T92" s="43">
        <f t="shared" si="115"/>
        <v>36.996917636167865</v>
      </c>
      <c r="U92" s="21">
        <f t="shared" si="116"/>
        <v>5.4977507945551023E-3</v>
      </c>
      <c r="V92" s="21">
        <f t="shared" si="117"/>
        <v>4.5373688807934442E-3</v>
      </c>
      <c r="W92" s="21">
        <f t="shared" si="93"/>
        <v>5.2233559620517714E-3</v>
      </c>
      <c r="X92" s="42">
        <f t="shared" si="118"/>
        <v>7.2570310488127348</v>
      </c>
      <c r="Y92" s="42">
        <f t="shared" si="119"/>
        <v>19.964423075491155</v>
      </c>
      <c r="Z92" s="42">
        <f t="shared" si="120"/>
        <v>0.28580250523142242</v>
      </c>
      <c r="AA92" s="43">
        <f t="shared" si="121"/>
        <v>2.8580250523142241</v>
      </c>
      <c r="AB92" s="46">
        <f t="shared" si="122"/>
        <v>35.5</v>
      </c>
      <c r="AC92" s="46">
        <f t="shared" si="123"/>
        <v>35.5</v>
      </c>
      <c r="AD92" s="46">
        <f t="shared" si="94"/>
        <v>35.5</v>
      </c>
      <c r="AE92" s="49">
        <f t="shared" si="124"/>
        <v>46860</v>
      </c>
      <c r="AF92" s="49">
        <f t="shared" si="125"/>
        <v>156200</v>
      </c>
      <c r="AG92" s="49">
        <f t="shared" si="126"/>
        <v>2050.125</v>
      </c>
      <c r="AH92" s="47">
        <f t="shared" si="127"/>
        <v>20501.25</v>
      </c>
      <c r="AI92" s="41">
        <f t="shared" si="128"/>
        <v>6.0989926484335738E-2</v>
      </c>
      <c r="AJ92" s="41">
        <f t="shared" si="129"/>
        <v>3.5388847596637969E-2</v>
      </c>
      <c r="AK92" s="41">
        <f t="shared" si="95"/>
        <v>5.3675332516422092E-2</v>
      </c>
      <c r="AL92" s="42">
        <f t="shared" si="130"/>
        <v>80.506702959323178</v>
      </c>
      <c r="AM92" s="42">
        <f t="shared" si="131"/>
        <v>155.71092942520707</v>
      </c>
      <c r="AN92" s="42">
        <f t="shared" si="132"/>
        <v>2.6773326511763629</v>
      </c>
      <c r="AO92" s="44">
        <f t="shared" si="133"/>
        <v>26.773326511763635</v>
      </c>
      <c r="AP92" s="41">
        <f t="shared" si="134"/>
        <v>0.29088456772100729</v>
      </c>
      <c r="AQ92" s="41">
        <f t="shared" si="135"/>
        <v>0.18588383480909978</v>
      </c>
      <c r="AR92" s="41">
        <f t="shared" si="96"/>
        <v>0.26088435831760515</v>
      </c>
      <c r="AS92" s="42">
        <f t="shared" si="136"/>
        <v>383.96762939172964</v>
      </c>
      <c r="AT92" s="42">
        <f t="shared" si="137"/>
        <v>817.888873160039</v>
      </c>
      <c r="AU92" s="42">
        <f t="shared" si="138"/>
        <v>13.333559599795221</v>
      </c>
      <c r="AV92" s="43">
        <f t="shared" si="139"/>
        <v>133.3355959979522</v>
      </c>
      <c r="AW92" s="41">
        <f t="shared" si="140"/>
        <v>8.1443089558856319E-2</v>
      </c>
      <c r="AX92" s="41">
        <f t="shared" si="141"/>
        <v>4.9112238880035609E-2</v>
      </c>
      <c r="AY92" s="41">
        <f t="shared" si="97"/>
        <v>7.220570365062183E-2</v>
      </c>
      <c r="AZ92" s="42">
        <f t="shared" si="142"/>
        <v>107.50487821769035</v>
      </c>
      <c r="BA92" s="42">
        <f t="shared" si="143"/>
        <v>216.09385107215667</v>
      </c>
      <c r="BB92" s="42">
        <f t="shared" si="144"/>
        <v>3.6364203496228691</v>
      </c>
      <c r="BC92" s="43">
        <f t="shared" si="145"/>
        <v>36.36420349622869</v>
      </c>
      <c r="BD92" s="41">
        <f t="shared" si="146"/>
        <v>0.75744955016892113</v>
      </c>
      <c r="BE92" s="41">
        <f t="shared" si="147"/>
        <v>0.73745082773856463</v>
      </c>
      <c r="BF92" s="41">
        <f t="shared" si="98"/>
        <v>0.75173562947453354</v>
      </c>
      <c r="BG92" s="49">
        <f t="shared" si="148"/>
        <v>999.8334062229759</v>
      </c>
      <c r="BH92" s="49">
        <f t="shared" si="149"/>
        <v>3244.7836420496842</v>
      </c>
      <c r="BI92" s="49">
        <f t="shared" si="150"/>
        <v>43.082753682053429</v>
      </c>
      <c r="BJ92" s="47">
        <f t="shared" si="151"/>
        <v>430.82753682053419</v>
      </c>
      <c r="BK92" s="42">
        <f t="shared" si="152"/>
        <v>2.68</v>
      </c>
      <c r="BL92" s="42">
        <f t="shared" si="153"/>
        <v>2.68</v>
      </c>
      <c r="BM92" s="42">
        <f t="shared" si="99"/>
        <v>2.68</v>
      </c>
      <c r="BN92" s="49">
        <f t="shared" si="154"/>
        <v>3537.6000000000004</v>
      </c>
      <c r="BO92" s="49">
        <f t="shared" si="155"/>
        <v>11792</v>
      </c>
      <c r="BP92" s="49">
        <f t="shared" si="156"/>
        <v>154.77000000000001</v>
      </c>
      <c r="BQ92" s="47">
        <f t="shared" si="157"/>
        <v>1547.7</v>
      </c>
      <c r="BR92" s="21">
        <f t="shared" si="158"/>
        <v>6.1452231092498699E-2</v>
      </c>
      <c r="BS92" s="21">
        <f t="shared" si="159"/>
        <v>2.8988151364104296E-2</v>
      </c>
      <c r="BT92" s="21">
        <f t="shared" si="100"/>
        <v>5.2176779741528866E-2</v>
      </c>
      <c r="BU92" s="42">
        <f t="shared" si="160"/>
        <v>81.11694504209828</v>
      </c>
      <c r="BV92" s="42">
        <f t="shared" si="161"/>
        <v>127.5478660020589</v>
      </c>
      <c r="BW92" s="42">
        <f t="shared" si="162"/>
        <v>2.4775517145547847</v>
      </c>
      <c r="BX92" s="43">
        <f t="shared" si="163"/>
        <v>24.775517145547848</v>
      </c>
      <c r="BY92" s="49">
        <f t="shared" si="164"/>
        <v>594.65989857141892</v>
      </c>
      <c r="BZ92" s="49">
        <f t="shared" si="165"/>
        <v>348.30010899479413</v>
      </c>
      <c r="CA92" s="49">
        <f t="shared" si="101"/>
        <v>524.27138726381179</v>
      </c>
      <c r="CB92" s="49">
        <f t="shared" si="166"/>
        <v>784951.06611427292</v>
      </c>
      <c r="CC92" s="49">
        <f t="shared" si="167"/>
        <v>1532520.4795770941</v>
      </c>
      <c r="CD92" s="49">
        <f t="shared" si="168"/>
        <v>26211.736086470821</v>
      </c>
      <c r="CE92" s="47">
        <f t="shared" si="169"/>
        <v>262117.36086470826</v>
      </c>
      <c r="CF92" s="21">
        <f t="shared" si="170"/>
        <v>0.23</v>
      </c>
      <c r="CG92" s="21">
        <f t="shared" si="171"/>
        <v>0.23</v>
      </c>
      <c r="CH92" s="21">
        <f t="shared" si="102"/>
        <v>0.23</v>
      </c>
      <c r="CI92" s="42">
        <f t="shared" si="172"/>
        <v>303.60000000000002</v>
      </c>
      <c r="CJ92" s="42">
        <f t="shared" si="173"/>
        <v>1012</v>
      </c>
      <c r="CK92" s="42">
        <f t="shared" si="174"/>
        <v>13.282500000000001</v>
      </c>
      <c r="CL92" s="43">
        <f t="shared" si="175"/>
        <v>132.82500000000002</v>
      </c>
      <c r="CM92" s="21">
        <f t="shared" si="176"/>
        <v>6.7949700306537048E-2</v>
      </c>
      <c r="CN92" s="21">
        <f t="shared" si="177"/>
        <v>6.886777290285899E-2</v>
      </c>
      <c r="CO92" s="41">
        <f t="shared" si="103"/>
        <v>6.8212006762629035E-2</v>
      </c>
      <c r="CP92" s="46">
        <f t="shared" si="178"/>
        <v>89.6936044046289</v>
      </c>
      <c r="CQ92" s="46">
        <f t="shared" si="179"/>
        <v>303.01820077257958</v>
      </c>
      <c r="CR92" s="42">
        <f t="shared" si="180"/>
        <v>3.9543915883811387</v>
      </c>
      <c r="CS92" s="43">
        <f t="shared" si="181"/>
        <v>39.543915883811394</v>
      </c>
    </row>
    <row r="93" spans="1:97" ht="15.75" customHeight="1" x14ac:dyDescent="0.25">
      <c r="C93" s="1">
        <v>11</v>
      </c>
      <c r="D93" s="1">
        <f>Scenario_Info!$O$11</f>
        <v>15</v>
      </c>
      <c r="E93" s="1">
        <f>Scenario_Info!$O$12</f>
        <v>6</v>
      </c>
      <c r="F93" s="1">
        <f>Scenario_Info!$O$14/100</f>
        <v>0.11599999999999999</v>
      </c>
      <c r="G93" s="426">
        <f t="shared" si="104"/>
        <v>9.2495614373408717E-3</v>
      </c>
      <c r="H93" s="21">
        <f t="shared" si="105"/>
        <v>5.1099125190910743E-3</v>
      </c>
      <c r="I93" s="21">
        <f t="shared" si="91"/>
        <v>8.0668046035552148E-3</v>
      </c>
      <c r="J93" s="42">
        <f t="shared" si="106"/>
        <v>12.209421097289951</v>
      </c>
      <c r="K93" s="42">
        <f t="shared" si="107"/>
        <v>22.483615084000725</v>
      </c>
      <c r="L93" s="42">
        <f t="shared" si="108"/>
        <v>0.39755375870419202</v>
      </c>
      <c r="M93" s="43">
        <f t="shared" si="109"/>
        <v>4.3730913457461131</v>
      </c>
      <c r="N93" s="21">
        <f t="shared" si="110"/>
        <v>7.1314374635136416E-2</v>
      </c>
      <c r="O93" s="21">
        <f t="shared" si="111"/>
        <v>5.862609064839882E-2</v>
      </c>
      <c r="P93" s="21">
        <f t="shared" si="92"/>
        <v>6.768915063892568E-2</v>
      </c>
      <c r="Q93" s="42">
        <f t="shared" si="112"/>
        <v>94.134974518380062</v>
      </c>
      <c r="R93" s="42">
        <f t="shared" si="113"/>
        <v>257.95479885295481</v>
      </c>
      <c r="S93" s="42">
        <f t="shared" si="114"/>
        <v>3.6996917636167872</v>
      </c>
      <c r="T93" s="43">
        <f t="shared" si="115"/>
        <v>40.696609399784649</v>
      </c>
      <c r="U93" s="21">
        <f t="shared" si="116"/>
        <v>5.4977507945551023E-3</v>
      </c>
      <c r="V93" s="21">
        <f t="shared" si="117"/>
        <v>4.5373688807934442E-3</v>
      </c>
      <c r="W93" s="21">
        <f t="shared" si="93"/>
        <v>5.2233559620517714E-3</v>
      </c>
      <c r="X93" s="42">
        <f t="shared" si="118"/>
        <v>7.2570310488127348</v>
      </c>
      <c r="Y93" s="42">
        <f t="shared" si="119"/>
        <v>19.964423075491155</v>
      </c>
      <c r="Z93" s="42">
        <f t="shared" si="120"/>
        <v>0.28580250523142242</v>
      </c>
      <c r="AA93" s="43">
        <f t="shared" si="121"/>
        <v>3.1438275575456465</v>
      </c>
      <c r="AB93" s="46">
        <f t="shared" si="122"/>
        <v>35.5</v>
      </c>
      <c r="AC93" s="46">
        <f t="shared" si="123"/>
        <v>35.5</v>
      </c>
      <c r="AD93" s="46">
        <f t="shared" si="94"/>
        <v>35.5</v>
      </c>
      <c r="AE93" s="49">
        <f t="shared" si="124"/>
        <v>46860</v>
      </c>
      <c r="AF93" s="49">
        <f t="shared" si="125"/>
        <v>156200</v>
      </c>
      <c r="AG93" s="49">
        <f t="shared" si="126"/>
        <v>2050.125</v>
      </c>
      <c r="AH93" s="47">
        <f t="shared" si="127"/>
        <v>22551.375</v>
      </c>
      <c r="AI93" s="41">
        <f t="shared" si="128"/>
        <v>6.0989926484335738E-2</v>
      </c>
      <c r="AJ93" s="41">
        <f t="shared" si="129"/>
        <v>3.5388847596637969E-2</v>
      </c>
      <c r="AK93" s="41">
        <f t="shared" si="95"/>
        <v>5.3675332516422092E-2</v>
      </c>
      <c r="AL93" s="42">
        <f t="shared" si="130"/>
        <v>80.506702959323178</v>
      </c>
      <c r="AM93" s="42">
        <f t="shared" si="131"/>
        <v>155.71092942520707</v>
      </c>
      <c r="AN93" s="42">
        <f t="shared" si="132"/>
        <v>2.6773326511763629</v>
      </c>
      <c r="AO93" s="44">
        <f t="shared" si="133"/>
        <v>29.450659162939999</v>
      </c>
      <c r="AP93" s="41">
        <f t="shared" si="134"/>
        <v>0.29088456772100729</v>
      </c>
      <c r="AQ93" s="41">
        <f t="shared" si="135"/>
        <v>0.18588383480909978</v>
      </c>
      <c r="AR93" s="41">
        <f t="shared" si="96"/>
        <v>0.26088435831760515</v>
      </c>
      <c r="AS93" s="42">
        <f t="shared" si="136"/>
        <v>383.96762939172964</v>
      </c>
      <c r="AT93" s="42">
        <f t="shared" si="137"/>
        <v>817.888873160039</v>
      </c>
      <c r="AU93" s="42">
        <f t="shared" si="138"/>
        <v>13.333559599795221</v>
      </c>
      <c r="AV93" s="43">
        <f t="shared" si="139"/>
        <v>146.66915559774742</v>
      </c>
      <c r="AW93" s="41">
        <f t="shared" si="140"/>
        <v>8.1443089558856319E-2</v>
      </c>
      <c r="AX93" s="41">
        <f t="shared" si="141"/>
        <v>4.9112238880035609E-2</v>
      </c>
      <c r="AY93" s="41">
        <f t="shared" si="97"/>
        <v>7.220570365062183E-2</v>
      </c>
      <c r="AZ93" s="42">
        <f t="shared" si="142"/>
        <v>107.50487821769035</v>
      </c>
      <c r="BA93" s="42">
        <f t="shared" si="143"/>
        <v>216.09385107215667</v>
      </c>
      <c r="BB93" s="42">
        <f t="shared" si="144"/>
        <v>3.6364203496228691</v>
      </c>
      <c r="BC93" s="43">
        <f t="shared" si="145"/>
        <v>40.000623845851557</v>
      </c>
      <c r="BD93" s="41">
        <f t="shared" si="146"/>
        <v>0.75744955016892113</v>
      </c>
      <c r="BE93" s="41">
        <f t="shared" si="147"/>
        <v>0.73745082773856463</v>
      </c>
      <c r="BF93" s="41">
        <f t="shared" si="98"/>
        <v>0.75173562947453354</v>
      </c>
      <c r="BG93" s="49">
        <f t="shared" si="148"/>
        <v>999.8334062229759</v>
      </c>
      <c r="BH93" s="49">
        <f t="shared" si="149"/>
        <v>3244.7836420496842</v>
      </c>
      <c r="BI93" s="49">
        <f t="shared" si="150"/>
        <v>43.082753682053429</v>
      </c>
      <c r="BJ93" s="47">
        <f t="shared" si="151"/>
        <v>473.9102905025876</v>
      </c>
      <c r="BK93" s="42">
        <f t="shared" si="152"/>
        <v>2.68</v>
      </c>
      <c r="BL93" s="42">
        <f t="shared" si="153"/>
        <v>2.68</v>
      </c>
      <c r="BM93" s="42">
        <f t="shared" si="99"/>
        <v>2.68</v>
      </c>
      <c r="BN93" s="49">
        <f t="shared" si="154"/>
        <v>3537.6000000000004</v>
      </c>
      <c r="BO93" s="49">
        <f t="shared" si="155"/>
        <v>11792</v>
      </c>
      <c r="BP93" s="49">
        <f t="shared" si="156"/>
        <v>154.77000000000001</v>
      </c>
      <c r="BQ93" s="47">
        <f t="shared" si="157"/>
        <v>1702.47</v>
      </c>
      <c r="BR93" s="21">
        <f t="shared" si="158"/>
        <v>6.1452231092498699E-2</v>
      </c>
      <c r="BS93" s="21">
        <f t="shared" si="159"/>
        <v>2.8988151364104296E-2</v>
      </c>
      <c r="BT93" s="21">
        <f t="shared" si="100"/>
        <v>5.2176779741528866E-2</v>
      </c>
      <c r="BU93" s="42">
        <f t="shared" si="160"/>
        <v>81.11694504209828</v>
      </c>
      <c r="BV93" s="42">
        <f t="shared" si="161"/>
        <v>127.5478660020589</v>
      </c>
      <c r="BW93" s="42">
        <f t="shared" si="162"/>
        <v>2.4775517145547847</v>
      </c>
      <c r="BX93" s="43">
        <f t="shared" si="163"/>
        <v>27.253068860102633</v>
      </c>
      <c r="BY93" s="49">
        <f t="shared" si="164"/>
        <v>594.65989857141892</v>
      </c>
      <c r="BZ93" s="49">
        <f t="shared" si="165"/>
        <v>348.30010899479413</v>
      </c>
      <c r="CA93" s="49">
        <f t="shared" si="101"/>
        <v>524.27138726381179</v>
      </c>
      <c r="CB93" s="49">
        <f t="shared" si="166"/>
        <v>784951.06611427292</v>
      </c>
      <c r="CC93" s="49">
        <f t="shared" si="167"/>
        <v>1532520.4795770941</v>
      </c>
      <c r="CD93" s="49">
        <f t="shared" si="168"/>
        <v>26211.736086470821</v>
      </c>
      <c r="CE93" s="47">
        <f t="shared" si="169"/>
        <v>288329.09695117909</v>
      </c>
      <c r="CF93" s="21">
        <f t="shared" si="170"/>
        <v>0.23</v>
      </c>
      <c r="CG93" s="21">
        <f t="shared" si="171"/>
        <v>0.23</v>
      </c>
      <c r="CH93" s="21">
        <f t="shared" si="102"/>
        <v>0.23</v>
      </c>
      <c r="CI93" s="42">
        <f t="shared" si="172"/>
        <v>303.60000000000002</v>
      </c>
      <c r="CJ93" s="42">
        <f t="shared" si="173"/>
        <v>1012</v>
      </c>
      <c r="CK93" s="42">
        <f t="shared" si="174"/>
        <v>13.282500000000001</v>
      </c>
      <c r="CL93" s="43">
        <f t="shared" si="175"/>
        <v>146.10750000000002</v>
      </c>
      <c r="CM93" s="21">
        <f t="shared" si="176"/>
        <v>6.7949700306537048E-2</v>
      </c>
      <c r="CN93" s="21">
        <f t="shared" si="177"/>
        <v>6.886777290285899E-2</v>
      </c>
      <c r="CO93" s="41">
        <f t="shared" si="103"/>
        <v>6.8212006762629035E-2</v>
      </c>
      <c r="CP93" s="46">
        <f t="shared" si="178"/>
        <v>89.6936044046289</v>
      </c>
      <c r="CQ93" s="46">
        <f t="shared" si="179"/>
        <v>303.01820077257958</v>
      </c>
      <c r="CR93" s="42">
        <f t="shared" si="180"/>
        <v>3.9543915883811387</v>
      </c>
      <c r="CS93" s="43">
        <f t="shared" si="181"/>
        <v>43.498307472192536</v>
      </c>
    </row>
    <row r="94" spans="1:97" ht="15.75" customHeight="1" x14ac:dyDescent="0.25">
      <c r="C94" s="1">
        <v>12</v>
      </c>
      <c r="D94" s="1">
        <f>Scenario_Info!$O$11</f>
        <v>15</v>
      </c>
      <c r="E94" s="1">
        <f>Scenario_Info!$O$12</f>
        <v>6</v>
      </c>
      <c r="F94" s="1">
        <f>Scenario_Info!$O$14/100</f>
        <v>0.11599999999999999</v>
      </c>
      <c r="G94" s="426">
        <f t="shared" si="104"/>
        <v>9.2495614373408717E-3</v>
      </c>
      <c r="H94" s="21">
        <f t="shared" si="105"/>
        <v>5.1099125190910743E-3</v>
      </c>
      <c r="I94" s="21">
        <f t="shared" si="91"/>
        <v>8.0668046035552148E-3</v>
      </c>
      <c r="J94" s="42">
        <f t="shared" si="106"/>
        <v>12.209421097289951</v>
      </c>
      <c r="K94" s="42">
        <f t="shared" si="107"/>
        <v>22.483615084000725</v>
      </c>
      <c r="L94" s="42">
        <f t="shared" si="108"/>
        <v>0.39755375870419202</v>
      </c>
      <c r="M94" s="43">
        <f t="shared" si="109"/>
        <v>4.7706451044503053</v>
      </c>
      <c r="N94" s="21">
        <f t="shared" si="110"/>
        <v>7.1314374635136416E-2</v>
      </c>
      <c r="O94" s="21">
        <f t="shared" si="111"/>
        <v>5.862609064839882E-2</v>
      </c>
      <c r="P94" s="21">
        <f t="shared" si="92"/>
        <v>6.768915063892568E-2</v>
      </c>
      <c r="Q94" s="42">
        <f t="shared" si="112"/>
        <v>94.134974518380062</v>
      </c>
      <c r="R94" s="42">
        <f t="shared" si="113"/>
        <v>257.95479885295481</v>
      </c>
      <c r="S94" s="42">
        <f t="shared" si="114"/>
        <v>3.6996917636167872</v>
      </c>
      <c r="T94" s="43">
        <f t="shared" si="115"/>
        <v>44.396301163401432</v>
      </c>
      <c r="U94" s="21">
        <f t="shared" si="116"/>
        <v>5.4977507945551023E-3</v>
      </c>
      <c r="V94" s="21">
        <f t="shared" si="117"/>
        <v>4.5373688807934442E-3</v>
      </c>
      <c r="W94" s="21">
        <f t="shared" si="93"/>
        <v>5.2233559620517714E-3</v>
      </c>
      <c r="X94" s="42">
        <f t="shared" si="118"/>
        <v>7.2570310488127348</v>
      </c>
      <c r="Y94" s="42">
        <f t="shared" si="119"/>
        <v>19.964423075491155</v>
      </c>
      <c r="Z94" s="42">
        <f t="shared" si="120"/>
        <v>0.28580250523142242</v>
      </c>
      <c r="AA94" s="43">
        <f t="shared" si="121"/>
        <v>3.4296300627770688</v>
      </c>
      <c r="AB94" s="46">
        <f t="shared" si="122"/>
        <v>35.5</v>
      </c>
      <c r="AC94" s="46">
        <f t="shared" si="123"/>
        <v>35.5</v>
      </c>
      <c r="AD94" s="46">
        <f t="shared" si="94"/>
        <v>35.5</v>
      </c>
      <c r="AE94" s="49">
        <f t="shared" si="124"/>
        <v>46860</v>
      </c>
      <c r="AF94" s="49">
        <f t="shared" si="125"/>
        <v>156200</v>
      </c>
      <c r="AG94" s="49">
        <f t="shared" si="126"/>
        <v>2050.125</v>
      </c>
      <c r="AH94" s="47">
        <f t="shared" si="127"/>
        <v>24601.5</v>
      </c>
      <c r="AI94" s="41">
        <f t="shared" si="128"/>
        <v>6.0989926484335738E-2</v>
      </c>
      <c r="AJ94" s="41">
        <f t="shared" si="129"/>
        <v>3.5388847596637969E-2</v>
      </c>
      <c r="AK94" s="41">
        <f t="shared" si="95"/>
        <v>5.3675332516422092E-2</v>
      </c>
      <c r="AL94" s="42">
        <f t="shared" si="130"/>
        <v>80.506702959323178</v>
      </c>
      <c r="AM94" s="42">
        <f t="shared" si="131"/>
        <v>155.71092942520707</v>
      </c>
      <c r="AN94" s="42">
        <f t="shared" si="132"/>
        <v>2.6773326511763629</v>
      </c>
      <c r="AO94" s="44">
        <f t="shared" si="133"/>
        <v>32.127991814116363</v>
      </c>
      <c r="AP94" s="41">
        <f t="shared" si="134"/>
        <v>0.29088456772100729</v>
      </c>
      <c r="AQ94" s="41">
        <f t="shared" si="135"/>
        <v>0.18588383480909978</v>
      </c>
      <c r="AR94" s="41">
        <f t="shared" si="96"/>
        <v>0.26088435831760515</v>
      </c>
      <c r="AS94" s="42">
        <f t="shared" si="136"/>
        <v>383.96762939172964</v>
      </c>
      <c r="AT94" s="42">
        <f t="shared" si="137"/>
        <v>817.888873160039</v>
      </c>
      <c r="AU94" s="42">
        <f t="shared" si="138"/>
        <v>13.333559599795221</v>
      </c>
      <c r="AV94" s="43">
        <f t="shared" si="139"/>
        <v>160.00271519754264</v>
      </c>
      <c r="AW94" s="41">
        <f t="shared" si="140"/>
        <v>8.1443089558856319E-2</v>
      </c>
      <c r="AX94" s="41">
        <f t="shared" si="141"/>
        <v>4.9112238880035609E-2</v>
      </c>
      <c r="AY94" s="41">
        <f t="shared" si="97"/>
        <v>7.220570365062183E-2</v>
      </c>
      <c r="AZ94" s="42">
        <f t="shared" si="142"/>
        <v>107.50487821769035</v>
      </c>
      <c r="BA94" s="42">
        <f t="shared" si="143"/>
        <v>216.09385107215667</v>
      </c>
      <c r="BB94" s="42">
        <f t="shared" si="144"/>
        <v>3.6364203496228691</v>
      </c>
      <c r="BC94" s="43">
        <f t="shared" si="145"/>
        <v>43.637044195474424</v>
      </c>
      <c r="BD94" s="41">
        <f t="shared" si="146"/>
        <v>0.75744955016892113</v>
      </c>
      <c r="BE94" s="41">
        <f t="shared" si="147"/>
        <v>0.73745082773856463</v>
      </c>
      <c r="BF94" s="41">
        <f t="shared" si="98"/>
        <v>0.75173562947453354</v>
      </c>
      <c r="BG94" s="49">
        <f t="shared" si="148"/>
        <v>999.8334062229759</v>
      </c>
      <c r="BH94" s="49">
        <f t="shared" si="149"/>
        <v>3244.7836420496842</v>
      </c>
      <c r="BI94" s="49">
        <f t="shared" si="150"/>
        <v>43.082753682053429</v>
      </c>
      <c r="BJ94" s="47">
        <f t="shared" si="151"/>
        <v>516.99304418464101</v>
      </c>
      <c r="BK94" s="42">
        <f t="shared" si="152"/>
        <v>2.68</v>
      </c>
      <c r="BL94" s="42">
        <f t="shared" si="153"/>
        <v>2.68</v>
      </c>
      <c r="BM94" s="42">
        <f t="shared" si="99"/>
        <v>2.68</v>
      </c>
      <c r="BN94" s="49">
        <f t="shared" si="154"/>
        <v>3537.6000000000004</v>
      </c>
      <c r="BO94" s="49">
        <f t="shared" si="155"/>
        <v>11792</v>
      </c>
      <c r="BP94" s="49">
        <f t="shared" si="156"/>
        <v>154.77000000000001</v>
      </c>
      <c r="BQ94" s="47">
        <f t="shared" si="157"/>
        <v>1857.24</v>
      </c>
      <c r="BR94" s="21">
        <f t="shared" si="158"/>
        <v>6.1452231092498699E-2</v>
      </c>
      <c r="BS94" s="21">
        <f t="shared" si="159"/>
        <v>2.8988151364104296E-2</v>
      </c>
      <c r="BT94" s="21">
        <f t="shared" si="100"/>
        <v>5.2176779741528866E-2</v>
      </c>
      <c r="BU94" s="42">
        <f t="shared" si="160"/>
        <v>81.11694504209828</v>
      </c>
      <c r="BV94" s="42">
        <f t="shared" si="161"/>
        <v>127.5478660020589</v>
      </c>
      <c r="BW94" s="42">
        <f t="shared" si="162"/>
        <v>2.4775517145547847</v>
      </c>
      <c r="BX94" s="43">
        <f t="shared" si="163"/>
        <v>29.730620574657419</v>
      </c>
      <c r="BY94" s="49">
        <f t="shared" si="164"/>
        <v>594.65989857141892</v>
      </c>
      <c r="BZ94" s="49">
        <f t="shared" si="165"/>
        <v>348.30010899479413</v>
      </c>
      <c r="CA94" s="49">
        <f t="shared" si="101"/>
        <v>524.27138726381179</v>
      </c>
      <c r="CB94" s="49">
        <f t="shared" si="166"/>
        <v>784951.06611427292</v>
      </c>
      <c r="CC94" s="49">
        <f t="shared" si="167"/>
        <v>1532520.4795770941</v>
      </c>
      <c r="CD94" s="49">
        <f t="shared" si="168"/>
        <v>26211.736086470821</v>
      </c>
      <c r="CE94" s="47">
        <f t="shared" si="169"/>
        <v>314540.83303764992</v>
      </c>
      <c r="CF94" s="21">
        <f t="shared" si="170"/>
        <v>0.23</v>
      </c>
      <c r="CG94" s="21">
        <f t="shared" si="171"/>
        <v>0.23</v>
      </c>
      <c r="CH94" s="21">
        <f t="shared" si="102"/>
        <v>0.23</v>
      </c>
      <c r="CI94" s="42">
        <f t="shared" si="172"/>
        <v>303.60000000000002</v>
      </c>
      <c r="CJ94" s="42">
        <f t="shared" si="173"/>
        <v>1012</v>
      </c>
      <c r="CK94" s="42">
        <f t="shared" si="174"/>
        <v>13.282500000000001</v>
      </c>
      <c r="CL94" s="43">
        <f t="shared" si="175"/>
        <v>159.39000000000001</v>
      </c>
      <c r="CM94" s="21">
        <f t="shared" si="176"/>
        <v>6.7949700306537048E-2</v>
      </c>
      <c r="CN94" s="21">
        <f t="shared" si="177"/>
        <v>6.886777290285899E-2</v>
      </c>
      <c r="CO94" s="41">
        <f t="shared" si="103"/>
        <v>6.8212006762629035E-2</v>
      </c>
      <c r="CP94" s="46">
        <f t="shared" si="178"/>
        <v>89.6936044046289</v>
      </c>
      <c r="CQ94" s="46">
        <f t="shared" si="179"/>
        <v>303.01820077257958</v>
      </c>
      <c r="CR94" s="42">
        <f t="shared" si="180"/>
        <v>3.9543915883811387</v>
      </c>
      <c r="CS94" s="43">
        <f t="shared" si="181"/>
        <v>47.452699060573678</v>
      </c>
    </row>
    <row r="95" spans="1:97" ht="15.75" customHeight="1" x14ac:dyDescent="0.25">
      <c r="C95" s="1">
        <v>13</v>
      </c>
      <c r="D95" s="1">
        <f>Scenario_Info!$O$11</f>
        <v>15</v>
      </c>
      <c r="E95" s="1">
        <f>Scenario_Info!$O$12</f>
        <v>6</v>
      </c>
      <c r="F95" s="1">
        <f>Scenario_Info!$O$14/100</f>
        <v>0.11599999999999999</v>
      </c>
      <c r="G95" s="426">
        <f t="shared" si="104"/>
        <v>9.2495614373408717E-3</v>
      </c>
      <c r="H95" s="21">
        <f t="shared" si="105"/>
        <v>5.1099125190910743E-3</v>
      </c>
      <c r="I95" s="21">
        <f t="shared" si="91"/>
        <v>8.0668046035552148E-3</v>
      </c>
      <c r="J95" s="42">
        <f t="shared" si="106"/>
        <v>12.209421097289951</v>
      </c>
      <c r="K95" s="42">
        <f t="shared" si="107"/>
        <v>22.483615084000725</v>
      </c>
      <c r="L95" s="42">
        <f t="shared" si="108"/>
        <v>0.39755375870419202</v>
      </c>
      <c r="M95" s="43">
        <f t="shared" si="109"/>
        <v>5.1681988631544975</v>
      </c>
      <c r="N95" s="21">
        <f t="shared" si="110"/>
        <v>7.1314374635136416E-2</v>
      </c>
      <c r="O95" s="21">
        <f t="shared" si="111"/>
        <v>5.862609064839882E-2</v>
      </c>
      <c r="P95" s="21">
        <f t="shared" si="92"/>
        <v>6.768915063892568E-2</v>
      </c>
      <c r="Q95" s="42">
        <f t="shared" si="112"/>
        <v>94.134974518380062</v>
      </c>
      <c r="R95" s="42">
        <f t="shared" si="113"/>
        <v>257.95479885295481</v>
      </c>
      <c r="S95" s="42">
        <f t="shared" si="114"/>
        <v>3.6996917636167872</v>
      </c>
      <c r="T95" s="43">
        <f t="shared" si="115"/>
        <v>48.095992927018216</v>
      </c>
      <c r="U95" s="21">
        <f t="shared" si="116"/>
        <v>5.4977507945551023E-3</v>
      </c>
      <c r="V95" s="21">
        <f t="shared" si="117"/>
        <v>4.5373688807934442E-3</v>
      </c>
      <c r="W95" s="21">
        <f t="shared" si="93"/>
        <v>5.2233559620517714E-3</v>
      </c>
      <c r="X95" s="42">
        <f t="shared" si="118"/>
        <v>7.2570310488127348</v>
      </c>
      <c r="Y95" s="42">
        <f t="shared" si="119"/>
        <v>19.964423075491155</v>
      </c>
      <c r="Z95" s="42">
        <f t="shared" si="120"/>
        <v>0.28580250523142242</v>
      </c>
      <c r="AA95" s="43">
        <f t="shared" si="121"/>
        <v>3.7154325680084912</v>
      </c>
      <c r="AB95" s="46">
        <f t="shared" si="122"/>
        <v>35.5</v>
      </c>
      <c r="AC95" s="46">
        <f t="shared" si="123"/>
        <v>35.5</v>
      </c>
      <c r="AD95" s="46">
        <f t="shared" si="94"/>
        <v>35.5</v>
      </c>
      <c r="AE95" s="49">
        <f t="shared" si="124"/>
        <v>46860</v>
      </c>
      <c r="AF95" s="49">
        <f t="shared" si="125"/>
        <v>156200</v>
      </c>
      <c r="AG95" s="49">
        <f t="shared" si="126"/>
        <v>2050.125</v>
      </c>
      <c r="AH95" s="47">
        <f t="shared" si="127"/>
        <v>26651.625</v>
      </c>
      <c r="AI95" s="41">
        <f t="shared" si="128"/>
        <v>6.0989926484335738E-2</v>
      </c>
      <c r="AJ95" s="41">
        <f t="shared" si="129"/>
        <v>3.5388847596637969E-2</v>
      </c>
      <c r="AK95" s="41">
        <f t="shared" si="95"/>
        <v>5.3675332516422092E-2</v>
      </c>
      <c r="AL95" s="42">
        <f t="shared" si="130"/>
        <v>80.506702959323178</v>
      </c>
      <c r="AM95" s="42">
        <f t="shared" si="131"/>
        <v>155.71092942520707</v>
      </c>
      <c r="AN95" s="42">
        <f t="shared" si="132"/>
        <v>2.6773326511763629</v>
      </c>
      <c r="AO95" s="44">
        <f t="shared" si="133"/>
        <v>34.805324465292728</v>
      </c>
      <c r="AP95" s="41">
        <f t="shared" si="134"/>
        <v>0.29088456772100729</v>
      </c>
      <c r="AQ95" s="41">
        <f t="shared" si="135"/>
        <v>0.18588383480909978</v>
      </c>
      <c r="AR95" s="41">
        <f t="shared" si="96"/>
        <v>0.26088435831760515</v>
      </c>
      <c r="AS95" s="42">
        <f t="shared" si="136"/>
        <v>383.96762939172964</v>
      </c>
      <c r="AT95" s="42">
        <f t="shared" si="137"/>
        <v>817.888873160039</v>
      </c>
      <c r="AU95" s="42">
        <f t="shared" si="138"/>
        <v>13.333559599795221</v>
      </c>
      <c r="AV95" s="43">
        <f t="shared" si="139"/>
        <v>173.33627479733786</v>
      </c>
      <c r="AW95" s="41">
        <f t="shared" si="140"/>
        <v>8.1443089558856319E-2</v>
      </c>
      <c r="AX95" s="41">
        <f t="shared" si="141"/>
        <v>4.9112238880035609E-2</v>
      </c>
      <c r="AY95" s="41">
        <f t="shared" si="97"/>
        <v>7.220570365062183E-2</v>
      </c>
      <c r="AZ95" s="42">
        <f t="shared" si="142"/>
        <v>107.50487821769035</v>
      </c>
      <c r="BA95" s="42">
        <f t="shared" si="143"/>
        <v>216.09385107215667</v>
      </c>
      <c r="BB95" s="42">
        <f t="shared" si="144"/>
        <v>3.6364203496228691</v>
      </c>
      <c r="BC95" s="43">
        <f t="shared" si="145"/>
        <v>47.273464545097291</v>
      </c>
      <c r="BD95" s="41">
        <f t="shared" si="146"/>
        <v>0.75744955016892113</v>
      </c>
      <c r="BE95" s="41">
        <f t="shared" si="147"/>
        <v>0.73745082773856463</v>
      </c>
      <c r="BF95" s="41">
        <f t="shared" si="98"/>
        <v>0.75173562947453354</v>
      </c>
      <c r="BG95" s="49">
        <f t="shared" si="148"/>
        <v>999.8334062229759</v>
      </c>
      <c r="BH95" s="49">
        <f t="shared" si="149"/>
        <v>3244.7836420496842</v>
      </c>
      <c r="BI95" s="49">
        <f t="shared" si="150"/>
        <v>43.082753682053429</v>
      </c>
      <c r="BJ95" s="47">
        <f t="shared" si="151"/>
        <v>560.07579786669442</v>
      </c>
      <c r="BK95" s="42">
        <f t="shared" si="152"/>
        <v>2.68</v>
      </c>
      <c r="BL95" s="42">
        <f t="shared" si="153"/>
        <v>2.68</v>
      </c>
      <c r="BM95" s="42">
        <f t="shared" si="99"/>
        <v>2.68</v>
      </c>
      <c r="BN95" s="49">
        <f t="shared" si="154"/>
        <v>3537.6000000000004</v>
      </c>
      <c r="BO95" s="49">
        <f t="shared" si="155"/>
        <v>11792</v>
      </c>
      <c r="BP95" s="49">
        <f t="shared" si="156"/>
        <v>154.77000000000001</v>
      </c>
      <c r="BQ95" s="47">
        <f t="shared" si="157"/>
        <v>2012.01</v>
      </c>
      <c r="BR95" s="21">
        <f t="shared" si="158"/>
        <v>6.1452231092498699E-2</v>
      </c>
      <c r="BS95" s="21">
        <f t="shared" si="159"/>
        <v>2.8988151364104296E-2</v>
      </c>
      <c r="BT95" s="21">
        <f t="shared" si="100"/>
        <v>5.2176779741528866E-2</v>
      </c>
      <c r="BU95" s="42">
        <f t="shared" si="160"/>
        <v>81.11694504209828</v>
      </c>
      <c r="BV95" s="42">
        <f t="shared" si="161"/>
        <v>127.5478660020589</v>
      </c>
      <c r="BW95" s="42">
        <f t="shared" si="162"/>
        <v>2.4775517145547847</v>
      </c>
      <c r="BX95" s="43">
        <f t="shared" si="163"/>
        <v>32.2081722892122</v>
      </c>
      <c r="BY95" s="49">
        <f t="shared" si="164"/>
        <v>594.65989857141892</v>
      </c>
      <c r="BZ95" s="49">
        <f t="shared" si="165"/>
        <v>348.30010899479413</v>
      </c>
      <c r="CA95" s="49">
        <f t="shared" si="101"/>
        <v>524.27138726381179</v>
      </c>
      <c r="CB95" s="49">
        <f t="shared" si="166"/>
        <v>784951.06611427292</v>
      </c>
      <c r="CC95" s="49">
        <f t="shared" si="167"/>
        <v>1532520.4795770941</v>
      </c>
      <c r="CD95" s="49">
        <f t="shared" si="168"/>
        <v>26211.736086470821</v>
      </c>
      <c r="CE95" s="47">
        <f t="shared" si="169"/>
        <v>340752.56912412075</v>
      </c>
      <c r="CF95" s="21">
        <f t="shared" si="170"/>
        <v>0.23</v>
      </c>
      <c r="CG95" s="21">
        <f t="shared" si="171"/>
        <v>0.23</v>
      </c>
      <c r="CH95" s="21">
        <f t="shared" si="102"/>
        <v>0.23</v>
      </c>
      <c r="CI95" s="42">
        <f t="shared" si="172"/>
        <v>303.60000000000002</v>
      </c>
      <c r="CJ95" s="42">
        <f t="shared" si="173"/>
        <v>1012</v>
      </c>
      <c r="CK95" s="42">
        <f t="shared" si="174"/>
        <v>13.282500000000001</v>
      </c>
      <c r="CL95" s="43">
        <f t="shared" si="175"/>
        <v>172.67250000000001</v>
      </c>
      <c r="CM95" s="21">
        <f t="shared" si="176"/>
        <v>6.7949700306537048E-2</v>
      </c>
      <c r="CN95" s="21">
        <f t="shared" si="177"/>
        <v>6.886777290285899E-2</v>
      </c>
      <c r="CO95" s="41">
        <f t="shared" si="103"/>
        <v>6.8212006762629035E-2</v>
      </c>
      <c r="CP95" s="46">
        <f t="shared" si="178"/>
        <v>89.6936044046289</v>
      </c>
      <c r="CQ95" s="46">
        <f t="shared" si="179"/>
        <v>303.01820077257958</v>
      </c>
      <c r="CR95" s="42">
        <f t="shared" si="180"/>
        <v>3.9543915883811387</v>
      </c>
      <c r="CS95" s="43">
        <f t="shared" si="181"/>
        <v>51.407090648954821</v>
      </c>
    </row>
    <row r="96" spans="1:97" ht="15.75" customHeight="1" x14ac:dyDescent="0.25">
      <c r="C96" s="1">
        <v>14</v>
      </c>
      <c r="D96" s="1">
        <f>Scenario_Info!$O$11</f>
        <v>15</v>
      </c>
      <c r="E96" s="1">
        <f>Scenario_Info!$O$12</f>
        <v>6</v>
      </c>
      <c r="F96" s="1">
        <f>Scenario_Info!$O$14/100</f>
        <v>0.11599999999999999</v>
      </c>
      <c r="G96" s="426">
        <f t="shared" si="104"/>
        <v>9.2495614373408717E-3</v>
      </c>
      <c r="H96" s="21">
        <f t="shared" si="105"/>
        <v>5.1099125190910743E-3</v>
      </c>
      <c r="I96" s="21">
        <f t="shared" si="91"/>
        <v>8.0668046035552148E-3</v>
      </c>
      <c r="J96" s="42">
        <f t="shared" si="106"/>
        <v>12.209421097289951</v>
      </c>
      <c r="K96" s="42">
        <f t="shared" si="107"/>
        <v>22.483615084000725</v>
      </c>
      <c r="L96" s="42">
        <f t="shared" si="108"/>
        <v>0.39755375870419202</v>
      </c>
      <c r="M96" s="43">
        <f t="shared" si="109"/>
        <v>5.5657526218586897</v>
      </c>
      <c r="N96" s="21">
        <f t="shared" si="110"/>
        <v>7.1314374635136416E-2</v>
      </c>
      <c r="O96" s="21">
        <f t="shared" si="111"/>
        <v>5.862609064839882E-2</v>
      </c>
      <c r="P96" s="21">
        <f t="shared" si="92"/>
        <v>6.768915063892568E-2</v>
      </c>
      <c r="Q96" s="42">
        <f t="shared" si="112"/>
        <v>94.134974518380062</v>
      </c>
      <c r="R96" s="42">
        <f t="shared" si="113"/>
        <v>257.95479885295481</v>
      </c>
      <c r="S96" s="42">
        <f t="shared" si="114"/>
        <v>3.6996917636167872</v>
      </c>
      <c r="T96" s="43">
        <f t="shared" si="115"/>
        <v>51.795684690634999</v>
      </c>
      <c r="U96" s="21">
        <f t="shared" si="116"/>
        <v>5.4977507945551023E-3</v>
      </c>
      <c r="V96" s="21">
        <f t="shared" si="117"/>
        <v>4.5373688807934442E-3</v>
      </c>
      <c r="W96" s="21">
        <f t="shared" si="93"/>
        <v>5.2233559620517714E-3</v>
      </c>
      <c r="X96" s="42">
        <f t="shared" si="118"/>
        <v>7.2570310488127348</v>
      </c>
      <c r="Y96" s="42">
        <f t="shared" si="119"/>
        <v>19.964423075491155</v>
      </c>
      <c r="Z96" s="42">
        <f t="shared" si="120"/>
        <v>0.28580250523142242</v>
      </c>
      <c r="AA96" s="43">
        <f t="shared" si="121"/>
        <v>4.001235073239914</v>
      </c>
      <c r="AB96" s="46">
        <f t="shared" si="122"/>
        <v>35.5</v>
      </c>
      <c r="AC96" s="46">
        <f t="shared" si="123"/>
        <v>35.5</v>
      </c>
      <c r="AD96" s="46">
        <f t="shared" si="94"/>
        <v>35.5</v>
      </c>
      <c r="AE96" s="49">
        <f t="shared" si="124"/>
        <v>46860</v>
      </c>
      <c r="AF96" s="49">
        <f t="shared" si="125"/>
        <v>156200</v>
      </c>
      <c r="AG96" s="49">
        <f t="shared" si="126"/>
        <v>2050.125</v>
      </c>
      <c r="AH96" s="47">
        <f t="shared" si="127"/>
        <v>28701.75</v>
      </c>
      <c r="AI96" s="41">
        <f t="shared" si="128"/>
        <v>6.0989926484335738E-2</v>
      </c>
      <c r="AJ96" s="41">
        <f t="shared" si="129"/>
        <v>3.5388847596637969E-2</v>
      </c>
      <c r="AK96" s="41">
        <f t="shared" si="95"/>
        <v>5.3675332516422092E-2</v>
      </c>
      <c r="AL96" s="42">
        <f t="shared" si="130"/>
        <v>80.506702959323178</v>
      </c>
      <c r="AM96" s="42">
        <f t="shared" si="131"/>
        <v>155.71092942520707</v>
      </c>
      <c r="AN96" s="42">
        <f t="shared" si="132"/>
        <v>2.6773326511763629</v>
      </c>
      <c r="AO96" s="44">
        <f t="shared" si="133"/>
        <v>37.482657116469092</v>
      </c>
      <c r="AP96" s="41">
        <f t="shared" si="134"/>
        <v>0.29088456772100729</v>
      </c>
      <c r="AQ96" s="41">
        <f t="shared" si="135"/>
        <v>0.18588383480909978</v>
      </c>
      <c r="AR96" s="41">
        <f t="shared" si="96"/>
        <v>0.26088435831760515</v>
      </c>
      <c r="AS96" s="42">
        <f t="shared" si="136"/>
        <v>383.96762939172964</v>
      </c>
      <c r="AT96" s="42">
        <f t="shared" si="137"/>
        <v>817.888873160039</v>
      </c>
      <c r="AU96" s="42">
        <f t="shared" si="138"/>
        <v>13.333559599795221</v>
      </c>
      <c r="AV96" s="43">
        <f t="shared" si="139"/>
        <v>186.66983439713309</v>
      </c>
      <c r="AW96" s="41">
        <f t="shared" si="140"/>
        <v>8.1443089558856319E-2</v>
      </c>
      <c r="AX96" s="41">
        <f t="shared" si="141"/>
        <v>4.9112238880035609E-2</v>
      </c>
      <c r="AY96" s="41">
        <f t="shared" si="97"/>
        <v>7.220570365062183E-2</v>
      </c>
      <c r="AZ96" s="42">
        <f t="shared" si="142"/>
        <v>107.50487821769035</v>
      </c>
      <c r="BA96" s="42">
        <f t="shared" si="143"/>
        <v>216.09385107215667</v>
      </c>
      <c r="BB96" s="42">
        <f t="shared" si="144"/>
        <v>3.6364203496228691</v>
      </c>
      <c r="BC96" s="43">
        <f t="shared" si="145"/>
        <v>50.909884894720157</v>
      </c>
      <c r="BD96" s="41">
        <f t="shared" si="146"/>
        <v>0.75744955016892113</v>
      </c>
      <c r="BE96" s="41">
        <f t="shared" si="147"/>
        <v>0.73745082773856463</v>
      </c>
      <c r="BF96" s="41">
        <f t="shared" si="98"/>
        <v>0.75173562947453354</v>
      </c>
      <c r="BG96" s="49">
        <f t="shared" si="148"/>
        <v>999.8334062229759</v>
      </c>
      <c r="BH96" s="49">
        <f t="shared" si="149"/>
        <v>3244.7836420496842</v>
      </c>
      <c r="BI96" s="49">
        <f t="shared" si="150"/>
        <v>43.082753682053429</v>
      </c>
      <c r="BJ96" s="47">
        <f t="shared" si="151"/>
        <v>603.15855154874782</v>
      </c>
      <c r="BK96" s="42">
        <f t="shared" si="152"/>
        <v>2.68</v>
      </c>
      <c r="BL96" s="42">
        <f t="shared" si="153"/>
        <v>2.68</v>
      </c>
      <c r="BM96" s="42">
        <f t="shared" si="99"/>
        <v>2.68</v>
      </c>
      <c r="BN96" s="49">
        <f t="shared" si="154"/>
        <v>3537.6000000000004</v>
      </c>
      <c r="BO96" s="49">
        <f t="shared" si="155"/>
        <v>11792</v>
      </c>
      <c r="BP96" s="49">
        <f t="shared" si="156"/>
        <v>154.77000000000001</v>
      </c>
      <c r="BQ96" s="47">
        <f t="shared" si="157"/>
        <v>2166.7800000000002</v>
      </c>
      <c r="BR96" s="21">
        <f t="shared" si="158"/>
        <v>6.1452231092498699E-2</v>
      </c>
      <c r="BS96" s="21">
        <f t="shared" si="159"/>
        <v>2.8988151364104296E-2</v>
      </c>
      <c r="BT96" s="21">
        <f t="shared" si="100"/>
        <v>5.2176779741528866E-2</v>
      </c>
      <c r="BU96" s="42">
        <f t="shared" si="160"/>
        <v>81.11694504209828</v>
      </c>
      <c r="BV96" s="42">
        <f t="shared" si="161"/>
        <v>127.5478660020589</v>
      </c>
      <c r="BW96" s="42">
        <f t="shared" si="162"/>
        <v>2.4775517145547847</v>
      </c>
      <c r="BX96" s="43">
        <f t="shared" si="163"/>
        <v>34.685724003766985</v>
      </c>
      <c r="BY96" s="49">
        <f t="shared" si="164"/>
        <v>594.65989857141892</v>
      </c>
      <c r="BZ96" s="49">
        <f t="shared" si="165"/>
        <v>348.30010899479413</v>
      </c>
      <c r="CA96" s="49">
        <f t="shared" si="101"/>
        <v>524.27138726381179</v>
      </c>
      <c r="CB96" s="49">
        <f t="shared" si="166"/>
        <v>784951.06611427292</v>
      </c>
      <c r="CC96" s="49">
        <f t="shared" si="167"/>
        <v>1532520.4795770941</v>
      </c>
      <c r="CD96" s="49">
        <f t="shared" si="168"/>
        <v>26211.736086470821</v>
      </c>
      <c r="CE96" s="47">
        <f t="shared" si="169"/>
        <v>366964.30521059158</v>
      </c>
      <c r="CF96" s="21">
        <f t="shared" si="170"/>
        <v>0.23</v>
      </c>
      <c r="CG96" s="21">
        <f t="shared" si="171"/>
        <v>0.23</v>
      </c>
      <c r="CH96" s="21">
        <f t="shared" si="102"/>
        <v>0.23</v>
      </c>
      <c r="CI96" s="42">
        <f t="shared" si="172"/>
        <v>303.60000000000002</v>
      </c>
      <c r="CJ96" s="42">
        <f t="shared" si="173"/>
        <v>1012</v>
      </c>
      <c r="CK96" s="42">
        <f t="shared" si="174"/>
        <v>13.282500000000001</v>
      </c>
      <c r="CL96" s="43">
        <f t="shared" si="175"/>
        <v>185.95500000000001</v>
      </c>
      <c r="CM96" s="21">
        <f t="shared" si="176"/>
        <v>6.7949700306537048E-2</v>
      </c>
      <c r="CN96" s="21">
        <f t="shared" si="177"/>
        <v>6.886777290285899E-2</v>
      </c>
      <c r="CO96" s="41">
        <f t="shared" si="103"/>
        <v>6.8212006762629035E-2</v>
      </c>
      <c r="CP96" s="46">
        <f t="shared" si="178"/>
        <v>89.6936044046289</v>
      </c>
      <c r="CQ96" s="46">
        <f t="shared" si="179"/>
        <v>303.01820077257958</v>
      </c>
      <c r="CR96" s="42">
        <f t="shared" si="180"/>
        <v>3.9543915883811387</v>
      </c>
      <c r="CS96" s="43">
        <f t="shared" si="181"/>
        <v>55.361482237335963</v>
      </c>
    </row>
    <row r="97" spans="1:97" ht="15.75" customHeight="1" x14ac:dyDescent="0.25">
      <c r="C97" s="1">
        <v>15</v>
      </c>
      <c r="D97" s="1">
        <f>Scenario_Info!$O$11</f>
        <v>15</v>
      </c>
      <c r="E97" s="1">
        <f>Scenario_Info!$O$12</f>
        <v>6</v>
      </c>
      <c r="F97" s="1">
        <f>Scenario_Info!$O$14/100</f>
        <v>0.11599999999999999</v>
      </c>
      <c r="G97" s="426">
        <f t="shared" si="104"/>
        <v>9.2495614373408717E-3</v>
      </c>
      <c r="H97" s="21">
        <f t="shared" si="105"/>
        <v>5.1099125190910743E-3</v>
      </c>
      <c r="I97" s="21">
        <f t="shared" si="91"/>
        <v>8.0668046035552148E-3</v>
      </c>
      <c r="J97" s="42">
        <f t="shared" si="106"/>
        <v>12.209421097289951</v>
      </c>
      <c r="K97" s="42">
        <f t="shared" si="107"/>
        <v>22.483615084000725</v>
      </c>
      <c r="L97" s="42">
        <f t="shared" si="108"/>
        <v>0.39755375870419202</v>
      </c>
      <c r="M97" s="43">
        <f t="shared" si="109"/>
        <v>5.9633063805628819</v>
      </c>
      <c r="N97" s="21">
        <f t="shared" si="110"/>
        <v>7.1314374635136416E-2</v>
      </c>
      <c r="O97" s="21">
        <f t="shared" si="111"/>
        <v>5.862609064839882E-2</v>
      </c>
      <c r="P97" s="21">
        <f t="shared" si="92"/>
        <v>6.768915063892568E-2</v>
      </c>
      <c r="Q97" s="42">
        <f t="shared" si="112"/>
        <v>94.134974518380062</v>
      </c>
      <c r="R97" s="42">
        <f t="shared" si="113"/>
        <v>257.95479885295481</v>
      </c>
      <c r="S97" s="42">
        <f t="shared" si="114"/>
        <v>3.6996917636167872</v>
      </c>
      <c r="T97" s="43">
        <f t="shared" si="115"/>
        <v>55.495376454251783</v>
      </c>
      <c r="U97" s="21">
        <f t="shared" si="116"/>
        <v>5.4977507945551023E-3</v>
      </c>
      <c r="V97" s="21">
        <f t="shared" si="117"/>
        <v>4.5373688807934442E-3</v>
      </c>
      <c r="W97" s="21">
        <f t="shared" si="93"/>
        <v>5.2233559620517714E-3</v>
      </c>
      <c r="X97" s="42">
        <f t="shared" si="118"/>
        <v>7.2570310488127348</v>
      </c>
      <c r="Y97" s="42">
        <f t="shared" si="119"/>
        <v>19.964423075491155</v>
      </c>
      <c r="Z97" s="42">
        <f t="shared" si="120"/>
        <v>0.28580250523142242</v>
      </c>
      <c r="AA97" s="43">
        <f t="shared" si="121"/>
        <v>4.2870375784713364</v>
      </c>
      <c r="AB97" s="46">
        <f t="shared" si="122"/>
        <v>35.5</v>
      </c>
      <c r="AC97" s="46">
        <f t="shared" si="123"/>
        <v>35.5</v>
      </c>
      <c r="AD97" s="46">
        <f t="shared" si="94"/>
        <v>35.5</v>
      </c>
      <c r="AE97" s="49">
        <f t="shared" si="124"/>
        <v>46860</v>
      </c>
      <c r="AF97" s="49">
        <f t="shared" si="125"/>
        <v>156200</v>
      </c>
      <c r="AG97" s="49">
        <f t="shared" si="126"/>
        <v>2050.125</v>
      </c>
      <c r="AH97" s="47">
        <f t="shared" si="127"/>
        <v>30751.875</v>
      </c>
      <c r="AI97" s="41">
        <f t="shared" si="128"/>
        <v>6.0989926484335738E-2</v>
      </c>
      <c r="AJ97" s="41">
        <f t="shared" si="129"/>
        <v>3.5388847596637969E-2</v>
      </c>
      <c r="AK97" s="41">
        <f t="shared" si="95"/>
        <v>5.3675332516422092E-2</v>
      </c>
      <c r="AL97" s="42">
        <f t="shared" si="130"/>
        <v>80.506702959323178</v>
      </c>
      <c r="AM97" s="42">
        <f t="shared" si="131"/>
        <v>155.71092942520707</v>
      </c>
      <c r="AN97" s="42">
        <f t="shared" si="132"/>
        <v>2.6773326511763629</v>
      </c>
      <c r="AO97" s="44">
        <f t="shared" si="133"/>
        <v>40.159989767645456</v>
      </c>
      <c r="AP97" s="41">
        <f t="shared" si="134"/>
        <v>0.29088456772100729</v>
      </c>
      <c r="AQ97" s="41">
        <f t="shared" si="135"/>
        <v>0.18588383480909978</v>
      </c>
      <c r="AR97" s="41">
        <f t="shared" si="96"/>
        <v>0.26088435831760515</v>
      </c>
      <c r="AS97" s="42">
        <f t="shared" si="136"/>
        <v>383.96762939172964</v>
      </c>
      <c r="AT97" s="42">
        <f t="shared" si="137"/>
        <v>817.888873160039</v>
      </c>
      <c r="AU97" s="42">
        <f t="shared" si="138"/>
        <v>13.333559599795221</v>
      </c>
      <c r="AV97" s="43">
        <f t="shared" si="139"/>
        <v>200.00339399692831</v>
      </c>
      <c r="AW97" s="41">
        <f t="shared" si="140"/>
        <v>8.1443089558856319E-2</v>
      </c>
      <c r="AX97" s="41">
        <f t="shared" si="141"/>
        <v>4.9112238880035609E-2</v>
      </c>
      <c r="AY97" s="41">
        <f t="shared" si="97"/>
        <v>7.220570365062183E-2</v>
      </c>
      <c r="AZ97" s="42">
        <f t="shared" si="142"/>
        <v>107.50487821769035</v>
      </c>
      <c r="BA97" s="42">
        <f t="shared" si="143"/>
        <v>216.09385107215667</v>
      </c>
      <c r="BB97" s="42">
        <f t="shared" si="144"/>
        <v>3.6364203496228691</v>
      </c>
      <c r="BC97" s="43">
        <f t="shared" si="145"/>
        <v>54.546305244343024</v>
      </c>
      <c r="BD97" s="41">
        <f t="shared" si="146"/>
        <v>0.75744955016892113</v>
      </c>
      <c r="BE97" s="41">
        <f t="shared" si="147"/>
        <v>0.73745082773856463</v>
      </c>
      <c r="BF97" s="41">
        <f t="shared" si="98"/>
        <v>0.75173562947453354</v>
      </c>
      <c r="BG97" s="49">
        <f t="shared" si="148"/>
        <v>999.8334062229759</v>
      </c>
      <c r="BH97" s="49">
        <f t="shared" si="149"/>
        <v>3244.7836420496842</v>
      </c>
      <c r="BI97" s="49">
        <f t="shared" si="150"/>
        <v>43.082753682053429</v>
      </c>
      <c r="BJ97" s="47">
        <f t="shared" si="151"/>
        <v>646.24130523080123</v>
      </c>
      <c r="BK97" s="42">
        <f t="shared" si="152"/>
        <v>2.68</v>
      </c>
      <c r="BL97" s="42">
        <f t="shared" si="153"/>
        <v>2.68</v>
      </c>
      <c r="BM97" s="42">
        <f t="shared" si="99"/>
        <v>2.68</v>
      </c>
      <c r="BN97" s="49">
        <f t="shared" si="154"/>
        <v>3537.6000000000004</v>
      </c>
      <c r="BO97" s="49">
        <f t="shared" si="155"/>
        <v>11792</v>
      </c>
      <c r="BP97" s="49">
        <f t="shared" si="156"/>
        <v>154.77000000000001</v>
      </c>
      <c r="BQ97" s="47">
        <f t="shared" si="157"/>
        <v>2321.5500000000002</v>
      </c>
      <c r="BR97" s="21">
        <f t="shared" si="158"/>
        <v>6.1452231092498699E-2</v>
      </c>
      <c r="BS97" s="21">
        <f t="shared" si="159"/>
        <v>2.8988151364104296E-2</v>
      </c>
      <c r="BT97" s="21">
        <f t="shared" si="100"/>
        <v>5.2176779741528866E-2</v>
      </c>
      <c r="BU97" s="42">
        <f t="shared" si="160"/>
        <v>81.11694504209828</v>
      </c>
      <c r="BV97" s="42">
        <f t="shared" si="161"/>
        <v>127.5478660020589</v>
      </c>
      <c r="BW97" s="42">
        <f t="shared" si="162"/>
        <v>2.4775517145547847</v>
      </c>
      <c r="BX97" s="43">
        <f t="shared" si="163"/>
        <v>37.163275718321771</v>
      </c>
      <c r="BY97" s="49">
        <f t="shared" si="164"/>
        <v>594.65989857141892</v>
      </c>
      <c r="BZ97" s="49">
        <f t="shared" si="165"/>
        <v>348.30010899479413</v>
      </c>
      <c r="CA97" s="49">
        <f t="shared" si="101"/>
        <v>524.27138726381179</v>
      </c>
      <c r="CB97" s="49">
        <f t="shared" si="166"/>
        <v>784951.06611427292</v>
      </c>
      <c r="CC97" s="49">
        <f t="shared" si="167"/>
        <v>1532520.4795770941</v>
      </c>
      <c r="CD97" s="49">
        <f t="shared" si="168"/>
        <v>26211.736086470821</v>
      </c>
      <c r="CE97" s="47">
        <f t="shared" si="169"/>
        <v>393176.04129706242</v>
      </c>
      <c r="CF97" s="21">
        <f t="shared" si="170"/>
        <v>0.23</v>
      </c>
      <c r="CG97" s="21">
        <f t="shared" si="171"/>
        <v>0.23</v>
      </c>
      <c r="CH97" s="21">
        <f t="shared" si="102"/>
        <v>0.23</v>
      </c>
      <c r="CI97" s="42">
        <f t="shared" si="172"/>
        <v>303.60000000000002</v>
      </c>
      <c r="CJ97" s="42">
        <f t="shared" si="173"/>
        <v>1012</v>
      </c>
      <c r="CK97" s="42">
        <f t="shared" si="174"/>
        <v>13.282500000000001</v>
      </c>
      <c r="CL97" s="43">
        <f t="shared" si="175"/>
        <v>199.23750000000001</v>
      </c>
      <c r="CM97" s="21">
        <f t="shared" si="176"/>
        <v>6.7949700306537048E-2</v>
      </c>
      <c r="CN97" s="21">
        <f t="shared" si="177"/>
        <v>6.886777290285899E-2</v>
      </c>
      <c r="CO97" s="41">
        <f t="shared" si="103"/>
        <v>6.8212006762629035E-2</v>
      </c>
      <c r="CP97" s="46">
        <f t="shared" si="178"/>
        <v>89.6936044046289</v>
      </c>
      <c r="CQ97" s="46">
        <f t="shared" si="179"/>
        <v>303.01820077257958</v>
      </c>
      <c r="CR97" s="42">
        <f t="shared" si="180"/>
        <v>3.9543915883811387</v>
      </c>
      <c r="CS97" s="43">
        <f t="shared" si="181"/>
        <v>59.315873825717105</v>
      </c>
    </row>
    <row r="98" spans="1:97" ht="15.75" customHeight="1" x14ac:dyDescent="0.25">
      <c r="C98" s="1">
        <v>16</v>
      </c>
      <c r="D98" s="1">
        <f>Scenario_Info!$O$11</f>
        <v>15</v>
      </c>
      <c r="E98" s="1">
        <f>Scenario_Info!$O$12</f>
        <v>6</v>
      </c>
      <c r="F98" s="1">
        <f>Scenario_Info!$O$14/100</f>
        <v>0.11599999999999999</v>
      </c>
      <c r="G98" s="426">
        <f t="shared" si="104"/>
        <v>9.2495614373408717E-3</v>
      </c>
      <c r="H98" s="21">
        <f t="shared" si="105"/>
        <v>5.1099125190910743E-3</v>
      </c>
      <c r="I98" s="21">
        <f t="shared" si="91"/>
        <v>8.0668046035552148E-3</v>
      </c>
      <c r="J98" s="42">
        <f t="shared" si="106"/>
        <v>12.209421097289951</v>
      </c>
      <c r="K98" s="42">
        <f t="shared" si="107"/>
        <v>22.483615084000725</v>
      </c>
      <c r="L98" s="42">
        <f t="shared" si="108"/>
        <v>0.39755375870419202</v>
      </c>
      <c r="M98" s="43">
        <f t="shared" si="109"/>
        <v>6.3608601392670741</v>
      </c>
      <c r="N98" s="21">
        <f t="shared" si="110"/>
        <v>7.1314374635136416E-2</v>
      </c>
      <c r="O98" s="21">
        <f t="shared" si="111"/>
        <v>5.862609064839882E-2</v>
      </c>
      <c r="P98" s="21">
        <f t="shared" si="92"/>
        <v>6.768915063892568E-2</v>
      </c>
      <c r="Q98" s="42">
        <f t="shared" si="112"/>
        <v>94.134974518380062</v>
      </c>
      <c r="R98" s="42">
        <f t="shared" si="113"/>
        <v>257.95479885295481</v>
      </c>
      <c r="S98" s="42">
        <f t="shared" si="114"/>
        <v>3.6996917636167872</v>
      </c>
      <c r="T98" s="43">
        <f t="shared" si="115"/>
        <v>59.195068217868567</v>
      </c>
      <c r="U98" s="21">
        <f t="shared" si="116"/>
        <v>5.4977507945551023E-3</v>
      </c>
      <c r="V98" s="21">
        <f t="shared" si="117"/>
        <v>4.5373688807934442E-3</v>
      </c>
      <c r="W98" s="21">
        <f t="shared" si="93"/>
        <v>5.2233559620517714E-3</v>
      </c>
      <c r="X98" s="42">
        <f t="shared" si="118"/>
        <v>7.2570310488127348</v>
      </c>
      <c r="Y98" s="42">
        <f t="shared" si="119"/>
        <v>19.964423075491155</v>
      </c>
      <c r="Z98" s="42">
        <f t="shared" si="120"/>
        <v>0.28580250523142242</v>
      </c>
      <c r="AA98" s="43">
        <f t="shared" si="121"/>
        <v>4.5728400837027587</v>
      </c>
      <c r="AB98" s="46">
        <f t="shared" si="122"/>
        <v>35.5</v>
      </c>
      <c r="AC98" s="46">
        <f t="shared" si="123"/>
        <v>35.5</v>
      </c>
      <c r="AD98" s="46">
        <f t="shared" si="94"/>
        <v>35.5</v>
      </c>
      <c r="AE98" s="49">
        <f t="shared" si="124"/>
        <v>46860</v>
      </c>
      <c r="AF98" s="49">
        <f t="shared" si="125"/>
        <v>156200</v>
      </c>
      <c r="AG98" s="49">
        <f t="shared" si="126"/>
        <v>2050.125</v>
      </c>
      <c r="AH98" s="47">
        <f t="shared" si="127"/>
        <v>32802</v>
      </c>
      <c r="AI98" s="41">
        <f t="shared" si="128"/>
        <v>6.0989926484335738E-2</v>
      </c>
      <c r="AJ98" s="41">
        <f t="shared" si="129"/>
        <v>3.5388847596637969E-2</v>
      </c>
      <c r="AK98" s="41">
        <f t="shared" si="95"/>
        <v>5.3675332516422092E-2</v>
      </c>
      <c r="AL98" s="42">
        <f t="shared" si="130"/>
        <v>80.506702959323178</v>
      </c>
      <c r="AM98" s="42">
        <f t="shared" si="131"/>
        <v>155.71092942520707</v>
      </c>
      <c r="AN98" s="42">
        <f t="shared" si="132"/>
        <v>2.6773326511763629</v>
      </c>
      <c r="AO98" s="44">
        <f t="shared" si="133"/>
        <v>42.83732241882182</v>
      </c>
      <c r="AP98" s="41">
        <f t="shared" si="134"/>
        <v>0.29088456772100729</v>
      </c>
      <c r="AQ98" s="41">
        <f t="shared" si="135"/>
        <v>0.18588383480909978</v>
      </c>
      <c r="AR98" s="41">
        <f t="shared" si="96"/>
        <v>0.26088435831760515</v>
      </c>
      <c r="AS98" s="42">
        <f t="shared" si="136"/>
        <v>383.96762939172964</v>
      </c>
      <c r="AT98" s="42">
        <f t="shared" si="137"/>
        <v>817.888873160039</v>
      </c>
      <c r="AU98" s="42">
        <f t="shared" si="138"/>
        <v>13.333559599795221</v>
      </c>
      <c r="AV98" s="43">
        <f t="shared" si="139"/>
        <v>213.33695359672353</v>
      </c>
      <c r="AW98" s="41">
        <f t="shared" si="140"/>
        <v>8.1443089558856319E-2</v>
      </c>
      <c r="AX98" s="41">
        <f t="shared" si="141"/>
        <v>4.9112238880035609E-2</v>
      </c>
      <c r="AY98" s="41">
        <f t="shared" si="97"/>
        <v>7.220570365062183E-2</v>
      </c>
      <c r="AZ98" s="42">
        <f t="shared" si="142"/>
        <v>107.50487821769035</v>
      </c>
      <c r="BA98" s="42">
        <f t="shared" si="143"/>
        <v>216.09385107215667</v>
      </c>
      <c r="BB98" s="42">
        <f t="shared" si="144"/>
        <v>3.6364203496228691</v>
      </c>
      <c r="BC98" s="43">
        <f t="shared" si="145"/>
        <v>58.182725593965891</v>
      </c>
      <c r="BD98" s="41">
        <f t="shared" si="146"/>
        <v>0.75744955016892113</v>
      </c>
      <c r="BE98" s="41">
        <f t="shared" si="147"/>
        <v>0.73745082773856463</v>
      </c>
      <c r="BF98" s="41">
        <f t="shared" si="98"/>
        <v>0.75173562947453354</v>
      </c>
      <c r="BG98" s="49">
        <f t="shared" si="148"/>
        <v>999.8334062229759</v>
      </c>
      <c r="BH98" s="49">
        <f t="shared" si="149"/>
        <v>3244.7836420496842</v>
      </c>
      <c r="BI98" s="49">
        <f t="shared" si="150"/>
        <v>43.082753682053429</v>
      </c>
      <c r="BJ98" s="47">
        <f t="shared" si="151"/>
        <v>689.32405891285464</v>
      </c>
      <c r="BK98" s="42">
        <f t="shared" si="152"/>
        <v>2.68</v>
      </c>
      <c r="BL98" s="42">
        <f t="shared" si="153"/>
        <v>2.68</v>
      </c>
      <c r="BM98" s="42">
        <f t="shared" si="99"/>
        <v>2.68</v>
      </c>
      <c r="BN98" s="49">
        <f t="shared" si="154"/>
        <v>3537.6000000000004</v>
      </c>
      <c r="BO98" s="49">
        <f t="shared" si="155"/>
        <v>11792</v>
      </c>
      <c r="BP98" s="49">
        <f t="shared" si="156"/>
        <v>154.77000000000001</v>
      </c>
      <c r="BQ98" s="47">
        <f t="shared" si="157"/>
        <v>2476.3200000000002</v>
      </c>
      <c r="BR98" s="21">
        <f t="shared" si="158"/>
        <v>6.1452231092498699E-2</v>
      </c>
      <c r="BS98" s="21">
        <f t="shared" si="159"/>
        <v>2.8988151364104296E-2</v>
      </c>
      <c r="BT98" s="21">
        <f t="shared" si="100"/>
        <v>5.2176779741528866E-2</v>
      </c>
      <c r="BU98" s="42">
        <f t="shared" si="160"/>
        <v>81.11694504209828</v>
      </c>
      <c r="BV98" s="42">
        <f t="shared" si="161"/>
        <v>127.5478660020589</v>
      </c>
      <c r="BW98" s="42">
        <f t="shared" si="162"/>
        <v>2.4775517145547847</v>
      </c>
      <c r="BX98" s="43">
        <f t="shared" si="163"/>
        <v>39.640827432876556</v>
      </c>
      <c r="BY98" s="49">
        <f t="shared" si="164"/>
        <v>594.65989857141892</v>
      </c>
      <c r="BZ98" s="49">
        <f t="shared" si="165"/>
        <v>348.30010899479413</v>
      </c>
      <c r="CA98" s="49">
        <f t="shared" si="101"/>
        <v>524.27138726381179</v>
      </c>
      <c r="CB98" s="49">
        <f t="shared" si="166"/>
        <v>784951.06611427292</v>
      </c>
      <c r="CC98" s="49">
        <f t="shared" si="167"/>
        <v>1532520.4795770941</v>
      </c>
      <c r="CD98" s="49">
        <f t="shared" si="168"/>
        <v>26211.736086470821</v>
      </c>
      <c r="CE98" s="47">
        <f t="shared" si="169"/>
        <v>419387.77738353325</v>
      </c>
      <c r="CF98" s="21">
        <f t="shared" si="170"/>
        <v>0.23</v>
      </c>
      <c r="CG98" s="21">
        <f t="shared" si="171"/>
        <v>0.23</v>
      </c>
      <c r="CH98" s="21">
        <f t="shared" si="102"/>
        <v>0.23</v>
      </c>
      <c r="CI98" s="42">
        <f t="shared" si="172"/>
        <v>303.60000000000002</v>
      </c>
      <c r="CJ98" s="42">
        <f t="shared" si="173"/>
        <v>1012</v>
      </c>
      <c r="CK98" s="42">
        <f t="shared" si="174"/>
        <v>13.282500000000001</v>
      </c>
      <c r="CL98" s="43">
        <f t="shared" si="175"/>
        <v>212.52</v>
      </c>
      <c r="CM98" s="21">
        <f t="shared" si="176"/>
        <v>6.7949700306537048E-2</v>
      </c>
      <c r="CN98" s="21">
        <f t="shared" si="177"/>
        <v>6.886777290285899E-2</v>
      </c>
      <c r="CO98" s="41">
        <f t="shared" si="103"/>
        <v>6.8212006762629035E-2</v>
      </c>
      <c r="CP98" s="46">
        <f t="shared" si="178"/>
        <v>89.6936044046289</v>
      </c>
      <c r="CQ98" s="46">
        <f t="shared" si="179"/>
        <v>303.01820077257958</v>
      </c>
      <c r="CR98" s="42">
        <f t="shared" si="180"/>
        <v>3.9543915883811387</v>
      </c>
      <c r="CS98" s="43">
        <f t="shared" si="181"/>
        <v>63.270265414098247</v>
      </c>
    </row>
    <row r="99" spans="1:97" ht="15.75" customHeight="1" x14ac:dyDescent="0.25">
      <c r="C99" s="1">
        <v>17</v>
      </c>
      <c r="D99" s="1">
        <f>Scenario_Info!$O$11</f>
        <v>15</v>
      </c>
      <c r="E99" s="1">
        <f>Scenario_Info!$O$12</f>
        <v>6</v>
      </c>
      <c r="F99" s="1">
        <f>Scenario_Info!$O$14/100</f>
        <v>0.11599999999999999</v>
      </c>
      <c r="G99" s="426">
        <f t="shared" si="104"/>
        <v>9.2495614373408717E-3</v>
      </c>
      <c r="H99" s="21">
        <f t="shared" si="105"/>
        <v>5.1099125190910743E-3</v>
      </c>
      <c r="I99" s="21">
        <f t="shared" si="91"/>
        <v>8.0668046035552148E-3</v>
      </c>
      <c r="J99" s="42">
        <f t="shared" si="106"/>
        <v>12.209421097289951</v>
      </c>
      <c r="K99" s="42">
        <f t="shared" si="107"/>
        <v>22.483615084000725</v>
      </c>
      <c r="L99" s="42">
        <f t="shared" si="108"/>
        <v>0.39755375870419202</v>
      </c>
      <c r="M99" s="43">
        <f t="shared" si="109"/>
        <v>6.7584138979712662</v>
      </c>
      <c r="N99" s="21">
        <f t="shared" si="110"/>
        <v>7.1314374635136416E-2</v>
      </c>
      <c r="O99" s="21">
        <f t="shared" si="111"/>
        <v>5.862609064839882E-2</v>
      </c>
      <c r="P99" s="21">
        <f t="shared" si="92"/>
        <v>6.768915063892568E-2</v>
      </c>
      <c r="Q99" s="42">
        <f t="shared" si="112"/>
        <v>94.134974518380062</v>
      </c>
      <c r="R99" s="42">
        <f t="shared" si="113"/>
        <v>257.95479885295481</v>
      </c>
      <c r="S99" s="42">
        <f t="shared" si="114"/>
        <v>3.6996917636167872</v>
      </c>
      <c r="T99" s="43">
        <f t="shared" si="115"/>
        <v>62.89475998148535</v>
      </c>
      <c r="U99" s="21">
        <f t="shared" si="116"/>
        <v>5.4977507945551023E-3</v>
      </c>
      <c r="V99" s="21">
        <f t="shared" si="117"/>
        <v>4.5373688807934442E-3</v>
      </c>
      <c r="W99" s="21">
        <f t="shared" si="93"/>
        <v>5.2233559620517714E-3</v>
      </c>
      <c r="X99" s="42">
        <f t="shared" si="118"/>
        <v>7.2570310488127348</v>
      </c>
      <c r="Y99" s="42">
        <f t="shared" si="119"/>
        <v>19.964423075491155</v>
      </c>
      <c r="Z99" s="42">
        <f t="shared" si="120"/>
        <v>0.28580250523142242</v>
      </c>
      <c r="AA99" s="43">
        <f t="shared" si="121"/>
        <v>4.8586425889341811</v>
      </c>
      <c r="AB99" s="46">
        <f t="shared" si="122"/>
        <v>35.5</v>
      </c>
      <c r="AC99" s="46">
        <f t="shared" si="123"/>
        <v>35.5</v>
      </c>
      <c r="AD99" s="46">
        <f t="shared" si="94"/>
        <v>35.5</v>
      </c>
      <c r="AE99" s="49">
        <f t="shared" si="124"/>
        <v>46860</v>
      </c>
      <c r="AF99" s="49">
        <f t="shared" si="125"/>
        <v>156200</v>
      </c>
      <c r="AG99" s="49">
        <f t="shared" si="126"/>
        <v>2050.125</v>
      </c>
      <c r="AH99" s="47">
        <f t="shared" si="127"/>
        <v>34852.125</v>
      </c>
      <c r="AI99" s="41">
        <f t="shared" si="128"/>
        <v>6.0989926484335738E-2</v>
      </c>
      <c r="AJ99" s="41">
        <f t="shared" si="129"/>
        <v>3.5388847596637969E-2</v>
      </c>
      <c r="AK99" s="41">
        <f t="shared" si="95"/>
        <v>5.3675332516422092E-2</v>
      </c>
      <c r="AL99" s="42">
        <f t="shared" si="130"/>
        <v>80.506702959323178</v>
      </c>
      <c r="AM99" s="42">
        <f t="shared" si="131"/>
        <v>155.71092942520707</v>
      </c>
      <c r="AN99" s="42">
        <f t="shared" si="132"/>
        <v>2.6773326511763629</v>
      </c>
      <c r="AO99" s="44">
        <f t="shared" si="133"/>
        <v>45.514655069998184</v>
      </c>
      <c r="AP99" s="41">
        <f t="shared" si="134"/>
        <v>0.29088456772100729</v>
      </c>
      <c r="AQ99" s="41">
        <f t="shared" si="135"/>
        <v>0.18588383480909978</v>
      </c>
      <c r="AR99" s="41">
        <f t="shared" si="96"/>
        <v>0.26088435831760515</v>
      </c>
      <c r="AS99" s="42">
        <f t="shared" si="136"/>
        <v>383.96762939172964</v>
      </c>
      <c r="AT99" s="42">
        <f t="shared" si="137"/>
        <v>817.888873160039</v>
      </c>
      <c r="AU99" s="42">
        <f t="shared" si="138"/>
        <v>13.333559599795221</v>
      </c>
      <c r="AV99" s="43">
        <f t="shared" si="139"/>
        <v>226.67051319651875</v>
      </c>
      <c r="AW99" s="41">
        <f t="shared" si="140"/>
        <v>8.1443089558856319E-2</v>
      </c>
      <c r="AX99" s="41">
        <f t="shared" si="141"/>
        <v>4.9112238880035609E-2</v>
      </c>
      <c r="AY99" s="41">
        <f t="shared" si="97"/>
        <v>7.220570365062183E-2</v>
      </c>
      <c r="AZ99" s="42">
        <f t="shared" si="142"/>
        <v>107.50487821769035</v>
      </c>
      <c r="BA99" s="42">
        <f t="shared" si="143"/>
        <v>216.09385107215667</v>
      </c>
      <c r="BB99" s="42">
        <f t="shared" si="144"/>
        <v>3.6364203496228691</v>
      </c>
      <c r="BC99" s="43">
        <f t="shared" si="145"/>
        <v>61.819145943588758</v>
      </c>
      <c r="BD99" s="41">
        <f t="shared" si="146"/>
        <v>0.75744955016892113</v>
      </c>
      <c r="BE99" s="41">
        <f t="shared" si="147"/>
        <v>0.73745082773856463</v>
      </c>
      <c r="BF99" s="41">
        <f t="shared" si="98"/>
        <v>0.75173562947453354</v>
      </c>
      <c r="BG99" s="49">
        <f t="shared" si="148"/>
        <v>999.8334062229759</v>
      </c>
      <c r="BH99" s="49">
        <f t="shared" si="149"/>
        <v>3244.7836420496842</v>
      </c>
      <c r="BI99" s="49">
        <f t="shared" si="150"/>
        <v>43.082753682053429</v>
      </c>
      <c r="BJ99" s="47">
        <f t="shared" si="151"/>
        <v>732.40681259490805</v>
      </c>
      <c r="BK99" s="42">
        <f t="shared" si="152"/>
        <v>2.68</v>
      </c>
      <c r="BL99" s="42">
        <f t="shared" si="153"/>
        <v>2.68</v>
      </c>
      <c r="BM99" s="42">
        <f t="shared" si="99"/>
        <v>2.68</v>
      </c>
      <c r="BN99" s="49">
        <f t="shared" si="154"/>
        <v>3537.6000000000004</v>
      </c>
      <c r="BO99" s="49">
        <f t="shared" si="155"/>
        <v>11792</v>
      </c>
      <c r="BP99" s="49">
        <f t="shared" si="156"/>
        <v>154.77000000000001</v>
      </c>
      <c r="BQ99" s="47">
        <f t="shared" si="157"/>
        <v>2631.09</v>
      </c>
      <c r="BR99" s="21">
        <f t="shared" si="158"/>
        <v>6.1452231092498699E-2</v>
      </c>
      <c r="BS99" s="21">
        <f t="shared" si="159"/>
        <v>2.8988151364104296E-2</v>
      </c>
      <c r="BT99" s="21">
        <f t="shared" si="100"/>
        <v>5.2176779741528866E-2</v>
      </c>
      <c r="BU99" s="42">
        <f t="shared" si="160"/>
        <v>81.11694504209828</v>
      </c>
      <c r="BV99" s="42">
        <f t="shared" si="161"/>
        <v>127.5478660020589</v>
      </c>
      <c r="BW99" s="42">
        <f t="shared" si="162"/>
        <v>2.4775517145547847</v>
      </c>
      <c r="BX99" s="43">
        <f t="shared" si="163"/>
        <v>42.118379147431341</v>
      </c>
      <c r="BY99" s="49">
        <f t="shared" si="164"/>
        <v>594.65989857141892</v>
      </c>
      <c r="BZ99" s="49">
        <f t="shared" si="165"/>
        <v>348.30010899479413</v>
      </c>
      <c r="CA99" s="49">
        <f t="shared" si="101"/>
        <v>524.27138726381179</v>
      </c>
      <c r="CB99" s="49">
        <f t="shared" si="166"/>
        <v>784951.06611427292</v>
      </c>
      <c r="CC99" s="49">
        <f t="shared" si="167"/>
        <v>1532520.4795770941</v>
      </c>
      <c r="CD99" s="49">
        <f t="shared" si="168"/>
        <v>26211.736086470821</v>
      </c>
      <c r="CE99" s="47">
        <f t="shared" si="169"/>
        <v>445599.51347000408</v>
      </c>
      <c r="CF99" s="21">
        <f t="shared" si="170"/>
        <v>0.23</v>
      </c>
      <c r="CG99" s="21">
        <f t="shared" si="171"/>
        <v>0.23</v>
      </c>
      <c r="CH99" s="21">
        <f t="shared" si="102"/>
        <v>0.23</v>
      </c>
      <c r="CI99" s="42">
        <f t="shared" si="172"/>
        <v>303.60000000000002</v>
      </c>
      <c r="CJ99" s="42">
        <f t="shared" si="173"/>
        <v>1012</v>
      </c>
      <c r="CK99" s="42">
        <f t="shared" si="174"/>
        <v>13.282500000000001</v>
      </c>
      <c r="CL99" s="43">
        <f t="shared" si="175"/>
        <v>225.80250000000001</v>
      </c>
      <c r="CM99" s="21">
        <f t="shared" si="176"/>
        <v>6.7949700306537048E-2</v>
      </c>
      <c r="CN99" s="21">
        <f t="shared" si="177"/>
        <v>6.886777290285899E-2</v>
      </c>
      <c r="CO99" s="41">
        <f t="shared" si="103"/>
        <v>6.8212006762629035E-2</v>
      </c>
      <c r="CP99" s="46">
        <f t="shared" si="178"/>
        <v>89.6936044046289</v>
      </c>
      <c r="CQ99" s="46">
        <f t="shared" si="179"/>
        <v>303.01820077257958</v>
      </c>
      <c r="CR99" s="42">
        <f t="shared" si="180"/>
        <v>3.9543915883811387</v>
      </c>
      <c r="CS99" s="43">
        <f t="shared" si="181"/>
        <v>67.22465700247939</v>
      </c>
    </row>
    <row r="100" spans="1:97" ht="15.75" customHeight="1" x14ac:dyDescent="0.25">
      <c r="C100" s="1">
        <v>18</v>
      </c>
      <c r="D100" s="1">
        <f>Scenario_Info!$O$11</f>
        <v>15</v>
      </c>
      <c r="E100" s="1">
        <f>Scenario_Info!$O$12</f>
        <v>6</v>
      </c>
      <c r="F100" s="1">
        <f>Scenario_Info!$O$14/100</f>
        <v>0.11599999999999999</v>
      </c>
      <c r="G100" s="426">
        <f t="shared" si="104"/>
        <v>9.2495614373408717E-3</v>
      </c>
      <c r="H100" s="21">
        <f t="shared" si="105"/>
        <v>5.1099125190910743E-3</v>
      </c>
      <c r="I100" s="21">
        <f t="shared" si="91"/>
        <v>8.0668046035552148E-3</v>
      </c>
      <c r="J100" s="42">
        <f t="shared" si="106"/>
        <v>12.209421097289951</v>
      </c>
      <c r="K100" s="42">
        <f t="shared" si="107"/>
        <v>22.483615084000725</v>
      </c>
      <c r="L100" s="42">
        <f t="shared" si="108"/>
        <v>0.39755375870419202</v>
      </c>
      <c r="M100" s="43">
        <f t="shared" si="109"/>
        <v>7.1559676566754584</v>
      </c>
      <c r="N100" s="21">
        <f t="shared" si="110"/>
        <v>7.1314374635136416E-2</v>
      </c>
      <c r="O100" s="21">
        <f t="shared" si="111"/>
        <v>5.862609064839882E-2</v>
      </c>
      <c r="P100" s="21">
        <f t="shared" si="92"/>
        <v>6.768915063892568E-2</v>
      </c>
      <c r="Q100" s="42">
        <f t="shared" si="112"/>
        <v>94.134974518380062</v>
      </c>
      <c r="R100" s="42">
        <f t="shared" si="113"/>
        <v>257.95479885295481</v>
      </c>
      <c r="S100" s="42">
        <f t="shared" si="114"/>
        <v>3.6996917636167872</v>
      </c>
      <c r="T100" s="43">
        <f t="shared" si="115"/>
        <v>66.594451745102134</v>
      </c>
      <c r="U100" s="21">
        <f t="shared" si="116"/>
        <v>5.4977507945551023E-3</v>
      </c>
      <c r="V100" s="21">
        <f t="shared" si="117"/>
        <v>4.5373688807934442E-3</v>
      </c>
      <c r="W100" s="21">
        <f t="shared" si="93"/>
        <v>5.2233559620517714E-3</v>
      </c>
      <c r="X100" s="42">
        <f t="shared" si="118"/>
        <v>7.2570310488127348</v>
      </c>
      <c r="Y100" s="42">
        <f t="shared" si="119"/>
        <v>19.964423075491155</v>
      </c>
      <c r="Z100" s="42">
        <f t="shared" si="120"/>
        <v>0.28580250523142242</v>
      </c>
      <c r="AA100" s="43">
        <f t="shared" si="121"/>
        <v>5.1444450941656035</v>
      </c>
      <c r="AB100" s="46">
        <f t="shared" si="122"/>
        <v>35.5</v>
      </c>
      <c r="AC100" s="46">
        <f t="shared" si="123"/>
        <v>35.5</v>
      </c>
      <c r="AD100" s="46">
        <f t="shared" si="94"/>
        <v>35.5</v>
      </c>
      <c r="AE100" s="49">
        <f t="shared" si="124"/>
        <v>46860</v>
      </c>
      <c r="AF100" s="49">
        <f t="shared" si="125"/>
        <v>156200</v>
      </c>
      <c r="AG100" s="49">
        <f t="shared" si="126"/>
        <v>2050.125</v>
      </c>
      <c r="AH100" s="47">
        <f t="shared" si="127"/>
        <v>36902.25</v>
      </c>
      <c r="AI100" s="41">
        <f t="shared" si="128"/>
        <v>6.0989926484335738E-2</v>
      </c>
      <c r="AJ100" s="41">
        <f t="shared" si="129"/>
        <v>3.5388847596637969E-2</v>
      </c>
      <c r="AK100" s="41">
        <f t="shared" si="95"/>
        <v>5.3675332516422092E-2</v>
      </c>
      <c r="AL100" s="42">
        <f t="shared" si="130"/>
        <v>80.506702959323178</v>
      </c>
      <c r="AM100" s="42">
        <f t="shared" si="131"/>
        <v>155.71092942520707</v>
      </c>
      <c r="AN100" s="42">
        <f t="shared" si="132"/>
        <v>2.6773326511763629</v>
      </c>
      <c r="AO100" s="44">
        <f t="shared" si="133"/>
        <v>48.191987721174549</v>
      </c>
      <c r="AP100" s="41">
        <f t="shared" si="134"/>
        <v>0.29088456772100729</v>
      </c>
      <c r="AQ100" s="41">
        <f t="shared" si="135"/>
        <v>0.18588383480909978</v>
      </c>
      <c r="AR100" s="41">
        <f t="shared" si="96"/>
        <v>0.26088435831760515</v>
      </c>
      <c r="AS100" s="42">
        <f t="shared" si="136"/>
        <v>383.96762939172964</v>
      </c>
      <c r="AT100" s="42">
        <f t="shared" si="137"/>
        <v>817.888873160039</v>
      </c>
      <c r="AU100" s="42">
        <f t="shared" si="138"/>
        <v>13.333559599795221</v>
      </c>
      <c r="AV100" s="43">
        <f t="shared" si="139"/>
        <v>240.00407279631398</v>
      </c>
      <c r="AW100" s="41">
        <f t="shared" si="140"/>
        <v>8.1443089558856319E-2</v>
      </c>
      <c r="AX100" s="41">
        <f t="shared" si="141"/>
        <v>4.9112238880035609E-2</v>
      </c>
      <c r="AY100" s="41">
        <f t="shared" si="97"/>
        <v>7.220570365062183E-2</v>
      </c>
      <c r="AZ100" s="42">
        <f t="shared" si="142"/>
        <v>107.50487821769035</v>
      </c>
      <c r="BA100" s="42">
        <f t="shared" si="143"/>
        <v>216.09385107215667</v>
      </c>
      <c r="BB100" s="42">
        <f t="shared" si="144"/>
        <v>3.6364203496228691</v>
      </c>
      <c r="BC100" s="43">
        <f t="shared" si="145"/>
        <v>65.455566293211632</v>
      </c>
      <c r="BD100" s="41">
        <f t="shared" si="146"/>
        <v>0.75744955016892113</v>
      </c>
      <c r="BE100" s="41">
        <f t="shared" si="147"/>
        <v>0.73745082773856463</v>
      </c>
      <c r="BF100" s="41">
        <f t="shared" si="98"/>
        <v>0.75173562947453354</v>
      </c>
      <c r="BG100" s="49">
        <f t="shared" si="148"/>
        <v>999.8334062229759</v>
      </c>
      <c r="BH100" s="49">
        <f t="shared" si="149"/>
        <v>3244.7836420496842</v>
      </c>
      <c r="BI100" s="49">
        <f t="shared" si="150"/>
        <v>43.082753682053429</v>
      </c>
      <c r="BJ100" s="47">
        <f t="shared" si="151"/>
        <v>775.48956627696145</v>
      </c>
      <c r="BK100" s="42">
        <f t="shared" si="152"/>
        <v>2.68</v>
      </c>
      <c r="BL100" s="42">
        <f t="shared" si="153"/>
        <v>2.68</v>
      </c>
      <c r="BM100" s="42">
        <f t="shared" si="99"/>
        <v>2.68</v>
      </c>
      <c r="BN100" s="49">
        <f t="shared" si="154"/>
        <v>3537.6000000000004</v>
      </c>
      <c r="BO100" s="49">
        <f t="shared" si="155"/>
        <v>11792</v>
      </c>
      <c r="BP100" s="49">
        <f t="shared" si="156"/>
        <v>154.77000000000001</v>
      </c>
      <c r="BQ100" s="47">
        <f t="shared" si="157"/>
        <v>2785.86</v>
      </c>
      <c r="BR100" s="21">
        <f t="shared" si="158"/>
        <v>6.1452231092498699E-2</v>
      </c>
      <c r="BS100" s="21">
        <f t="shared" si="159"/>
        <v>2.8988151364104296E-2</v>
      </c>
      <c r="BT100" s="21">
        <f t="shared" si="100"/>
        <v>5.2176779741528866E-2</v>
      </c>
      <c r="BU100" s="42">
        <f t="shared" si="160"/>
        <v>81.11694504209828</v>
      </c>
      <c r="BV100" s="42">
        <f t="shared" si="161"/>
        <v>127.5478660020589</v>
      </c>
      <c r="BW100" s="42">
        <f t="shared" si="162"/>
        <v>2.4775517145547847</v>
      </c>
      <c r="BX100" s="43">
        <f t="shared" si="163"/>
        <v>44.595930861986126</v>
      </c>
      <c r="BY100" s="49">
        <f t="shared" si="164"/>
        <v>594.65989857141892</v>
      </c>
      <c r="BZ100" s="49">
        <f t="shared" si="165"/>
        <v>348.30010899479413</v>
      </c>
      <c r="CA100" s="49">
        <f t="shared" si="101"/>
        <v>524.27138726381179</v>
      </c>
      <c r="CB100" s="49">
        <f t="shared" si="166"/>
        <v>784951.06611427292</v>
      </c>
      <c r="CC100" s="49">
        <f t="shared" si="167"/>
        <v>1532520.4795770941</v>
      </c>
      <c r="CD100" s="49">
        <f t="shared" si="168"/>
        <v>26211.736086470821</v>
      </c>
      <c r="CE100" s="47">
        <f t="shared" si="169"/>
        <v>471811.24955647491</v>
      </c>
      <c r="CF100" s="21">
        <f t="shared" si="170"/>
        <v>0.23</v>
      </c>
      <c r="CG100" s="21">
        <f t="shared" si="171"/>
        <v>0.23</v>
      </c>
      <c r="CH100" s="21">
        <f t="shared" si="102"/>
        <v>0.23</v>
      </c>
      <c r="CI100" s="42">
        <f t="shared" si="172"/>
        <v>303.60000000000002</v>
      </c>
      <c r="CJ100" s="42">
        <f t="shared" si="173"/>
        <v>1012</v>
      </c>
      <c r="CK100" s="42">
        <f t="shared" si="174"/>
        <v>13.282500000000001</v>
      </c>
      <c r="CL100" s="43">
        <f t="shared" si="175"/>
        <v>239.08500000000001</v>
      </c>
      <c r="CM100" s="21">
        <f t="shared" si="176"/>
        <v>6.7949700306537048E-2</v>
      </c>
      <c r="CN100" s="21">
        <f t="shared" si="177"/>
        <v>6.886777290285899E-2</v>
      </c>
      <c r="CO100" s="41">
        <f t="shared" si="103"/>
        <v>6.8212006762629035E-2</v>
      </c>
      <c r="CP100" s="46">
        <f t="shared" si="178"/>
        <v>89.6936044046289</v>
      </c>
      <c r="CQ100" s="46">
        <f t="shared" si="179"/>
        <v>303.01820077257958</v>
      </c>
      <c r="CR100" s="42">
        <f t="shared" si="180"/>
        <v>3.9543915883811387</v>
      </c>
      <c r="CS100" s="43">
        <f t="shared" si="181"/>
        <v>71.179048590860532</v>
      </c>
    </row>
    <row r="101" spans="1:97" ht="15.75" customHeight="1" x14ac:dyDescent="0.25">
      <c r="C101" s="1">
        <v>19</v>
      </c>
      <c r="D101" s="1">
        <f>Scenario_Info!$O$11</f>
        <v>15</v>
      </c>
      <c r="E101" s="1">
        <f>Scenario_Info!$O$12</f>
        <v>6</v>
      </c>
      <c r="F101" s="1">
        <f>Scenario_Info!$O$14/100</f>
        <v>0.11599999999999999</v>
      </c>
      <c r="G101" s="426">
        <f t="shared" si="104"/>
        <v>9.2495614373408717E-3</v>
      </c>
      <c r="H101" s="21">
        <f t="shared" si="105"/>
        <v>5.1099125190910743E-3</v>
      </c>
      <c r="I101" s="21">
        <f t="shared" si="91"/>
        <v>8.0668046035552148E-3</v>
      </c>
      <c r="J101" s="42">
        <f t="shared" si="106"/>
        <v>12.209421097289951</v>
      </c>
      <c r="K101" s="42">
        <f t="shared" si="107"/>
        <v>22.483615084000725</v>
      </c>
      <c r="L101" s="42">
        <f t="shared" si="108"/>
        <v>0.39755375870419202</v>
      </c>
      <c r="M101" s="43">
        <f t="shared" si="109"/>
        <v>7.5535214153796506</v>
      </c>
      <c r="N101" s="21">
        <f t="shared" si="110"/>
        <v>7.1314374635136416E-2</v>
      </c>
      <c r="O101" s="21">
        <f t="shared" si="111"/>
        <v>5.862609064839882E-2</v>
      </c>
      <c r="P101" s="21">
        <f t="shared" si="92"/>
        <v>6.768915063892568E-2</v>
      </c>
      <c r="Q101" s="42">
        <f t="shared" si="112"/>
        <v>94.134974518380062</v>
      </c>
      <c r="R101" s="42">
        <f t="shared" si="113"/>
        <v>257.95479885295481</v>
      </c>
      <c r="S101" s="42">
        <f t="shared" si="114"/>
        <v>3.6996917636167872</v>
      </c>
      <c r="T101" s="43">
        <f t="shared" si="115"/>
        <v>70.294143508718918</v>
      </c>
      <c r="U101" s="21">
        <f t="shared" si="116"/>
        <v>5.4977507945551023E-3</v>
      </c>
      <c r="V101" s="21">
        <f t="shared" si="117"/>
        <v>4.5373688807934442E-3</v>
      </c>
      <c r="W101" s="21">
        <f t="shared" si="93"/>
        <v>5.2233559620517714E-3</v>
      </c>
      <c r="X101" s="42">
        <f t="shared" si="118"/>
        <v>7.2570310488127348</v>
      </c>
      <c r="Y101" s="42">
        <f t="shared" si="119"/>
        <v>19.964423075491155</v>
      </c>
      <c r="Z101" s="42">
        <f t="shared" si="120"/>
        <v>0.28580250523142242</v>
      </c>
      <c r="AA101" s="43">
        <f t="shared" si="121"/>
        <v>5.4302475993970258</v>
      </c>
      <c r="AB101" s="46">
        <f t="shared" si="122"/>
        <v>35.5</v>
      </c>
      <c r="AC101" s="46">
        <f t="shared" si="123"/>
        <v>35.5</v>
      </c>
      <c r="AD101" s="46">
        <f t="shared" si="94"/>
        <v>35.5</v>
      </c>
      <c r="AE101" s="49">
        <f t="shared" si="124"/>
        <v>46860</v>
      </c>
      <c r="AF101" s="49">
        <f t="shared" si="125"/>
        <v>156200</v>
      </c>
      <c r="AG101" s="49">
        <f t="shared" si="126"/>
        <v>2050.125</v>
      </c>
      <c r="AH101" s="47">
        <f t="shared" si="127"/>
        <v>38952.375</v>
      </c>
      <c r="AI101" s="41">
        <f t="shared" si="128"/>
        <v>6.0989926484335738E-2</v>
      </c>
      <c r="AJ101" s="41">
        <f t="shared" si="129"/>
        <v>3.5388847596637969E-2</v>
      </c>
      <c r="AK101" s="41">
        <f t="shared" si="95"/>
        <v>5.3675332516422092E-2</v>
      </c>
      <c r="AL101" s="42">
        <f t="shared" si="130"/>
        <v>80.506702959323178</v>
      </c>
      <c r="AM101" s="42">
        <f t="shared" si="131"/>
        <v>155.71092942520707</v>
      </c>
      <c r="AN101" s="42">
        <f t="shared" si="132"/>
        <v>2.6773326511763629</v>
      </c>
      <c r="AO101" s="44">
        <f t="shared" si="133"/>
        <v>50.869320372350913</v>
      </c>
      <c r="AP101" s="41">
        <f t="shared" si="134"/>
        <v>0.29088456772100729</v>
      </c>
      <c r="AQ101" s="41">
        <f t="shared" si="135"/>
        <v>0.18588383480909978</v>
      </c>
      <c r="AR101" s="41">
        <f t="shared" si="96"/>
        <v>0.26088435831760515</v>
      </c>
      <c r="AS101" s="42">
        <f t="shared" si="136"/>
        <v>383.96762939172964</v>
      </c>
      <c r="AT101" s="42">
        <f t="shared" si="137"/>
        <v>817.888873160039</v>
      </c>
      <c r="AU101" s="42">
        <f t="shared" si="138"/>
        <v>13.333559599795221</v>
      </c>
      <c r="AV101" s="43">
        <f t="shared" si="139"/>
        <v>253.3376323961092</v>
      </c>
      <c r="AW101" s="41">
        <f t="shared" si="140"/>
        <v>8.1443089558856319E-2</v>
      </c>
      <c r="AX101" s="41">
        <f t="shared" si="141"/>
        <v>4.9112238880035609E-2</v>
      </c>
      <c r="AY101" s="41">
        <f t="shared" si="97"/>
        <v>7.220570365062183E-2</v>
      </c>
      <c r="AZ101" s="42">
        <f t="shared" si="142"/>
        <v>107.50487821769035</v>
      </c>
      <c r="BA101" s="42">
        <f t="shared" si="143"/>
        <v>216.09385107215667</v>
      </c>
      <c r="BB101" s="42">
        <f t="shared" si="144"/>
        <v>3.6364203496228691</v>
      </c>
      <c r="BC101" s="43">
        <f t="shared" si="145"/>
        <v>69.091986642834499</v>
      </c>
      <c r="BD101" s="41">
        <f t="shared" si="146"/>
        <v>0.75744955016892113</v>
      </c>
      <c r="BE101" s="41">
        <f t="shared" si="147"/>
        <v>0.73745082773856463</v>
      </c>
      <c r="BF101" s="41">
        <f t="shared" si="98"/>
        <v>0.75173562947453354</v>
      </c>
      <c r="BG101" s="49">
        <f t="shared" si="148"/>
        <v>999.8334062229759</v>
      </c>
      <c r="BH101" s="49">
        <f t="shared" si="149"/>
        <v>3244.7836420496842</v>
      </c>
      <c r="BI101" s="49">
        <f t="shared" si="150"/>
        <v>43.082753682053429</v>
      </c>
      <c r="BJ101" s="47">
        <f t="shared" si="151"/>
        <v>818.57231995901486</v>
      </c>
      <c r="BK101" s="42">
        <f t="shared" si="152"/>
        <v>2.68</v>
      </c>
      <c r="BL101" s="42">
        <f t="shared" si="153"/>
        <v>2.68</v>
      </c>
      <c r="BM101" s="42">
        <f t="shared" si="99"/>
        <v>2.68</v>
      </c>
      <c r="BN101" s="49">
        <f t="shared" si="154"/>
        <v>3537.6000000000004</v>
      </c>
      <c r="BO101" s="49">
        <f t="shared" si="155"/>
        <v>11792</v>
      </c>
      <c r="BP101" s="49">
        <f t="shared" si="156"/>
        <v>154.77000000000001</v>
      </c>
      <c r="BQ101" s="47">
        <f t="shared" si="157"/>
        <v>2940.63</v>
      </c>
      <c r="BR101" s="21">
        <f t="shared" si="158"/>
        <v>6.1452231092498699E-2</v>
      </c>
      <c r="BS101" s="21">
        <f t="shared" si="159"/>
        <v>2.8988151364104296E-2</v>
      </c>
      <c r="BT101" s="21">
        <f t="shared" si="100"/>
        <v>5.2176779741528866E-2</v>
      </c>
      <c r="BU101" s="42">
        <f t="shared" si="160"/>
        <v>81.11694504209828</v>
      </c>
      <c r="BV101" s="42">
        <f t="shared" si="161"/>
        <v>127.5478660020589</v>
      </c>
      <c r="BW101" s="42">
        <f t="shared" si="162"/>
        <v>2.4775517145547847</v>
      </c>
      <c r="BX101" s="43">
        <f t="shared" si="163"/>
        <v>47.073482576540911</v>
      </c>
      <c r="BY101" s="49">
        <f t="shared" si="164"/>
        <v>594.65989857141892</v>
      </c>
      <c r="BZ101" s="49">
        <f t="shared" si="165"/>
        <v>348.30010899479413</v>
      </c>
      <c r="CA101" s="49">
        <f t="shared" si="101"/>
        <v>524.27138726381179</v>
      </c>
      <c r="CB101" s="49">
        <f t="shared" si="166"/>
        <v>784951.06611427292</v>
      </c>
      <c r="CC101" s="49">
        <f t="shared" si="167"/>
        <v>1532520.4795770941</v>
      </c>
      <c r="CD101" s="49">
        <f t="shared" si="168"/>
        <v>26211.736086470821</v>
      </c>
      <c r="CE101" s="47">
        <f t="shared" si="169"/>
        <v>498022.98564294574</v>
      </c>
      <c r="CF101" s="21">
        <f t="shared" si="170"/>
        <v>0.23</v>
      </c>
      <c r="CG101" s="21">
        <f t="shared" si="171"/>
        <v>0.23</v>
      </c>
      <c r="CH101" s="21">
        <f t="shared" si="102"/>
        <v>0.23</v>
      </c>
      <c r="CI101" s="42">
        <f t="shared" si="172"/>
        <v>303.60000000000002</v>
      </c>
      <c r="CJ101" s="42">
        <f t="shared" si="173"/>
        <v>1012</v>
      </c>
      <c r="CK101" s="42">
        <f t="shared" si="174"/>
        <v>13.282500000000001</v>
      </c>
      <c r="CL101" s="43">
        <f t="shared" si="175"/>
        <v>252.36750000000001</v>
      </c>
      <c r="CM101" s="21">
        <f t="shared" si="176"/>
        <v>6.7949700306537048E-2</v>
      </c>
      <c r="CN101" s="21">
        <f t="shared" si="177"/>
        <v>6.886777290285899E-2</v>
      </c>
      <c r="CO101" s="41">
        <f t="shared" si="103"/>
        <v>6.8212006762629035E-2</v>
      </c>
      <c r="CP101" s="46">
        <f t="shared" si="178"/>
        <v>89.6936044046289</v>
      </c>
      <c r="CQ101" s="46">
        <f t="shared" si="179"/>
        <v>303.01820077257958</v>
      </c>
      <c r="CR101" s="42">
        <f t="shared" si="180"/>
        <v>3.9543915883811387</v>
      </c>
      <c r="CS101" s="43">
        <f t="shared" si="181"/>
        <v>75.133440179241674</v>
      </c>
    </row>
    <row r="102" spans="1:97" ht="15.75" customHeight="1" x14ac:dyDescent="0.25">
      <c r="C102" s="1">
        <v>20</v>
      </c>
      <c r="D102" s="1">
        <f>Scenario_Info!$O$11</f>
        <v>15</v>
      </c>
      <c r="E102" s="1">
        <f>Scenario_Info!$O$12</f>
        <v>6</v>
      </c>
      <c r="F102" s="1">
        <f>Scenario_Info!$O$14/100</f>
        <v>0.11599999999999999</v>
      </c>
      <c r="G102" s="426">
        <f t="shared" si="104"/>
        <v>9.2495614373408717E-3</v>
      </c>
      <c r="H102" s="21">
        <f t="shared" si="105"/>
        <v>5.1099125190910743E-3</v>
      </c>
      <c r="I102" s="21">
        <f t="shared" si="91"/>
        <v>8.0668046035552148E-3</v>
      </c>
      <c r="J102" s="42">
        <f t="shared" si="106"/>
        <v>12.209421097289951</v>
      </c>
      <c r="K102" s="42">
        <f t="shared" si="107"/>
        <v>22.483615084000725</v>
      </c>
      <c r="L102" s="42">
        <f t="shared" si="108"/>
        <v>0.39755375870419202</v>
      </c>
      <c r="M102" s="43">
        <f t="shared" si="109"/>
        <v>7.9510751740838428</v>
      </c>
      <c r="N102" s="21">
        <f t="shared" si="110"/>
        <v>7.1314374635136416E-2</v>
      </c>
      <c r="O102" s="21">
        <f t="shared" si="111"/>
        <v>5.862609064839882E-2</v>
      </c>
      <c r="P102" s="21">
        <f t="shared" si="92"/>
        <v>6.768915063892568E-2</v>
      </c>
      <c r="Q102" s="42">
        <f t="shared" si="112"/>
        <v>94.134974518380062</v>
      </c>
      <c r="R102" s="42">
        <f t="shared" si="113"/>
        <v>257.95479885295481</v>
      </c>
      <c r="S102" s="42">
        <f t="shared" si="114"/>
        <v>3.6996917636167872</v>
      </c>
      <c r="T102" s="43">
        <f t="shared" si="115"/>
        <v>73.993835272335701</v>
      </c>
      <c r="U102" s="21">
        <f t="shared" si="116"/>
        <v>5.4977507945551023E-3</v>
      </c>
      <c r="V102" s="21">
        <f t="shared" si="117"/>
        <v>4.5373688807934442E-3</v>
      </c>
      <c r="W102" s="21">
        <f t="shared" si="93"/>
        <v>5.2233559620517714E-3</v>
      </c>
      <c r="X102" s="42">
        <f t="shared" si="118"/>
        <v>7.2570310488127348</v>
      </c>
      <c r="Y102" s="42">
        <f t="shared" si="119"/>
        <v>19.964423075491155</v>
      </c>
      <c r="Z102" s="42">
        <f t="shared" si="120"/>
        <v>0.28580250523142242</v>
      </c>
      <c r="AA102" s="43">
        <f t="shared" si="121"/>
        <v>5.7160501046284482</v>
      </c>
      <c r="AB102" s="46">
        <f t="shared" si="122"/>
        <v>35.5</v>
      </c>
      <c r="AC102" s="46">
        <f t="shared" si="123"/>
        <v>35.5</v>
      </c>
      <c r="AD102" s="46">
        <f t="shared" si="94"/>
        <v>35.5</v>
      </c>
      <c r="AE102" s="49">
        <f t="shared" si="124"/>
        <v>46860</v>
      </c>
      <c r="AF102" s="49">
        <f t="shared" si="125"/>
        <v>156200</v>
      </c>
      <c r="AG102" s="49">
        <f t="shared" si="126"/>
        <v>2050.125</v>
      </c>
      <c r="AH102" s="47">
        <f t="shared" si="127"/>
        <v>41002.5</v>
      </c>
      <c r="AI102" s="41">
        <f t="shared" si="128"/>
        <v>6.0989926484335738E-2</v>
      </c>
      <c r="AJ102" s="41">
        <f t="shared" si="129"/>
        <v>3.5388847596637969E-2</v>
      </c>
      <c r="AK102" s="41">
        <f t="shared" si="95"/>
        <v>5.3675332516422092E-2</v>
      </c>
      <c r="AL102" s="42">
        <f t="shared" si="130"/>
        <v>80.506702959323178</v>
      </c>
      <c r="AM102" s="42">
        <f t="shared" si="131"/>
        <v>155.71092942520707</v>
      </c>
      <c r="AN102" s="42">
        <f t="shared" si="132"/>
        <v>2.6773326511763629</v>
      </c>
      <c r="AO102" s="44">
        <f t="shared" si="133"/>
        <v>53.546653023527277</v>
      </c>
      <c r="AP102" s="41">
        <f t="shared" si="134"/>
        <v>0.29088456772100729</v>
      </c>
      <c r="AQ102" s="41">
        <f t="shared" si="135"/>
        <v>0.18588383480909978</v>
      </c>
      <c r="AR102" s="41">
        <f t="shared" si="96"/>
        <v>0.26088435831760515</v>
      </c>
      <c r="AS102" s="42">
        <f t="shared" si="136"/>
        <v>383.96762939172964</v>
      </c>
      <c r="AT102" s="42">
        <f t="shared" si="137"/>
        <v>817.888873160039</v>
      </c>
      <c r="AU102" s="42">
        <f t="shared" si="138"/>
        <v>13.333559599795221</v>
      </c>
      <c r="AV102" s="43">
        <f t="shared" si="139"/>
        <v>266.67119199590439</v>
      </c>
      <c r="AW102" s="41">
        <f t="shared" si="140"/>
        <v>8.1443089558856319E-2</v>
      </c>
      <c r="AX102" s="41">
        <f t="shared" si="141"/>
        <v>4.9112238880035609E-2</v>
      </c>
      <c r="AY102" s="41">
        <f t="shared" si="97"/>
        <v>7.220570365062183E-2</v>
      </c>
      <c r="AZ102" s="42">
        <f t="shared" si="142"/>
        <v>107.50487821769035</v>
      </c>
      <c r="BA102" s="42">
        <f t="shared" si="143"/>
        <v>216.09385107215667</v>
      </c>
      <c r="BB102" s="42">
        <f t="shared" si="144"/>
        <v>3.6364203496228691</v>
      </c>
      <c r="BC102" s="43">
        <f t="shared" si="145"/>
        <v>72.728406992457366</v>
      </c>
      <c r="BD102" s="41">
        <f t="shared" si="146"/>
        <v>0.75744955016892113</v>
      </c>
      <c r="BE102" s="41">
        <f t="shared" si="147"/>
        <v>0.73745082773856463</v>
      </c>
      <c r="BF102" s="41">
        <f t="shared" si="98"/>
        <v>0.75173562947453354</v>
      </c>
      <c r="BG102" s="49">
        <f t="shared" si="148"/>
        <v>999.8334062229759</v>
      </c>
      <c r="BH102" s="49">
        <f t="shared" si="149"/>
        <v>3244.7836420496842</v>
      </c>
      <c r="BI102" s="49">
        <f t="shared" si="150"/>
        <v>43.082753682053429</v>
      </c>
      <c r="BJ102" s="47">
        <f t="shared" si="151"/>
        <v>861.65507364106827</v>
      </c>
      <c r="BK102" s="42">
        <f t="shared" si="152"/>
        <v>2.68</v>
      </c>
      <c r="BL102" s="42">
        <f t="shared" si="153"/>
        <v>2.68</v>
      </c>
      <c r="BM102" s="42">
        <f t="shared" si="99"/>
        <v>2.68</v>
      </c>
      <c r="BN102" s="49">
        <f t="shared" si="154"/>
        <v>3537.6000000000004</v>
      </c>
      <c r="BO102" s="49">
        <f t="shared" si="155"/>
        <v>11792</v>
      </c>
      <c r="BP102" s="49">
        <f t="shared" si="156"/>
        <v>154.77000000000001</v>
      </c>
      <c r="BQ102" s="47">
        <f t="shared" si="157"/>
        <v>3095.4</v>
      </c>
      <c r="BR102" s="21">
        <f t="shared" si="158"/>
        <v>6.1452231092498699E-2</v>
      </c>
      <c r="BS102" s="21">
        <f t="shared" si="159"/>
        <v>2.8988151364104296E-2</v>
      </c>
      <c r="BT102" s="21">
        <f t="shared" si="100"/>
        <v>5.2176779741528866E-2</v>
      </c>
      <c r="BU102" s="42">
        <f t="shared" si="160"/>
        <v>81.11694504209828</v>
      </c>
      <c r="BV102" s="42">
        <f t="shared" si="161"/>
        <v>127.5478660020589</v>
      </c>
      <c r="BW102" s="42">
        <f t="shared" si="162"/>
        <v>2.4775517145547847</v>
      </c>
      <c r="BX102" s="43">
        <f t="shared" si="163"/>
        <v>49.551034291095696</v>
      </c>
      <c r="BY102" s="49">
        <f t="shared" si="164"/>
        <v>594.65989857141892</v>
      </c>
      <c r="BZ102" s="49">
        <f t="shared" si="165"/>
        <v>348.30010899479413</v>
      </c>
      <c r="CA102" s="49">
        <f t="shared" si="101"/>
        <v>524.27138726381179</v>
      </c>
      <c r="CB102" s="49">
        <f t="shared" si="166"/>
        <v>784951.06611427292</v>
      </c>
      <c r="CC102" s="49">
        <f t="shared" si="167"/>
        <v>1532520.4795770941</v>
      </c>
      <c r="CD102" s="49">
        <f t="shared" si="168"/>
        <v>26211.736086470821</v>
      </c>
      <c r="CE102" s="47">
        <f t="shared" si="169"/>
        <v>524234.72172941657</v>
      </c>
      <c r="CF102" s="21">
        <f t="shared" si="170"/>
        <v>0.23</v>
      </c>
      <c r="CG102" s="21">
        <f t="shared" si="171"/>
        <v>0.23</v>
      </c>
      <c r="CH102" s="21">
        <f t="shared" si="102"/>
        <v>0.23</v>
      </c>
      <c r="CI102" s="42">
        <f t="shared" si="172"/>
        <v>303.60000000000002</v>
      </c>
      <c r="CJ102" s="42">
        <f t="shared" si="173"/>
        <v>1012</v>
      </c>
      <c r="CK102" s="42">
        <f t="shared" si="174"/>
        <v>13.282500000000001</v>
      </c>
      <c r="CL102" s="43">
        <f t="shared" si="175"/>
        <v>265.65000000000003</v>
      </c>
      <c r="CM102" s="21">
        <f t="shared" si="176"/>
        <v>6.7949700306537048E-2</v>
      </c>
      <c r="CN102" s="21">
        <f t="shared" si="177"/>
        <v>6.886777290285899E-2</v>
      </c>
      <c r="CO102" s="41">
        <f t="shared" si="103"/>
        <v>6.8212006762629035E-2</v>
      </c>
      <c r="CP102" s="46">
        <f t="shared" si="178"/>
        <v>89.6936044046289</v>
      </c>
      <c r="CQ102" s="46">
        <f t="shared" si="179"/>
        <v>303.01820077257958</v>
      </c>
      <c r="CR102" s="42">
        <f t="shared" si="180"/>
        <v>3.9543915883811387</v>
      </c>
      <c r="CS102" s="43">
        <f t="shared" si="181"/>
        <v>79.087831767622816</v>
      </c>
    </row>
    <row r="103" spans="1:97" ht="15.75" customHeight="1" x14ac:dyDescent="0.25">
      <c r="C103" s="1">
        <v>21</v>
      </c>
      <c r="D103" s="1">
        <f>Scenario_Info!$O$11</f>
        <v>15</v>
      </c>
      <c r="E103" s="1">
        <f>Scenario_Info!$O$12</f>
        <v>6</v>
      </c>
      <c r="F103" s="1">
        <f>Scenario_Info!$O$14/100</f>
        <v>0.11599999999999999</v>
      </c>
      <c r="G103" s="426">
        <f t="shared" si="104"/>
        <v>9.2495614373408717E-3</v>
      </c>
      <c r="H103" s="21">
        <f t="shared" si="105"/>
        <v>5.1099125190910743E-3</v>
      </c>
      <c r="I103" s="21">
        <f t="shared" si="91"/>
        <v>8.0668046035552148E-3</v>
      </c>
      <c r="J103" s="42">
        <f t="shared" si="106"/>
        <v>12.209421097289951</v>
      </c>
      <c r="K103" s="42">
        <f t="shared" si="107"/>
        <v>22.483615084000725</v>
      </c>
      <c r="L103" s="42">
        <f t="shared" si="108"/>
        <v>0.39755375870419202</v>
      </c>
      <c r="M103" s="43">
        <f t="shared" si="109"/>
        <v>8.348628932788035</v>
      </c>
      <c r="N103" s="21">
        <f t="shared" si="110"/>
        <v>7.1314374635136416E-2</v>
      </c>
      <c r="O103" s="21">
        <f t="shared" si="111"/>
        <v>5.862609064839882E-2</v>
      </c>
      <c r="P103" s="21">
        <f t="shared" si="92"/>
        <v>6.768915063892568E-2</v>
      </c>
      <c r="Q103" s="42">
        <f t="shared" si="112"/>
        <v>94.134974518380062</v>
      </c>
      <c r="R103" s="42">
        <f t="shared" si="113"/>
        <v>257.95479885295481</v>
      </c>
      <c r="S103" s="42">
        <f t="shared" si="114"/>
        <v>3.6996917636167872</v>
      </c>
      <c r="T103" s="43">
        <f t="shared" si="115"/>
        <v>77.693527035952485</v>
      </c>
      <c r="U103" s="21">
        <f t="shared" si="116"/>
        <v>5.4977507945551023E-3</v>
      </c>
      <c r="V103" s="21">
        <f t="shared" si="117"/>
        <v>4.5373688807934442E-3</v>
      </c>
      <c r="W103" s="21">
        <f t="shared" si="93"/>
        <v>5.2233559620517714E-3</v>
      </c>
      <c r="X103" s="42">
        <f t="shared" si="118"/>
        <v>7.2570310488127348</v>
      </c>
      <c r="Y103" s="42">
        <f t="shared" si="119"/>
        <v>19.964423075491155</v>
      </c>
      <c r="Z103" s="42">
        <f t="shared" si="120"/>
        <v>0.28580250523142242</v>
      </c>
      <c r="AA103" s="43">
        <f t="shared" si="121"/>
        <v>6.0018526098598706</v>
      </c>
      <c r="AB103" s="46">
        <f t="shared" si="122"/>
        <v>35.5</v>
      </c>
      <c r="AC103" s="46">
        <f t="shared" si="123"/>
        <v>35.5</v>
      </c>
      <c r="AD103" s="46">
        <f t="shared" si="94"/>
        <v>35.5</v>
      </c>
      <c r="AE103" s="49">
        <f t="shared" si="124"/>
        <v>46860</v>
      </c>
      <c r="AF103" s="49">
        <f t="shared" si="125"/>
        <v>156200</v>
      </c>
      <c r="AG103" s="49">
        <f t="shared" si="126"/>
        <v>2050.125</v>
      </c>
      <c r="AH103" s="47">
        <f t="shared" si="127"/>
        <v>43052.625</v>
      </c>
      <c r="AI103" s="41">
        <f t="shared" si="128"/>
        <v>6.0989926484335738E-2</v>
      </c>
      <c r="AJ103" s="41">
        <f t="shared" si="129"/>
        <v>3.5388847596637969E-2</v>
      </c>
      <c r="AK103" s="41">
        <f t="shared" si="95"/>
        <v>5.3675332516422092E-2</v>
      </c>
      <c r="AL103" s="42">
        <f t="shared" si="130"/>
        <v>80.506702959323178</v>
      </c>
      <c r="AM103" s="42">
        <f t="shared" si="131"/>
        <v>155.71092942520707</v>
      </c>
      <c r="AN103" s="42">
        <f t="shared" si="132"/>
        <v>2.6773326511763629</v>
      </c>
      <c r="AO103" s="44">
        <f t="shared" si="133"/>
        <v>56.223985674703641</v>
      </c>
      <c r="AP103" s="41">
        <f t="shared" si="134"/>
        <v>0.29088456772100729</v>
      </c>
      <c r="AQ103" s="41">
        <f t="shared" si="135"/>
        <v>0.18588383480909978</v>
      </c>
      <c r="AR103" s="41">
        <f t="shared" si="96"/>
        <v>0.26088435831760515</v>
      </c>
      <c r="AS103" s="42">
        <f t="shared" si="136"/>
        <v>383.96762939172964</v>
      </c>
      <c r="AT103" s="42">
        <f t="shared" si="137"/>
        <v>817.888873160039</v>
      </c>
      <c r="AU103" s="42">
        <f t="shared" si="138"/>
        <v>13.333559599795221</v>
      </c>
      <c r="AV103" s="43">
        <f t="shared" si="139"/>
        <v>280.00475159569959</v>
      </c>
      <c r="AW103" s="41">
        <f t="shared" si="140"/>
        <v>8.1443089558856319E-2</v>
      </c>
      <c r="AX103" s="41">
        <f t="shared" si="141"/>
        <v>4.9112238880035609E-2</v>
      </c>
      <c r="AY103" s="41">
        <f t="shared" si="97"/>
        <v>7.220570365062183E-2</v>
      </c>
      <c r="AZ103" s="42">
        <f t="shared" si="142"/>
        <v>107.50487821769035</v>
      </c>
      <c r="BA103" s="42">
        <f t="shared" si="143"/>
        <v>216.09385107215667</v>
      </c>
      <c r="BB103" s="42">
        <f t="shared" si="144"/>
        <v>3.6364203496228691</v>
      </c>
      <c r="BC103" s="43">
        <f t="shared" si="145"/>
        <v>76.364827342080233</v>
      </c>
      <c r="BD103" s="41">
        <f t="shared" si="146"/>
        <v>0.75744955016892113</v>
      </c>
      <c r="BE103" s="41">
        <f t="shared" si="147"/>
        <v>0.73745082773856463</v>
      </c>
      <c r="BF103" s="41">
        <f t="shared" si="98"/>
        <v>0.75173562947453354</v>
      </c>
      <c r="BG103" s="49">
        <f t="shared" si="148"/>
        <v>999.8334062229759</v>
      </c>
      <c r="BH103" s="49">
        <f t="shared" si="149"/>
        <v>3244.7836420496842</v>
      </c>
      <c r="BI103" s="49">
        <f t="shared" si="150"/>
        <v>43.082753682053429</v>
      </c>
      <c r="BJ103" s="47">
        <f t="shared" si="151"/>
        <v>904.73782732312168</v>
      </c>
      <c r="BK103" s="42">
        <f t="shared" si="152"/>
        <v>2.68</v>
      </c>
      <c r="BL103" s="42">
        <f t="shared" si="153"/>
        <v>2.68</v>
      </c>
      <c r="BM103" s="42">
        <f t="shared" si="99"/>
        <v>2.68</v>
      </c>
      <c r="BN103" s="49">
        <f t="shared" si="154"/>
        <v>3537.6000000000004</v>
      </c>
      <c r="BO103" s="49">
        <f t="shared" si="155"/>
        <v>11792</v>
      </c>
      <c r="BP103" s="49">
        <f t="shared" si="156"/>
        <v>154.77000000000001</v>
      </c>
      <c r="BQ103" s="47">
        <f t="shared" si="157"/>
        <v>3250.17</v>
      </c>
      <c r="BR103" s="21">
        <f t="shared" si="158"/>
        <v>6.1452231092498699E-2</v>
      </c>
      <c r="BS103" s="21">
        <f t="shared" si="159"/>
        <v>2.8988151364104296E-2</v>
      </c>
      <c r="BT103" s="21">
        <f t="shared" si="100"/>
        <v>5.2176779741528866E-2</v>
      </c>
      <c r="BU103" s="42">
        <f t="shared" si="160"/>
        <v>81.11694504209828</v>
      </c>
      <c r="BV103" s="42">
        <f t="shared" si="161"/>
        <v>127.5478660020589</v>
      </c>
      <c r="BW103" s="42">
        <f t="shared" si="162"/>
        <v>2.4775517145547847</v>
      </c>
      <c r="BX103" s="43">
        <f t="shared" si="163"/>
        <v>52.028586005650482</v>
      </c>
      <c r="BY103" s="49">
        <f t="shared" si="164"/>
        <v>594.65989857141892</v>
      </c>
      <c r="BZ103" s="49">
        <f t="shared" si="165"/>
        <v>348.30010899479413</v>
      </c>
      <c r="CA103" s="49">
        <f t="shared" si="101"/>
        <v>524.27138726381179</v>
      </c>
      <c r="CB103" s="49">
        <f t="shared" si="166"/>
        <v>784951.06611427292</v>
      </c>
      <c r="CC103" s="49">
        <f t="shared" si="167"/>
        <v>1532520.4795770941</v>
      </c>
      <c r="CD103" s="49">
        <f t="shared" si="168"/>
        <v>26211.736086470821</v>
      </c>
      <c r="CE103" s="47">
        <f t="shared" si="169"/>
        <v>550446.45781588741</v>
      </c>
      <c r="CF103" s="21">
        <f t="shared" si="170"/>
        <v>0.23</v>
      </c>
      <c r="CG103" s="21">
        <f t="shared" si="171"/>
        <v>0.23</v>
      </c>
      <c r="CH103" s="21">
        <f t="shared" si="102"/>
        <v>0.23</v>
      </c>
      <c r="CI103" s="42">
        <f t="shared" si="172"/>
        <v>303.60000000000002</v>
      </c>
      <c r="CJ103" s="42">
        <f t="shared" si="173"/>
        <v>1012</v>
      </c>
      <c r="CK103" s="42">
        <f t="shared" si="174"/>
        <v>13.282500000000001</v>
      </c>
      <c r="CL103" s="43">
        <f t="shared" si="175"/>
        <v>278.93250000000006</v>
      </c>
      <c r="CM103" s="21">
        <f t="shared" si="176"/>
        <v>6.7949700306537048E-2</v>
      </c>
      <c r="CN103" s="21">
        <f t="shared" si="177"/>
        <v>6.886777290285899E-2</v>
      </c>
      <c r="CO103" s="41">
        <f t="shared" si="103"/>
        <v>6.8212006762629035E-2</v>
      </c>
      <c r="CP103" s="46">
        <f t="shared" si="178"/>
        <v>89.6936044046289</v>
      </c>
      <c r="CQ103" s="46">
        <f t="shared" si="179"/>
        <v>303.01820077257958</v>
      </c>
      <c r="CR103" s="42">
        <f t="shared" si="180"/>
        <v>3.9543915883811387</v>
      </c>
      <c r="CS103" s="43">
        <f t="shared" si="181"/>
        <v>83.042223356003959</v>
      </c>
    </row>
    <row r="104" spans="1:97" ht="15.75" customHeight="1" x14ac:dyDescent="0.25">
      <c r="C104" s="1">
        <v>22</v>
      </c>
      <c r="D104" s="1">
        <f>Scenario_Info!$O$11</f>
        <v>15</v>
      </c>
      <c r="E104" s="1">
        <f>Scenario_Info!$O$12</f>
        <v>6</v>
      </c>
      <c r="F104" s="1">
        <f>Scenario_Info!$O$14/100</f>
        <v>0.11599999999999999</v>
      </c>
      <c r="G104" s="426">
        <f t="shared" si="104"/>
        <v>9.2495614373408717E-3</v>
      </c>
      <c r="H104" s="21">
        <f t="shared" si="105"/>
        <v>5.1099125190910743E-3</v>
      </c>
      <c r="I104" s="21">
        <f t="shared" si="91"/>
        <v>8.0668046035552148E-3</v>
      </c>
      <c r="J104" s="42">
        <f t="shared" si="106"/>
        <v>12.209421097289951</v>
      </c>
      <c r="K104" s="42">
        <f t="shared" si="107"/>
        <v>22.483615084000725</v>
      </c>
      <c r="L104" s="42">
        <f t="shared" si="108"/>
        <v>0.39755375870419202</v>
      </c>
      <c r="M104" s="43">
        <f t="shared" si="109"/>
        <v>8.7461826914922263</v>
      </c>
      <c r="N104" s="21">
        <f t="shared" si="110"/>
        <v>7.1314374635136416E-2</v>
      </c>
      <c r="O104" s="21">
        <f t="shared" si="111"/>
        <v>5.862609064839882E-2</v>
      </c>
      <c r="P104" s="21">
        <f t="shared" si="92"/>
        <v>6.768915063892568E-2</v>
      </c>
      <c r="Q104" s="42">
        <f t="shared" si="112"/>
        <v>94.134974518380062</v>
      </c>
      <c r="R104" s="42">
        <f t="shared" si="113"/>
        <v>257.95479885295481</v>
      </c>
      <c r="S104" s="42">
        <f t="shared" si="114"/>
        <v>3.6996917636167872</v>
      </c>
      <c r="T104" s="43">
        <f t="shared" si="115"/>
        <v>81.393218799569269</v>
      </c>
      <c r="U104" s="21">
        <f t="shared" si="116"/>
        <v>5.4977507945551023E-3</v>
      </c>
      <c r="V104" s="21">
        <f t="shared" si="117"/>
        <v>4.5373688807934442E-3</v>
      </c>
      <c r="W104" s="21">
        <f t="shared" si="93"/>
        <v>5.2233559620517714E-3</v>
      </c>
      <c r="X104" s="42">
        <f t="shared" si="118"/>
        <v>7.2570310488127348</v>
      </c>
      <c r="Y104" s="42">
        <f t="shared" si="119"/>
        <v>19.964423075491155</v>
      </c>
      <c r="Z104" s="42">
        <f t="shared" si="120"/>
        <v>0.28580250523142242</v>
      </c>
      <c r="AA104" s="43">
        <f t="shared" si="121"/>
        <v>6.2876551150912929</v>
      </c>
      <c r="AB104" s="46">
        <f t="shared" si="122"/>
        <v>35.5</v>
      </c>
      <c r="AC104" s="46">
        <f t="shared" si="123"/>
        <v>35.5</v>
      </c>
      <c r="AD104" s="46">
        <f t="shared" si="94"/>
        <v>35.5</v>
      </c>
      <c r="AE104" s="49">
        <f t="shared" si="124"/>
        <v>46860</v>
      </c>
      <c r="AF104" s="49">
        <f t="shared" si="125"/>
        <v>156200</v>
      </c>
      <c r="AG104" s="49">
        <f t="shared" si="126"/>
        <v>2050.125</v>
      </c>
      <c r="AH104" s="47">
        <f t="shared" si="127"/>
        <v>45102.75</v>
      </c>
      <c r="AI104" s="41">
        <f t="shared" si="128"/>
        <v>6.0989926484335738E-2</v>
      </c>
      <c r="AJ104" s="41">
        <f t="shared" si="129"/>
        <v>3.5388847596637969E-2</v>
      </c>
      <c r="AK104" s="41">
        <f t="shared" si="95"/>
        <v>5.3675332516422092E-2</v>
      </c>
      <c r="AL104" s="42">
        <f t="shared" si="130"/>
        <v>80.506702959323178</v>
      </c>
      <c r="AM104" s="42">
        <f t="shared" si="131"/>
        <v>155.71092942520707</v>
      </c>
      <c r="AN104" s="42">
        <f t="shared" si="132"/>
        <v>2.6773326511763629</v>
      </c>
      <c r="AO104" s="44">
        <f t="shared" si="133"/>
        <v>58.901318325880005</v>
      </c>
      <c r="AP104" s="41">
        <f t="shared" si="134"/>
        <v>0.29088456772100729</v>
      </c>
      <c r="AQ104" s="41">
        <f t="shared" si="135"/>
        <v>0.18588383480909978</v>
      </c>
      <c r="AR104" s="41">
        <f t="shared" si="96"/>
        <v>0.26088435831760515</v>
      </c>
      <c r="AS104" s="42">
        <f t="shared" si="136"/>
        <v>383.96762939172964</v>
      </c>
      <c r="AT104" s="42">
        <f t="shared" si="137"/>
        <v>817.888873160039</v>
      </c>
      <c r="AU104" s="42">
        <f t="shared" si="138"/>
        <v>13.333559599795221</v>
      </c>
      <c r="AV104" s="43">
        <f t="shared" si="139"/>
        <v>293.33831119549478</v>
      </c>
      <c r="AW104" s="41">
        <f t="shared" si="140"/>
        <v>8.1443089558856319E-2</v>
      </c>
      <c r="AX104" s="41">
        <f t="shared" si="141"/>
        <v>4.9112238880035609E-2</v>
      </c>
      <c r="AY104" s="41">
        <f t="shared" si="97"/>
        <v>7.220570365062183E-2</v>
      </c>
      <c r="AZ104" s="42">
        <f t="shared" si="142"/>
        <v>107.50487821769035</v>
      </c>
      <c r="BA104" s="42">
        <f t="shared" si="143"/>
        <v>216.09385107215667</v>
      </c>
      <c r="BB104" s="42">
        <f t="shared" si="144"/>
        <v>3.6364203496228691</v>
      </c>
      <c r="BC104" s="43">
        <f t="shared" si="145"/>
        <v>80.001247691703099</v>
      </c>
      <c r="BD104" s="41">
        <f t="shared" si="146"/>
        <v>0.75744955016892113</v>
      </c>
      <c r="BE104" s="41">
        <f t="shared" si="147"/>
        <v>0.73745082773856463</v>
      </c>
      <c r="BF104" s="41">
        <f t="shared" si="98"/>
        <v>0.75173562947453354</v>
      </c>
      <c r="BG104" s="49">
        <f t="shared" si="148"/>
        <v>999.8334062229759</v>
      </c>
      <c r="BH104" s="49">
        <f t="shared" si="149"/>
        <v>3244.7836420496842</v>
      </c>
      <c r="BI104" s="49">
        <f t="shared" si="150"/>
        <v>43.082753682053429</v>
      </c>
      <c r="BJ104" s="47">
        <f t="shared" si="151"/>
        <v>947.82058100517509</v>
      </c>
      <c r="BK104" s="42">
        <f t="shared" si="152"/>
        <v>2.68</v>
      </c>
      <c r="BL104" s="42">
        <f t="shared" si="153"/>
        <v>2.68</v>
      </c>
      <c r="BM104" s="42">
        <f t="shared" si="99"/>
        <v>2.68</v>
      </c>
      <c r="BN104" s="49">
        <f t="shared" si="154"/>
        <v>3537.6000000000004</v>
      </c>
      <c r="BO104" s="49">
        <f t="shared" si="155"/>
        <v>11792</v>
      </c>
      <c r="BP104" s="49">
        <f t="shared" si="156"/>
        <v>154.77000000000001</v>
      </c>
      <c r="BQ104" s="47">
        <f t="shared" si="157"/>
        <v>3404.94</v>
      </c>
      <c r="BR104" s="21">
        <f t="shared" si="158"/>
        <v>6.1452231092498699E-2</v>
      </c>
      <c r="BS104" s="21">
        <f t="shared" si="159"/>
        <v>2.8988151364104296E-2</v>
      </c>
      <c r="BT104" s="21">
        <f t="shared" si="100"/>
        <v>5.2176779741528866E-2</v>
      </c>
      <c r="BU104" s="42">
        <f t="shared" si="160"/>
        <v>81.11694504209828</v>
      </c>
      <c r="BV104" s="42">
        <f t="shared" si="161"/>
        <v>127.5478660020589</v>
      </c>
      <c r="BW104" s="42">
        <f t="shared" si="162"/>
        <v>2.4775517145547847</v>
      </c>
      <c r="BX104" s="43">
        <f t="shared" si="163"/>
        <v>54.506137720205267</v>
      </c>
      <c r="BY104" s="49">
        <f t="shared" si="164"/>
        <v>594.65989857141892</v>
      </c>
      <c r="BZ104" s="49">
        <f t="shared" si="165"/>
        <v>348.30010899479413</v>
      </c>
      <c r="CA104" s="49">
        <f t="shared" si="101"/>
        <v>524.27138726381179</v>
      </c>
      <c r="CB104" s="49">
        <f t="shared" si="166"/>
        <v>784951.06611427292</v>
      </c>
      <c r="CC104" s="49">
        <f t="shared" si="167"/>
        <v>1532520.4795770941</v>
      </c>
      <c r="CD104" s="49">
        <f t="shared" si="168"/>
        <v>26211.736086470821</v>
      </c>
      <c r="CE104" s="47">
        <f t="shared" si="169"/>
        <v>576658.19390235818</v>
      </c>
      <c r="CF104" s="21">
        <f t="shared" si="170"/>
        <v>0.23</v>
      </c>
      <c r="CG104" s="21">
        <f t="shared" si="171"/>
        <v>0.23</v>
      </c>
      <c r="CH104" s="21">
        <f t="shared" si="102"/>
        <v>0.23</v>
      </c>
      <c r="CI104" s="42">
        <f t="shared" si="172"/>
        <v>303.60000000000002</v>
      </c>
      <c r="CJ104" s="42">
        <f t="shared" si="173"/>
        <v>1012</v>
      </c>
      <c r="CK104" s="42">
        <f t="shared" si="174"/>
        <v>13.282500000000001</v>
      </c>
      <c r="CL104" s="43">
        <f t="shared" si="175"/>
        <v>292.21500000000009</v>
      </c>
      <c r="CM104" s="21">
        <f t="shared" si="176"/>
        <v>6.7949700306537048E-2</v>
      </c>
      <c r="CN104" s="21">
        <f t="shared" si="177"/>
        <v>6.886777290285899E-2</v>
      </c>
      <c r="CO104" s="41">
        <f t="shared" si="103"/>
        <v>6.8212006762629035E-2</v>
      </c>
      <c r="CP104" s="46">
        <f t="shared" si="178"/>
        <v>89.6936044046289</v>
      </c>
      <c r="CQ104" s="46">
        <f t="shared" si="179"/>
        <v>303.01820077257958</v>
      </c>
      <c r="CR104" s="42">
        <f t="shared" si="180"/>
        <v>3.9543915883811387</v>
      </c>
      <c r="CS104" s="43">
        <f t="shared" si="181"/>
        <v>86.996614944385101</v>
      </c>
    </row>
    <row r="105" spans="1:97" ht="15.75" customHeight="1" x14ac:dyDescent="0.25">
      <c r="C105" s="1">
        <v>23</v>
      </c>
      <c r="D105" s="1">
        <f>Scenario_Info!$O$11</f>
        <v>15</v>
      </c>
      <c r="E105" s="1">
        <f>Scenario_Info!$O$12</f>
        <v>6</v>
      </c>
      <c r="F105" s="1">
        <f>Scenario_Info!$O$14/100</f>
        <v>0.11599999999999999</v>
      </c>
      <c r="G105" s="426">
        <f t="shared" si="104"/>
        <v>9.2495614373408717E-3</v>
      </c>
      <c r="H105" s="21">
        <f t="shared" si="105"/>
        <v>5.1099125190910743E-3</v>
      </c>
      <c r="I105" s="21">
        <f t="shared" si="91"/>
        <v>8.0668046035552148E-3</v>
      </c>
      <c r="J105" s="42">
        <f t="shared" si="106"/>
        <v>12.209421097289951</v>
      </c>
      <c r="K105" s="42">
        <f t="shared" si="107"/>
        <v>22.483615084000725</v>
      </c>
      <c r="L105" s="42">
        <f t="shared" si="108"/>
        <v>0.39755375870419202</v>
      </c>
      <c r="M105" s="43">
        <f t="shared" si="109"/>
        <v>9.1437364501964176</v>
      </c>
      <c r="N105" s="21">
        <f t="shared" si="110"/>
        <v>7.1314374635136416E-2</v>
      </c>
      <c r="O105" s="21">
        <f t="shared" si="111"/>
        <v>5.862609064839882E-2</v>
      </c>
      <c r="P105" s="21">
        <f t="shared" si="92"/>
        <v>6.768915063892568E-2</v>
      </c>
      <c r="Q105" s="42">
        <f t="shared" si="112"/>
        <v>94.134974518380062</v>
      </c>
      <c r="R105" s="42">
        <f t="shared" si="113"/>
        <v>257.95479885295481</v>
      </c>
      <c r="S105" s="42">
        <f t="shared" si="114"/>
        <v>3.6996917636167872</v>
      </c>
      <c r="T105" s="43">
        <f t="shared" si="115"/>
        <v>85.092910563186052</v>
      </c>
      <c r="U105" s="21">
        <f t="shared" si="116"/>
        <v>5.4977507945551023E-3</v>
      </c>
      <c r="V105" s="21">
        <f t="shared" si="117"/>
        <v>4.5373688807934442E-3</v>
      </c>
      <c r="W105" s="21">
        <f t="shared" si="93"/>
        <v>5.2233559620517714E-3</v>
      </c>
      <c r="X105" s="42">
        <f t="shared" si="118"/>
        <v>7.2570310488127348</v>
      </c>
      <c r="Y105" s="42">
        <f t="shared" si="119"/>
        <v>19.964423075491155</v>
      </c>
      <c r="Z105" s="42">
        <f t="shared" si="120"/>
        <v>0.28580250523142242</v>
      </c>
      <c r="AA105" s="43">
        <f t="shared" si="121"/>
        <v>6.5734576203227153</v>
      </c>
      <c r="AB105" s="46">
        <f t="shared" si="122"/>
        <v>35.5</v>
      </c>
      <c r="AC105" s="46">
        <f t="shared" si="123"/>
        <v>35.5</v>
      </c>
      <c r="AD105" s="46">
        <f t="shared" si="94"/>
        <v>35.5</v>
      </c>
      <c r="AE105" s="49">
        <f t="shared" si="124"/>
        <v>46860</v>
      </c>
      <c r="AF105" s="49">
        <f t="shared" si="125"/>
        <v>156200</v>
      </c>
      <c r="AG105" s="49">
        <f t="shared" si="126"/>
        <v>2050.125</v>
      </c>
      <c r="AH105" s="47">
        <f t="shared" si="127"/>
        <v>47152.875</v>
      </c>
      <c r="AI105" s="41">
        <f t="shared" si="128"/>
        <v>6.0989926484335738E-2</v>
      </c>
      <c r="AJ105" s="41">
        <f t="shared" si="129"/>
        <v>3.5388847596637969E-2</v>
      </c>
      <c r="AK105" s="41">
        <f t="shared" si="95"/>
        <v>5.3675332516422092E-2</v>
      </c>
      <c r="AL105" s="42">
        <f t="shared" si="130"/>
        <v>80.506702959323178</v>
      </c>
      <c r="AM105" s="42">
        <f t="shared" si="131"/>
        <v>155.71092942520707</v>
      </c>
      <c r="AN105" s="42">
        <f t="shared" si="132"/>
        <v>2.6773326511763629</v>
      </c>
      <c r="AO105" s="44">
        <f t="shared" si="133"/>
        <v>61.57865097705637</v>
      </c>
      <c r="AP105" s="41">
        <f t="shared" si="134"/>
        <v>0.29088456772100729</v>
      </c>
      <c r="AQ105" s="41">
        <f t="shared" si="135"/>
        <v>0.18588383480909978</v>
      </c>
      <c r="AR105" s="41">
        <f t="shared" si="96"/>
        <v>0.26088435831760515</v>
      </c>
      <c r="AS105" s="42">
        <f t="shared" si="136"/>
        <v>383.96762939172964</v>
      </c>
      <c r="AT105" s="42">
        <f t="shared" si="137"/>
        <v>817.888873160039</v>
      </c>
      <c r="AU105" s="42">
        <f t="shared" si="138"/>
        <v>13.333559599795221</v>
      </c>
      <c r="AV105" s="43">
        <f t="shared" si="139"/>
        <v>306.67187079528998</v>
      </c>
      <c r="AW105" s="41">
        <f t="shared" si="140"/>
        <v>8.1443089558856319E-2</v>
      </c>
      <c r="AX105" s="41">
        <f t="shared" si="141"/>
        <v>4.9112238880035609E-2</v>
      </c>
      <c r="AY105" s="41">
        <f t="shared" si="97"/>
        <v>7.220570365062183E-2</v>
      </c>
      <c r="AZ105" s="42">
        <f t="shared" si="142"/>
        <v>107.50487821769035</v>
      </c>
      <c r="BA105" s="42">
        <f t="shared" si="143"/>
        <v>216.09385107215667</v>
      </c>
      <c r="BB105" s="42">
        <f t="shared" si="144"/>
        <v>3.6364203496228691</v>
      </c>
      <c r="BC105" s="43">
        <f t="shared" si="145"/>
        <v>83.637668041325966</v>
      </c>
      <c r="BD105" s="41">
        <f t="shared" si="146"/>
        <v>0.75744955016892113</v>
      </c>
      <c r="BE105" s="41">
        <f t="shared" si="147"/>
        <v>0.73745082773856463</v>
      </c>
      <c r="BF105" s="41">
        <f t="shared" si="98"/>
        <v>0.75173562947453354</v>
      </c>
      <c r="BG105" s="49">
        <f t="shared" si="148"/>
        <v>999.8334062229759</v>
      </c>
      <c r="BH105" s="49">
        <f t="shared" si="149"/>
        <v>3244.7836420496842</v>
      </c>
      <c r="BI105" s="49">
        <f t="shared" si="150"/>
        <v>43.082753682053429</v>
      </c>
      <c r="BJ105" s="47">
        <f t="shared" si="151"/>
        <v>990.90333468722849</v>
      </c>
      <c r="BK105" s="42">
        <f t="shared" si="152"/>
        <v>2.68</v>
      </c>
      <c r="BL105" s="42">
        <f t="shared" si="153"/>
        <v>2.68</v>
      </c>
      <c r="BM105" s="42">
        <f t="shared" si="99"/>
        <v>2.68</v>
      </c>
      <c r="BN105" s="49">
        <f t="shared" si="154"/>
        <v>3537.6000000000004</v>
      </c>
      <c r="BO105" s="49">
        <f t="shared" si="155"/>
        <v>11792</v>
      </c>
      <c r="BP105" s="49">
        <f t="shared" si="156"/>
        <v>154.77000000000001</v>
      </c>
      <c r="BQ105" s="47">
        <f t="shared" si="157"/>
        <v>3559.71</v>
      </c>
      <c r="BR105" s="21">
        <f t="shared" si="158"/>
        <v>6.1452231092498699E-2</v>
      </c>
      <c r="BS105" s="21">
        <f t="shared" si="159"/>
        <v>2.8988151364104296E-2</v>
      </c>
      <c r="BT105" s="21">
        <f t="shared" si="100"/>
        <v>5.2176779741528866E-2</v>
      </c>
      <c r="BU105" s="42">
        <f t="shared" si="160"/>
        <v>81.11694504209828</v>
      </c>
      <c r="BV105" s="42">
        <f t="shared" si="161"/>
        <v>127.5478660020589</v>
      </c>
      <c r="BW105" s="42">
        <f t="shared" si="162"/>
        <v>2.4775517145547847</v>
      </c>
      <c r="BX105" s="43">
        <f t="shared" si="163"/>
        <v>56.983689434760052</v>
      </c>
      <c r="BY105" s="49">
        <f t="shared" si="164"/>
        <v>594.65989857141892</v>
      </c>
      <c r="BZ105" s="49">
        <f t="shared" si="165"/>
        <v>348.30010899479413</v>
      </c>
      <c r="CA105" s="49">
        <f t="shared" si="101"/>
        <v>524.27138726381179</v>
      </c>
      <c r="CB105" s="49">
        <f t="shared" si="166"/>
        <v>784951.06611427292</v>
      </c>
      <c r="CC105" s="49">
        <f t="shared" si="167"/>
        <v>1532520.4795770941</v>
      </c>
      <c r="CD105" s="49">
        <f t="shared" si="168"/>
        <v>26211.736086470821</v>
      </c>
      <c r="CE105" s="47">
        <f t="shared" si="169"/>
        <v>602869.92998882895</v>
      </c>
      <c r="CF105" s="21">
        <f t="shared" si="170"/>
        <v>0.23</v>
      </c>
      <c r="CG105" s="21">
        <f t="shared" si="171"/>
        <v>0.23</v>
      </c>
      <c r="CH105" s="21">
        <f t="shared" si="102"/>
        <v>0.23</v>
      </c>
      <c r="CI105" s="42">
        <f t="shared" si="172"/>
        <v>303.60000000000002</v>
      </c>
      <c r="CJ105" s="42">
        <f t="shared" si="173"/>
        <v>1012</v>
      </c>
      <c r="CK105" s="42">
        <f t="shared" si="174"/>
        <v>13.282500000000001</v>
      </c>
      <c r="CL105" s="43">
        <f t="shared" si="175"/>
        <v>305.49750000000012</v>
      </c>
      <c r="CM105" s="21">
        <f t="shared" si="176"/>
        <v>6.7949700306537048E-2</v>
      </c>
      <c r="CN105" s="21">
        <f t="shared" si="177"/>
        <v>6.886777290285899E-2</v>
      </c>
      <c r="CO105" s="41">
        <f t="shared" si="103"/>
        <v>6.8212006762629035E-2</v>
      </c>
      <c r="CP105" s="46">
        <f t="shared" si="178"/>
        <v>89.6936044046289</v>
      </c>
      <c r="CQ105" s="46">
        <f t="shared" si="179"/>
        <v>303.01820077257958</v>
      </c>
      <c r="CR105" s="42">
        <f t="shared" si="180"/>
        <v>3.9543915883811387</v>
      </c>
      <c r="CS105" s="43">
        <f t="shared" si="181"/>
        <v>90.951006532766243</v>
      </c>
    </row>
    <row r="106" spans="1:97" ht="15.75" customHeight="1" x14ac:dyDescent="0.25">
      <c r="C106" s="1">
        <v>24</v>
      </c>
      <c r="D106" s="1">
        <f>Scenario_Info!$O$11</f>
        <v>15</v>
      </c>
      <c r="E106" s="1">
        <f>Scenario_Info!$O$12</f>
        <v>6</v>
      </c>
      <c r="F106" s="1">
        <f>Scenario_Info!$O$14/100</f>
        <v>0.11599999999999999</v>
      </c>
      <c r="G106" s="426">
        <f t="shared" si="104"/>
        <v>9.2495614373408717E-3</v>
      </c>
      <c r="H106" s="21">
        <f t="shared" si="105"/>
        <v>5.1099125190910743E-3</v>
      </c>
      <c r="I106" s="21">
        <f t="shared" si="91"/>
        <v>8.0668046035552148E-3</v>
      </c>
      <c r="J106" s="42">
        <f t="shared" si="106"/>
        <v>12.209421097289951</v>
      </c>
      <c r="K106" s="42">
        <f t="shared" si="107"/>
        <v>22.483615084000725</v>
      </c>
      <c r="L106" s="42">
        <f t="shared" si="108"/>
        <v>0.39755375870419202</v>
      </c>
      <c r="M106" s="43">
        <f t="shared" si="109"/>
        <v>9.5412902089006089</v>
      </c>
      <c r="N106" s="21">
        <f t="shared" si="110"/>
        <v>7.1314374635136416E-2</v>
      </c>
      <c r="O106" s="21">
        <f t="shared" si="111"/>
        <v>5.862609064839882E-2</v>
      </c>
      <c r="P106" s="21">
        <f t="shared" si="92"/>
        <v>6.768915063892568E-2</v>
      </c>
      <c r="Q106" s="42">
        <f t="shared" si="112"/>
        <v>94.134974518380062</v>
      </c>
      <c r="R106" s="42">
        <f t="shared" si="113"/>
        <v>257.95479885295481</v>
      </c>
      <c r="S106" s="42">
        <f t="shared" si="114"/>
        <v>3.6996917636167872</v>
      </c>
      <c r="T106" s="43">
        <f t="shared" si="115"/>
        <v>88.792602326802836</v>
      </c>
      <c r="U106" s="21">
        <f t="shared" si="116"/>
        <v>5.4977507945551023E-3</v>
      </c>
      <c r="V106" s="21">
        <f t="shared" si="117"/>
        <v>4.5373688807934442E-3</v>
      </c>
      <c r="W106" s="21">
        <f t="shared" si="93"/>
        <v>5.2233559620517714E-3</v>
      </c>
      <c r="X106" s="42">
        <f t="shared" si="118"/>
        <v>7.2570310488127348</v>
      </c>
      <c r="Y106" s="42">
        <f t="shared" si="119"/>
        <v>19.964423075491155</v>
      </c>
      <c r="Z106" s="42">
        <f t="shared" si="120"/>
        <v>0.28580250523142242</v>
      </c>
      <c r="AA106" s="43">
        <f t="shared" si="121"/>
        <v>6.8592601255541377</v>
      </c>
      <c r="AB106" s="46">
        <f t="shared" si="122"/>
        <v>35.5</v>
      </c>
      <c r="AC106" s="46">
        <f t="shared" si="123"/>
        <v>35.5</v>
      </c>
      <c r="AD106" s="46">
        <f t="shared" si="94"/>
        <v>35.5</v>
      </c>
      <c r="AE106" s="49">
        <f t="shared" si="124"/>
        <v>46860</v>
      </c>
      <c r="AF106" s="49">
        <f t="shared" si="125"/>
        <v>156200</v>
      </c>
      <c r="AG106" s="49">
        <f t="shared" si="126"/>
        <v>2050.125</v>
      </c>
      <c r="AH106" s="47">
        <f t="shared" si="127"/>
        <v>49203</v>
      </c>
      <c r="AI106" s="41">
        <f t="shared" si="128"/>
        <v>6.0989926484335738E-2</v>
      </c>
      <c r="AJ106" s="41">
        <f t="shared" si="129"/>
        <v>3.5388847596637969E-2</v>
      </c>
      <c r="AK106" s="41">
        <f t="shared" si="95"/>
        <v>5.3675332516422092E-2</v>
      </c>
      <c r="AL106" s="42">
        <f t="shared" si="130"/>
        <v>80.506702959323178</v>
      </c>
      <c r="AM106" s="42">
        <f t="shared" si="131"/>
        <v>155.71092942520707</v>
      </c>
      <c r="AN106" s="42">
        <f t="shared" si="132"/>
        <v>2.6773326511763629</v>
      </c>
      <c r="AO106" s="44">
        <f t="shared" si="133"/>
        <v>64.255983628232727</v>
      </c>
      <c r="AP106" s="41">
        <f t="shared" si="134"/>
        <v>0.29088456772100729</v>
      </c>
      <c r="AQ106" s="41">
        <f t="shared" si="135"/>
        <v>0.18588383480909978</v>
      </c>
      <c r="AR106" s="41">
        <f t="shared" si="96"/>
        <v>0.26088435831760515</v>
      </c>
      <c r="AS106" s="42">
        <f t="shared" si="136"/>
        <v>383.96762939172964</v>
      </c>
      <c r="AT106" s="42">
        <f t="shared" si="137"/>
        <v>817.888873160039</v>
      </c>
      <c r="AU106" s="42">
        <f t="shared" si="138"/>
        <v>13.333559599795221</v>
      </c>
      <c r="AV106" s="43">
        <f t="shared" si="139"/>
        <v>320.00543039508517</v>
      </c>
      <c r="AW106" s="41">
        <f t="shared" si="140"/>
        <v>8.1443089558856319E-2</v>
      </c>
      <c r="AX106" s="41">
        <f t="shared" si="141"/>
        <v>4.9112238880035609E-2</v>
      </c>
      <c r="AY106" s="41">
        <f t="shared" si="97"/>
        <v>7.220570365062183E-2</v>
      </c>
      <c r="AZ106" s="42">
        <f t="shared" si="142"/>
        <v>107.50487821769035</v>
      </c>
      <c r="BA106" s="42">
        <f t="shared" si="143"/>
        <v>216.09385107215667</v>
      </c>
      <c r="BB106" s="42">
        <f t="shared" si="144"/>
        <v>3.6364203496228691</v>
      </c>
      <c r="BC106" s="43">
        <f t="shared" si="145"/>
        <v>87.274088390948833</v>
      </c>
      <c r="BD106" s="41">
        <f t="shared" si="146"/>
        <v>0.75744955016892113</v>
      </c>
      <c r="BE106" s="41">
        <f t="shared" si="147"/>
        <v>0.73745082773856463</v>
      </c>
      <c r="BF106" s="41">
        <f t="shared" si="98"/>
        <v>0.75173562947453354</v>
      </c>
      <c r="BG106" s="49">
        <f t="shared" si="148"/>
        <v>999.8334062229759</v>
      </c>
      <c r="BH106" s="49">
        <f t="shared" si="149"/>
        <v>3244.7836420496842</v>
      </c>
      <c r="BI106" s="49">
        <f t="shared" si="150"/>
        <v>43.082753682053429</v>
      </c>
      <c r="BJ106" s="47">
        <f t="shared" si="151"/>
        <v>1033.986088369282</v>
      </c>
      <c r="BK106" s="42">
        <f t="shared" si="152"/>
        <v>2.68</v>
      </c>
      <c r="BL106" s="42">
        <f t="shared" si="153"/>
        <v>2.68</v>
      </c>
      <c r="BM106" s="42">
        <f t="shared" si="99"/>
        <v>2.68</v>
      </c>
      <c r="BN106" s="49">
        <f t="shared" si="154"/>
        <v>3537.6000000000004</v>
      </c>
      <c r="BO106" s="49">
        <f t="shared" si="155"/>
        <v>11792</v>
      </c>
      <c r="BP106" s="49">
        <f t="shared" si="156"/>
        <v>154.77000000000001</v>
      </c>
      <c r="BQ106" s="47">
        <f t="shared" si="157"/>
        <v>3714.48</v>
      </c>
      <c r="BR106" s="21">
        <f t="shared" si="158"/>
        <v>6.1452231092498699E-2</v>
      </c>
      <c r="BS106" s="21">
        <f t="shared" si="159"/>
        <v>2.8988151364104296E-2</v>
      </c>
      <c r="BT106" s="21">
        <f t="shared" si="100"/>
        <v>5.2176779741528866E-2</v>
      </c>
      <c r="BU106" s="42">
        <f t="shared" si="160"/>
        <v>81.11694504209828</v>
      </c>
      <c r="BV106" s="42">
        <f t="shared" si="161"/>
        <v>127.5478660020589</v>
      </c>
      <c r="BW106" s="42">
        <f t="shared" si="162"/>
        <v>2.4775517145547847</v>
      </c>
      <c r="BX106" s="43">
        <f t="shared" si="163"/>
        <v>59.461241149314837</v>
      </c>
      <c r="BY106" s="49">
        <f t="shared" si="164"/>
        <v>594.65989857141892</v>
      </c>
      <c r="BZ106" s="49">
        <f t="shared" si="165"/>
        <v>348.30010899479413</v>
      </c>
      <c r="CA106" s="49">
        <f t="shared" si="101"/>
        <v>524.27138726381179</v>
      </c>
      <c r="CB106" s="49">
        <f t="shared" si="166"/>
        <v>784951.06611427292</v>
      </c>
      <c r="CC106" s="49">
        <f t="shared" si="167"/>
        <v>1532520.4795770941</v>
      </c>
      <c r="CD106" s="49">
        <f t="shared" si="168"/>
        <v>26211.736086470821</v>
      </c>
      <c r="CE106" s="47">
        <f t="shared" si="169"/>
        <v>629081.66607529973</v>
      </c>
      <c r="CF106" s="21">
        <f t="shared" si="170"/>
        <v>0.23</v>
      </c>
      <c r="CG106" s="21">
        <f t="shared" si="171"/>
        <v>0.23</v>
      </c>
      <c r="CH106" s="21">
        <f t="shared" si="102"/>
        <v>0.23</v>
      </c>
      <c r="CI106" s="42">
        <f t="shared" si="172"/>
        <v>303.60000000000002</v>
      </c>
      <c r="CJ106" s="42">
        <f t="shared" si="173"/>
        <v>1012</v>
      </c>
      <c r="CK106" s="42">
        <f t="shared" si="174"/>
        <v>13.282500000000001</v>
      </c>
      <c r="CL106" s="43">
        <f t="shared" si="175"/>
        <v>318.78000000000014</v>
      </c>
      <c r="CM106" s="21">
        <f t="shared" si="176"/>
        <v>6.7949700306537048E-2</v>
      </c>
      <c r="CN106" s="21">
        <f t="shared" si="177"/>
        <v>6.886777290285899E-2</v>
      </c>
      <c r="CO106" s="41">
        <f t="shared" si="103"/>
        <v>6.8212006762629035E-2</v>
      </c>
      <c r="CP106" s="46">
        <f t="shared" si="178"/>
        <v>89.6936044046289</v>
      </c>
      <c r="CQ106" s="46">
        <f t="shared" si="179"/>
        <v>303.01820077257958</v>
      </c>
      <c r="CR106" s="42">
        <f t="shared" si="180"/>
        <v>3.9543915883811387</v>
      </c>
      <c r="CS106" s="43">
        <f t="shared" si="181"/>
        <v>94.905398121147385</v>
      </c>
    </row>
    <row r="107" spans="1:97" ht="15.75" customHeight="1" x14ac:dyDescent="0.25">
      <c r="C107" s="1">
        <v>25</v>
      </c>
      <c r="D107" s="1">
        <f>Scenario_Info!$O$11</f>
        <v>15</v>
      </c>
      <c r="E107" s="1">
        <f>Scenario_Info!$O$12</f>
        <v>6</v>
      </c>
      <c r="F107" s="1">
        <f>Scenario_Info!$O$14/100</f>
        <v>0.11599999999999999</v>
      </c>
      <c r="G107" s="426">
        <f t="shared" si="104"/>
        <v>9.2495614373408717E-3</v>
      </c>
      <c r="H107" s="21">
        <f t="shared" si="105"/>
        <v>5.1099125190910743E-3</v>
      </c>
      <c r="I107" s="21">
        <f t="shared" si="91"/>
        <v>8.0668046035552148E-3</v>
      </c>
      <c r="J107" s="42">
        <f t="shared" si="106"/>
        <v>12.209421097289951</v>
      </c>
      <c r="K107" s="42">
        <f t="shared" si="107"/>
        <v>22.483615084000725</v>
      </c>
      <c r="L107" s="42">
        <f t="shared" si="108"/>
        <v>0.39755375870419202</v>
      </c>
      <c r="M107" s="43">
        <f t="shared" si="109"/>
        <v>9.9388439676048002</v>
      </c>
      <c r="N107" s="21">
        <f t="shared" si="110"/>
        <v>7.1314374635136416E-2</v>
      </c>
      <c r="O107" s="21">
        <f t="shared" si="111"/>
        <v>5.862609064839882E-2</v>
      </c>
      <c r="P107" s="21">
        <f t="shared" si="92"/>
        <v>6.768915063892568E-2</v>
      </c>
      <c r="Q107" s="42">
        <f t="shared" si="112"/>
        <v>94.134974518380062</v>
      </c>
      <c r="R107" s="42">
        <f t="shared" si="113"/>
        <v>257.95479885295481</v>
      </c>
      <c r="S107" s="42">
        <f t="shared" si="114"/>
        <v>3.6996917636167872</v>
      </c>
      <c r="T107" s="43">
        <f t="shared" si="115"/>
        <v>92.49229409041962</v>
      </c>
      <c r="U107" s="21">
        <f t="shared" si="116"/>
        <v>5.4977507945551023E-3</v>
      </c>
      <c r="V107" s="21">
        <f t="shared" si="117"/>
        <v>4.5373688807934442E-3</v>
      </c>
      <c r="W107" s="21">
        <f t="shared" si="93"/>
        <v>5.2233559620517714E-3</v>
      </c>
      <c r="X107" s="42">
        <f t="shared" si="118"/>
        <v>7.2570310488127348</v>
      </c>
      <c r="Y107" s="42">
        <f t="shared" si="119"/>
        <v>19.964423075491155</v>
      </c>
      <c r="Z107" s="42">
        <f t="shared" si="120"/>
        <v>0.28580250523142242</v>
      </c>
      <c r="AA107" s="43">
        <f t="shared" si="121"/>
        <v>7.14506263078556</v>
      </c>
      <c r="AB107" s="46">
        <f t="shared" si="122"/>
        <v>35.5</v>
      </c>
      <c r="AC107" s="46">
        <f t="shared" si="123"/>
        <v>35.5</v>
      </c>
      <c r="AD107" s="46">
        <f t="shared" si="94"/>
        <v>35.5</v>
      </c>
      <c r="AE107" s="49">
        <f t="shared" si="124"/>
        <v>46860</v>
      </c>
      <c r="AF107" s="49">
        <f t="shared" si="125"/>
        <v>156200</v>
      </c>
      <c r="AG107" s="49">
        <f t="shared" si="126"/>
        <v>2050.125</v>
      </c>
      <c r="AH107" s="47">
        <f t="shared" si="127"/>
        <v>51253.125</v>
      </c>
      <c r="AI107" s="41">
        <f t="shared" si="128"/>
        <v>6.0989926484335738E-2</v>
      </c>
      <c r="AJ107" s="41">
        <f t="shared" si="129"/>
        <v>3.5388847596637969E-2</v>
      </c>
      <c r="AK107" s="41">
        <f t="shared" si="95"/>
        <v>5.3675332516422092E-2</v>
      </c>
      <c r="AL107" s="42">
        <f t="shared" si="130"/>
        <v>80.506702959323178</v>
      </c>
      <c r="AM107" s="42">
        <f t="shared" si="131"/>
        <v>155.71092942520707</v>
      </c>
      <c r="AN107" s="42">
        <f t="shared" si="132"/>
        <v>2.6773326511763629</v>
      </c>
      <c r="AO107" s="44">
        <f t="shared" si="133"/>
        <v>66.933316279409084</v>
      </c>
      <c r="AP107" s="41">
        <f t="shared" si="134"/>
        <v>0.29088456772100729</v>
      </c>
      <c r="AQ107" s="41">
        <f t="shared" si="135"/>
        <v>0.18588383480909978</v>
      </c>
      <c r="AR107" s="41">
        <f t="shared" si="96"/>
        <v>0.26088435831760515</v>
      </c>
      <c r="AS107" s="42">
        <f t="shared" si="136"/>
        <v>383.96762939172964</v>
      </c>
      <c r="AT107" s="42">
        <f t="shared" si="137"/>
        <v>817.888873160039</v>
      </c>
      <c r="AU107" s="42">
        <f t="shared" si="138"/>
        <v>13.333559599795221</v>
      </c>
      <c r="AV107" s="43">
        <f t="shared" si="139"/>
        <v>333.33898999488036</v>
      </c>
      <c r="AW107" s="41">
        <f t="shared" si="140"/>
        <v>8.1443089558856319E-2</v>
      </c>
      <c r="AX107" s="41">
        <f t="shared" si="141"/>
        <v>4.9112238880035609E-2</v>
      </c>
      <c r="AY107" s="41">
        <f t="shared" si="97"/>
        <v>7.220570365062183E-2</v>
      </c>
      <c r="AZ107" s="42">
        <f t="shared" si="142"/>
        <v>107.50487821769035</v>
      </c>
      <c r="BA107" s="42">
        <f t="shared" si="143"/>
        <v>216.09385107215667</v>
      </c>
      <c r="BB107" s="42">
        <f t="shared" si="144"/>
        <v>3.6364203496228691</v>
      </c>
      <c r="BC107" s="43">
        <f t="shared" si="145"/>
        <v>90.9105087405717</v>
      </c>
      <c r="BD107" s="41">
        <f t="shared" si="146"/>
        <v>0.75744955016892113</v>
      </c>
      <c r="BE107" s="41">
        <f t="shared" si="147"/>
        <v>0.73745082773856463</v>
      </c>
      <c r="BF107" s="41">
        <f t="shared" si="98"/>
        <v>0.75173562947453354</v>
      </c>
      <c r="BG107" s="49">
        <f t="shared" si="148"/>
        <v>999.8334062229759</v>
      </c>
      <c r="BH107" s="49">
        <f t="shared" si="149"/>
        <v>3244.7836420496842</v>
      </c>
      <c r="BI107" s="49">
        <f t="shared" si="150"/>
        <v>43.082753682053429</v>
      </c>
      <c r="BJ107" s="47">
        <f t="shared" si="151"/>
        <v>1077.0688420513354</v>
      </c>
      <c r="BK107" s="42">
        <f t="shared" si="152"/>
        <v>2.68</v>
      </c>
      <c r="BL107" s="42">
        <f t="shared" si="153"/>
        <v>2.68</v>
      </c>
      <c r="BM107" s="42">
        <f t="shared" si="99"/>
        <v>2.68</v>
      </c>
      <c r="BN107" s="49">
        <f t="shared" si="154"/>
        <v>3537.6000000000004</v>
      </c>
      <c r="BO107" s="49">
        <f t="shared" si="155"/>
        <v>11792</v>
      </c>
      <c r="BP107" s="49">
        <f t="shared" si="156"/>
        <v>154.77000000000001</v>
      </c>
      <c r="BQ107" s="47">
        <f t="shared" si="157"/>
        <v>3869.25</v>
      </c>
      <c r="BR107" s="21">
        <f t="shared" si="158"/>
        <v>6.1452231092498699E-2</v>
      </c>
      <c r="BS107" s="21">
        <f t="shared" si="159"/>
        <v>2.8988151364104296E-2</v>
      </c>
      <c r="BT107" s="21">
        <f t="shared" si="100"/>
        <v>5.2176779741528866E-2</v>
      </c>
      <c r="BU107" s="42">
        <f t="shared" si="160"/>
        <v>81.11694504209828</v>
      </c>
      <c r="BV107" s="42">
        <f t="shared" si="161"/>
        <v>127.5478660020589</v>
      </c>
      <c r="BW107" s="42">
        <f t="shared" si="162"/>
        <v>2.4775517145547847</v>
      </c>
      <c r="BX107" s="43">
        <f t="shared" si="163"/>
        <v>61.938792863869622</v>
      </c>
      <c r="BY107" s="49">
        <f t="shared" si="164"/>
        <v>594.65989857141892</v>
      </c>
      <c r="BZ107" s="49">
        <f t="shared" si="165"/>
        <v>348.30010899479413</v>
      </c>
      <c r="CA107" s="49">
        <f t="shared" si="101"/>
        <v>524.27138726381179</v>
      </c>
      <c r="CB107" s="49">
        <f t="shared" si="166"/>
        <v>784951.06611427292</v>
      </c>
      <c r="CC107" s="49">
        <f t="shared" si="167"/>
        <v>1532520.4795770941</v>
      </c>
      <c r="CD107" s="49">
        <f t="shared" si="168"/>
        <v>26211.736086470821</v>
      </c>
      <c r="CE107" s="47">
        <f t="shared" si="169"/>
        <v>655293.4021617705</v>
      </c>
      <c r="CF107" s="21">
        <f t="shared" si="170"/>
        <v>0.23</v>
      </c>
      <c r="CG107" s="21">
        <f t="shared" si="171"/>
        <v>0.23</v>
      </c>
      <c r="CH107" s="21">
        <f t="shared" si="102"/>
        <v>0.23</v>
      </c>
      <c r="CI107" s="42">
        <f t="shared" si="172"/>
        <v>303.60000000000002</v>
      </c>
      <c r="CJ107" s="42">
        <f t="shared" si="173"/>
        <v>1012</v>
      </c>
      <c r="CK107" s="42">
        <f t="shared" si="174"/>
        <v>13.282500000000001</v>
      </c>
      <c r="CL107" s="43">
        <f t="shared" si="175"/>
        <v>332.06250000000017</v>
      </c>
      <c r="CM107" s="21">
        <f t="shared" si="176"/>
        <v>6.7949700306537048E-2</v>
      </c>
      <c r="CN107" s="21">
        <f t="shared" si="177"/>
        <v>6.886777290285899E-2</v>
      </c>
      <c r="CO107" s="41">
        <f t="shared" si="103"/>
        <v>6.8212006762629035E-2</v>
      </c>
      <c r="CP107" s="46">
        <f t="shared" si="178"/>
        <v>89.6936044046289</v>
      </c>
      <c r="CQ107" s="46">
        <f t="shared" si="179"/>
        <v>303.01820077257958</v>
      </c>
      <c r="CR107" s="42">
        <f t="shared" si="180"/>
        <v>3.9543915883811387</v>
      </c>
      <c r="CS107" s="43">
        <f t="shared" si="181"/>
        <v>98.859789709528528</v>
      </c>
    </row>
    <row r="108" spans="1:97" ht="15.75" customHeight="1" x14ac:dyDescent="0.25">
      <c r="C108" s="1">
        <v>26</v>
      </c>
      <c r="D108" s="1">
        <f>Scenario_Info!$O$11</f>
        <v>15</v>
      </c>
      <c r="E108" s="1">
        <f>Scenario_Info!$O$12</f>
        <v>6</v>
      </c>
      <c r="F108" s="1">
        <f>Scenario_Info!$O$14/100</f>
        <v>0.11599999999999999</v>
      </c>
      <c r="G108" s="426">
        <f t="shared" si="104"/>
        <v>9.2495614373408717E-3</v>
      </c>
      <c r="H108" s="21">
        <f t="shared" si="105"/>
        <v>5.1099125190910743E-3</v>
      </c>
      <c r="I108" s="21">
        <f t="shared" si="91"/>
        <v>8.0668046035552148E-3</v>
      </c>
      <c r="J108" s="42">
        <f t="shared" si="106"/>
        <v>12.209421097289951</v>
      </c>
      <c r="K108" s="42">
        <f t="shared" si="107"/>
        <v>22.483615084000725</v>
      </c>
      <c r="L108" s="42">
        <f t="shared" si="108"/>
        <v>0.39755375870419202</v>
      </c>
      <c r="M108" s="43">
        <f t="shared" si="109"/>
        <v>10.336397726308991</v>
      </c>
      <c r="N108" s="21">
        <f t="shared" si="110"/>
        <v>7.1314374635136416E-2</v>
      </c>
      <c r="O108" s="21">
        <f t="shared" si="111"/>
        <v>5.862609064839882E-2</v>
      </c>
      <c r="P108" s="21">
        <f t="shared" si="92"/>
        <v>6.768915063892568E-2</v>
      </c>
      <c r="Q108" s="42">
        <f t="shared" si="112"/>
        <v>94.134974518380062</v>
      </c>
      <c r="R108" s="42">
        <f t="shared" si="113"/>
        <v>257.95479885295481</v>
      </c>
      <c r="S108" s="42">
        <f t="shared" si="114"/>
        <v>3.6996917636167872</v>
      </c>
      <c r="T108" s="43">
        <f t="shared" si="115"/>
        <v>96.191985854036403</v>
      </c>
      <c r="U108" s="21">
        <f t="shared" si="116"/>
        <v>5.4977507945551023E-3</v>
      </c>
      <c r="V108" s="21">
        <f t="shared" si="117"/>
        <v>4.5373688807934442E-3</v>
      </c>
      <c r="W108" s="21">
        <f t="shared" si="93"/>
        <v>5.2233559620517714E-3</v>
      </c>
      <c r="X108" s="42">
        <f t="shared" si="118"/>
        <v>7.2570310488127348</v>
      </c>
      <c r="Y108" s="42">
        <f t="shared" si="119"/>
        <v>19.964423075491155</v>
      </c>
      <c r="Z108" s="42">
        <f t="shared" si="120"/>
        <v>0.28580250523142242</v>
      </c>
      <c r="AA108" s="43">
        <f t="shared" si="121"/>
        <v>7.4308651360169824</v>
      </c>
      <c r="AB108" s="46">
        <f t="shared" si="122"/>
        <v>35.5</v>
      </c>
      <c r="AC108" s="46">
        <f t="shared" si="123"/>
        <v>35.5</v>
      </c>
      <c r="AD108" s="46">
        <f t="shared" si="94"/>
        <v>35.5</v>
      </c>
      <c r="AE108" s="49">
        <f t="shared" si="124"/>
        <v>46860</v>
      </c>
      <c r="AF108" s="49">
        <f t="shared" si="125"/>
        <v>156200</v>
      </c>
      <c r="AG108" s="49">
        <f t="shared" si="126"/>
        <v>2050.125</v>
      </c>
      <c r="AH108" s="47">
        <f t="shared" si="127"/>
        <v>53303.25</v>
      </c>
      <c r="AI108" s="41">
        <f t="shared" si="128"/>
        <v>6.0989926484335738E-2</v>
      </c>
      <c r="AJ108" s="41">
        <f t="shared" si="129"/>
        <v>3.5388847596637969E-2</v>
      </c>
      <c r="AK108" s="41">
        <f t="shared" si="95"/>
        <v>5.3675332516422092E-2</v>
      </c>
      <c r="AL108" s="42">
        <f t="shared" si="130"/>
        <v>80.506702959323178</v>
      </c>
      <c r="AM108" s="42">
        <f t="shared" si="131"/>
        <v>155.71092942520707</v>
      </c>
      <c r="AN108" s="42">
        <f t="shared" si="132"/>
        <v>2.6773326511763629</v>
      </c>
      <c r="AO108" s="44">
        <f t="shared" si="133"/>
        <v>69.610648930585441</v>
      </c>
      <c r="AP108" s="41">
        <f t="shared" si="134"/>
        <v>0.29088456772100729</v>
      </c>
      <c r="AQ108" s="41">
        <f t="shared" si="135"/>
        <v>0.18588383480909978</v>
      </c>
      <c r="AR108" s="41">
        <f t="shared" si="96"/>
        <v>0.26088435831760515</v>
      </c>
      <c r="AS108" s="42">
        <f t="shared" si="136"/>
        <v>383.96762939172964</v>
      </c>
      <c r="AT108" s="42">
        <f t="shared" si="137"/>
        <v>817.888873160039</v>
      </c>
      <c r="AU108" s="42">
        <f t="shared" si="138"/>
        <v>13.333559599795221</v>
      </c>
      <c r="AV108" s="43">
        <f t="shared" si="139"/>
        <v>346.67254959467556</v>
      </c>
      <c r="AW108" s="41">
        <f t="shared" si="140"/>
        <v>8.1443089558856319E-2</v>
      </c>
      <c r="AX108" s="41">
        <f t="shared" si="141"/>
        <v>4.9112238880035609E-2</v>
      </c>
      <c r="AY108" s="41">
        <f t="shared" si="97"/>
        <v>7.220570365062183E-2</v>
      </c>
      <c r="AZ108" s="42">
        <f t="shared" si="142"/>
        <v>107.50487821769035</v>
      </c>
      <c r="BA108" s="42">
        <f t="shared" si="143"/>
        <v>216.09385107215667</v>
      </c>
      <c r="BB108" s="42">
        <f t="shared" si="144"/>
        <v>3.6364203496228691</v>
      </c>
      <c r="BC108" s="43">
        <f t="shared" si="145"/>
        <v>94.546929090194567</v>
      </c>
      <c r="BD108" s="41">
        <f t="shared" si="146"/>
        <v>0.75744955016892113</v>
      </c>
      <c r="BE108" s="41">
        <f t="shared" si="147"/>
        <v>0.73745082773856463</v>
      </c>
      <c r="BF108" s="41">
        <f t="shared" si="98"/>
        <v>0.75173562947453354</v>
      </c>
      <c r="BG108" s="49">
        <f t="shared" si="148"/>
        <v>999.8334062229759</v>
      </c>
      <c r="BH108" s="49">
        <f t="shared" si="149"/>
        <v>3244.7836420496842</v>
      </c>
      <c r="BI108" s="49">
        <f t="shared" si="150"/>
        <v>43.082753682053429</v>
      </c>
      <c r="BJ108" s="47">
        <f t="shared" si="151"/>
        <v>1120.1515957333888</v>
      </c>
      <c r="BK108" s="42">
        <f t="shared" si="152"/>
        <v>2.68</v>
      </c>
      <c r="BL108" s="42">
        <f t="shared" si="153"/>
        <v>2.68</v>
      </c>
      <c r="BM108" s="42">
        <f t="shared" si="99"/>
        <v>2.68</v>
      </c>
      <c r="BN108" s="49">
        <f t="shared" si="154"/>
        <v>3537.6000000000004</v>
      </c>
      <c r="BO108" s="49">
        <f t="shared" si="155"/>
        <v>11792</v>
      </c>
      <c r="BP108" s="49">
        <f t="shared" si="156"/>
        <v>154.77000000000001</v>
      </c>
      <c r="BQ108" s="47">
        <f t="shared" si="157"/>
        <v>4024.02</v>
      </c>
      <c r="BR108" s="21">
        <f t="shared" si="158"/>
        <v>6.1452231092498699E-2</v>
      </c>
      <c r="BS108" s="21">
        <f t="shared" si="159"/>
        <v>2.8988151364104296E-2</v>
      </c>
      <c r="BT108" s="21">
        <f t="shared" si="100"/>
        <v>5.2176779741528866E-2</v>
      </c>
      <c r="BU108" s="42">
        <f t="shared" si="160"/>
        <v>81.11694504209828</v>
      </c>
      <c r="BV108" s="42">
        <f t="shared" si="161"/>
        <v>127.5478660020589</v>
      </c>
      <c r="BW108" s="42">
        <f t="shared" si="162"/>
        <v>2.4775517145547847</v>
      </c>
      <c r="BX108" s="43">
        <f t="shared" si="163"/>
        <v>64.4163445784244</v>
      </c>
      <c r="BY108" s="49">
        <f t="shared" si="164"/>
        <v>594.65989857141892</v>
      </c>
      <c r="BZ108" s="49">
        <f t="shared" si="165"/>
        <v>348.30010899479413</v>
      </c>
      <c r="CA108" s="49">
        <f t="shared" si="101"/>
        <v>524.27138726381179</v>
      </c>
      <c r="CB108" s="49">
        <f t="shared" si="166"/>
        <v>784951.06611427292</v>
      </c>
      <c r="CC108" s="49">
        <f t="shared" si="167"/>
        <v>1532520.4795770941</v>
      </c>
      <c r="CD108" s="49">
        <f t="shared" si="168"/>
        <v>26211.736086470821</v>
      </c>
      <c r="CE108" s="47">
        <f t="shared" si="169"/>
        <v>681505.13824824127</v>
      </c>
      <c r="CF108" s="21">
        <f t="shared" si="170"/>
        <v>0.23</v>
      </c>
      <c r="CG108" s="21">
        <f t="shared" si="171"/>
        <v>0.23</v>
      </c>
      <c r="CH108" s="21">
        <f t="shared" si="102"/>
        <v>0.23</v>
      </c>
      <c r="CI108" s="42">
        <f t="shared" si="172"/>
        <v>303.60000000000002</v>
      </c>
      <c r="CJ108" s="42">
        <f t="shared" si="173"/>
        <v>1012</v>
      </c>
      <c r="CK108" s="42">
        <f t="shared" si="174"/>
        <v>13.282500000000001</v>
      </c>
      <c r="CL108" s="43">
        <f t="shared" si="175"/>
        <v>345.3450000000002</v>
      </c>
      <c r="CM108" s="21">
        <f t="shared" si="176"/>
        <v>6.7949700306537048E-2</v>
      </c>
      <c r="CN108" s="21">
        <f t="shared" si="177"/>
        <v>6.886777290285899E-2</v>
      </c>
      <c r="CO108" s="41">
        <f t="shared" si="103"/>
        <v>6.8212006762629035E-2</v>
      </c>
      <c r="CP108" s="46">
        <f t="shared" si="178"/>
        <v>89.6936044046289</v>
      </c>
      <c r="CQ108" s="46">
        <f t="shared" si="179"/>
        <v>303.01820077257958</v>
      </c>
      <c r="CR108" s="42">
        <f t="shared" si="180"/>
        <v>3.9543915883811387</v>
      </c>
      <c r="CS108" s="43">
        <f t="shared" si="181"/>
        <v>102.81418129790967</v>
      </c>
    </row>
    <row r="109" spans="1:97" ht="15.75" customHeight="1" x14ac:dyDescent="0.25">
      <c r="C109" s="1">
        <v>27</v>
      </c>
      <c r="D109" s="1">
        <f>Scenario_Info!$O$11</f>
        <v>15</v>
      </c>
      <c r="E109" s="1">
        <f>Scenario_Info!$O$12</f>
        <v>6</v>
      </c>
      <c r="F109" s="1">
        <f>Scenario_Info!$O$14/100</f>
        <v>0.11599999999999999</v>
      </c>
      <c r="G109" s="426">
        <f t="shared" si="104"/>
        <v>9.2495614373408717E-3</v>
      </c>
      <c r="H109" s="21">
        <f t="shared" si="105"/>
        <v>5.1099125190910743E-3</v>
      </c>
      <c r="I109" s="21">
        <f t="shared" si="91"/>
        <v>8.0668046035552148E-3</v>
      </c>
      <c r="J109" s="42">
        <f t="shared" si="106"/>
        <v>12.209421097289951</v>
      </c>
      <c r="K109" s="42">
        <f t="shared" si="107"/>
        <v>22.483615084000725</v>
      </c>
      <c r="L109" s="42">
        <f t="shared" si="108"/>
        <v>0.39755375870419202</v>
      </c>
      <c r="M109" s="43">
        <f t="shared" si="109"/>
        <v>10.733951485013183</v>
      </c>
      <c r="N109" s="21">
        <f t="shared" si="110"/>
        <v>7.1314374635136416E-2</v>
      </c>
      <c r="O109" s="21">
        <f t="shared" si="111"/>
        <v>5.862609064839882E-2</v>
      </c>
      <c r="P109" s="21">
        <f t="shared" si="92"/>
        <v>6.768915063892568E-2</v>
      </c>
      <c r="Q109" s="42">
        <f t="shared" si="112"/>
        <v>94.134974518380062</v>
      </c>
      <c r="R109" s="42">
        <f t="shared" si="113"/>
        <v>257.95479885295481</v>
      </c>
      <c r="S109" s="42">
        <f t="shared" si="114"/>
        <v>3.6996917636167872</v>
      </c>
      <c r="T109" s="43">
        <f t="shared" si="115"/>
        <v>99.891677617653187</v>
      </c>
      <c r="U109" s="21">
        <f t="shared" si="116"/>
        <v>5.4977507945551023E-3</v>
      </c>
      <c r="V109" s="21">
        <f t="shared" si="117"/>
        <v>4.5373688807934442E-3</v>
      </c>
      <c r="W109" s="21">
        <f t="shared" si="93"/>
        <v>5.2233559620517714E-3</v>
      </c>
      <c r="X109" s="42">
        <f t="shared" si="118"/>
        <v>7.2570310488127348</v>
      </c>
      <c r="Y109" s="42">
        <f t="shared" si="119"/>
        <v>19.964423075491155</v>
      </c>
      <c r="Z109" s="42">
        <f t="shared" si="120"/>
        <v>0.28580250523142242</v>
      </c>
      <c r="AA109" s="43">
        <f t="shared" si="121"/>
        <v>7.7166676412484048</v>
      </c>
      <c r="AB109" s="46">
        <f t="shared" si="122"/>
        <v>35.5</v>
      </c>
      <c r="AC109" s="46">
        <f t="shared" si="123"/>
        <v>35.5</v>
      </c>
      <c r="AD109" s="46">
        <f t="shared" si="94"/>
        <v>35.5</v>
      </c>
      <c r="AE109" s="49">
        <f t="shared" si="124"/>
        <v>46860</v>
      </c>
      <c r="AF109" s="49">
        <f t="shared" si="125"/>
        <v>156200</v>
      </c>
      <c r="AG109" s="49">
        <f t="shared" si="126"/>
        <v>2050.125</v>
      </c>
      <c r="AH109" s="47">
        <f t="shared" si="127"/>
        <v>55353.375</v>
      </c>
      <c r="AI109" s="41">
        <f t="shared" si="128"/>
        <v>6.0989926484335738E-2</v>
      </c>
      <c r="AJ109" s="41">
        <f t="shared" si="129"/>
        <v>3.5388847596637969E-2</v>
      </c>
      <c r="AK109" s="41">
        <f t="shared" si="95"/>
        <v>5.3675332516422092E-2</v>
      </c>
      <c r="AL109" s="42">
        <f t="shared" si="130"/>
        <v>80.506702959323178</v>
      </c>
      <c r="AM109" s="42">
        <f t="shared" si="131"/>
        <v>155.71092942520707</v>
      </c>
      <c r="AN109" s="42">
        <f t="shared" si="132"/>
        <v>2.6773326511763629</v>
      </c>
      <c r="AO109" s="44">
        <f t="shared" si="133"/>
        <v>72.287981581761798</v>
      </c>
      <c r="AP109" s="41">
        <f t="shared" si="134"/>
        <v>0.29088456772100729</v>
      </c>
      <c r="AQ109" s="41">
        <f t="shared" si="135"/>
        <v>0.18588383480909978</v>
      </c>
      <c r="AR109" s="41">
        <f t="shared" si="96"/>
        <v>0.26088435831760515</v>
      </c>
      <c r="AS109" s="42">
        <f t="shared" si="136"/>
        <v>383.96762939172964</v>
      </c>
      <c r="AT109" s="42">
        <f t="shared" si="137"/>
        <v>817.888873160039</v>
      </c>
      <c r="AU109" s="42">
        <f t="shared" si="138"/>
        <v>13.333559599795221</v>
      </c>
      <c r="AV109" s="43">
        <f t="shared" si="139"/>
        <v>360.00610919447075</v>
      </c>
      <c r="AW109" s="41">
        <f t="shared" si="140"/>
        <v>8.1443089558856319E-2</v>
      </c>
      <c r="AX109" s="41">
        <f t="shared" si="141"/>
        <v>4.9112238880035609E-2</v>
      </c>
      <c r="AY109" s="41">
        <f t="shared" si="97"/>
        <v>7.220570365062183E-2</v>
      </c>
      <c r="AZ109" s="42">
        <f t="shared" si="142"/>
        <v>107.50487821769035</v>
      </c>
      <c r="BA109" s="42">
        <f t="shared" si="143"/>
        <v>216.09385107215667</v>
      </c>
      <c r="BB109" s="42">
        <f t="shared" si="144"/>
        <v>3.6364203496228691</v>
      </c>
      <c r="BC109" s="43">
        <f t="shared" si="145"/>
        <v>98.183349439817434</v>
      </c>
      <c r="BD109" s="41">
        <f t="shared" si="146"/>
        <v>0.75744955016892113</v>
      </c>
      <c r="BE109" s="41">
        <f t="shared" si="147"/>
        <v>0.73745082773856463</v>
      </c>
      <c r="BF109" s="41">
        <f t="shared" si="98"/>
        <v>0.75173562947453354</v>
      </c>
      <c r="BG109" s="49">
        <f t="shared" si="148"/>
        <v>999.8334062229759</v>
      </c>
      <c r="BH109" s="49">
        <f t="shared" si="149"/>
        <v>3244.7836420496842</v>
      </c>
      <c r="BI109" s="49">
        <f t="shared" si="150"/>
        <v>43.082753682053429</v>
      </c>
      <c r="BJ109" s="47">
        <f t="shared" si="151"/>
        <v>1163.2343494154422</v>
      </c>
      <c r="BK109" s="42">
        <f t="shared" si="152"/>
        <v>2.68</v>
      </c>
      <c r="BL109" s="42">
        <f t="shared" si="153"/>
        <v>2.68</v>
      </c>
      <c r="BM109" s="42">
        <f t="shared" si="99"/>
        <v>2.68</v>
      </c>
      <c r="BN109" s="49">
        <f t="shared" si="154"/>
        <v>3537.6000000000004</v>
      </c>
      <c r="BO109" s="49">
        <f t="shared" si="155"/>
        <v>11792</v>
      </c>
      <c r="BP109" s="49">
        <f t="shared" si="156"/>
        <v>154.77000000000001</v>
      </c>
      <c r="BQ109" s="47">
        <f t="shared" si="157"/>
        <v>4178.79</v>
      </c>
      <c r="BR109" s="21">
        <f t="shared" si="158"/>
        <v>6.1452231092498699E-2</v>
      </c>
      <c r="BS109" s="21">
        <f t="shared" si="159"/>
        <v>2.8988151364104296E-2</v>
      </c>
      <c r="BT109" s="21">
        <f t="shared" si="100"/>
        <v>5.2176779741528866E-2</v>
      </c>
      <c r="BU109" s="42">
        <f t="shared" si="160"/>
        <v>81.11694504209828</v>
      </c>
      <c r="BV109" s="42">
        <f t="shared" si="161"/>
        <v>127.5478660020589</v>
      </c>
      <c r="BW109" s="42">
        <f t="shared" si="162"/>
        <v>2.4775517145547847</v>
      </c>
      <c r="BX109" s="43">
        <f t="shared" si="163"/>
        <v>66.893896292979178</v>
      </c>
      <c r="BY109" s="49">
        <f t="shared" si="164"/>
        <v>594.65989857141892</v>
      </c>
      <c r="BZ109" s="49">
        <f t="shared" si="165"/>
        <v>348.30010899479413</v>
      </c>
      <c r="CA109" s="49">
        <f t="shared" si="101"/>
        <v>524.27138726381179</v>
      </c>
      <c r="CB109" s="49">
        <f t="shared" si="166"/>
        <v>784951.06611427292</v>
      </c>
      <c r="CC109" s="49">
        <f t="shared" si="167"/>
        <v>1532520.4795770941</v>
      </c>
      <c r="CD109" s="49">
        <f t="shared" si="168"/>
        <v>26211.736086470821</v>
      </c>
      <c r="CE109" s="47">
        <f t="shared" si="169"/>
        <v>707716.87433471205</v>
      </c>
      <c r="CF109" s="21">
        <f t="shared" si="170"/>
        <v>0.23</v>
      </c>
      <c r="CG109" s="21">
        <f t="shared" si="171"/>
        <v>0.23</v>
      </c>
      <c r="CH109" s="21">
        <f t="shared" si="102"/>
        <v>0.23</v>
      </c>
      <c r="CI109" s="42">
        <f t="shared" si="172"/>
        <v>303.60000000000002</v>
      </c>
      <c r="CJ109" s="42">
        <f t="shared" si="173"/>
        <v>1012</v>
      </c>
      <c r="CK109" s="42">
        <f t="shared" si="174"/>
        <v>13.282500000000001</v>
      </c>
      <c r="CL109" s="43">
        <f t="shared" si="175"/>
        <v>358.62750000000023</v>
      </c>
      <c r="CM109" s="21">
        <f t="shared" si="176"/>
        <v>6.7949700306537048E-2</v>
      </c>
      <c r="CN109" s="21">
        <f t="shared" si="177"/>
        <v>6.886777290285899E-2</v>
      </c>
      <c r="CO109" s="41">
        <f t="shared" si="103"/>
        <v>6.8212006762629035E-2</v>
      </c>
      <c r="CP109" s="46">
        <f t="shared" si="178"/>
        <v>89.6936044046289</v>
      </c>
      <c r="CQ109" s="46">
        <f t="shared" si="179"/>
        <v>303.01820077257958</v>
      </c>
      <c r="CR109" s="42">
        <f t="shared" si="180"/>
        <v>3.9543915883811387</v>
      </c>
      <c r="CS109" s="43">
        <f t="shared" si="181"/>
        <v>106.76857288629081</v>
      </c>
    </row>
    <row r="110" spans="1:97" s="6" customFormat="1" ht="15.75" customHeight="1" x14ac:dyDescent="0.25">
      <c r="A110"/>
      <c r="B110"/>
      <c r="C110" s="1">
        <v>28</v>
      </c>
      <c r="D110" s="1">
        <f>Scenario_Info!$O$11</f>
        <v>15</v>
      </c>
      <c r="E110" s="1">
        <f>Scenario_Info!$O$12</f>
        <v>6</v>
      </c>
      <c r="F110" s="1">
        <f>Scenario_Info!$O$14/100</f>
        <v>0.11599999999999999</v>
      </c>
      <c r="G110" s="426">
        <f t="shared" si="104"/>
        <v>9.2495614373408717E-3</v>
      </c>
      <c r="H110" s="21">
        <f t="shared" si="105"/>
        <v>5.1099125190910743E-3</v>
      </c>
      <c r="I110" s="21">
        <f t="shared" si="91"/>
        <v>8.0668046035552148E-3</v>
      </c>
      <c r="J110" s="42">
        <f t="shared" si="106"/>
        <v>12.209421097289951</v>
      </c>
      <c r="K110" s="42">
        <f t="shared" si="107"/>
        <v>22.483615084000725</v>
      </c>
      <c r="L110" s="42">
        <f t="shared" si="108"/>
        <v>0.39755375870419202</v>
      </c>
      <c r="M110" s="43">
        <f t="shared" si="109"/>
        <v>11.131505243717374</v>
      </c>
      <c r="N110" s="21">
        <f t="shared" si="110"/>
        <v>7.1314374635136416E-2</v>
      </c>
      <c r="O110" s="21">
        <f t="shared" si="111"/>
        <v>5.862609064839882E-2</v>
      </c>
      <c r="P110" s="21">
        <f t="shared" si="92"/>
        <v>6.768915063892568E-2</v>
      </c>
      <c r="Q110" s="42">
        <f t="shared" si="112"/>
        <v>94.134974518380062</v>
      </c>
      <c r="R110" s="42">
        <f t="shared" si="113"/>
        <v>257.95479885295481</v>
      </c>
      <c r="S110" s="42">
        <f t="shared" si="114"/>
        <v>3.6996917636167872</v>
      </c>
      <c r="T110" s="43">
        <f t="shared" si="115"/>
        <v>103.59136938126997</v>
      </c>
      <c r="U110" s="21">
        <f t="shared" si="116"/>
        <v>5.4977507945551023E-3</v>
      </c>
      <c r="V110" s="21">
        <f t="shared" si="117"/>
        <v>4.5373688807934442E-3</v>
      </c>
      <c r="W110" s="21">
        <f t="shared" si="93"/>
        <v>5.2233559620517714E-3</v>
      </c>
      <c r="X110" s="42">
        <f t="shared" si="118"/>
        <v>7.2570310488127348</v>
      </c>
      <c r="Y110" s="42">
        <f t="shared" si="119"/>
        <v>19.964423075491155</v>
      </c>
      <c r="Z110" s="42">
        <f t="shared" si="120"/>
        <v>0.28580250523142242</v>
      </c>
      <c r="AA110" s="43">
        <f t="shared" si="121"/>
        <v>8.002470146479828</v>
      </c>
      <c r="AB110" s="46">
        <f t="shared" si="122"/>
        <v>35.5</v>
      </c>
      <c r="AC110" s="46">
        <f t="shared" si="123"/>
        <v>35.5</v>
      </c>
      <c r="AD110" s="46">
        <f t="shared" si="94"/>
        <v>35.5</v>
      </c>
      <c r="AE110" s="49">
        <f t="shared" si="124"/>
        <v>46860</v>
      </c>
      <c r="AF110" s="49">
        <f t="shared" si="125"/>
        <v>156200</v>
      </c>
      <c r="AG110" s="49">
        <f t="shared" si="126"/>
        <v>2050.125</v>
      </c>
      <c r="AH110" s="47">
        <f t="shared" si="127"/>
        <v>57403.5</v>
      </c>
      <c r="AI110" s="41">
        <f t="shared" si="128"/>
        <v>6.0989926484335738E-2</v>
      </c>
      <c r="AJ110" s="41">
        <f t="shared" si="129"/>
        <v>3.5388847596637969E-2</v>
      </c>
      <c r="AK110" s="41">
        <f t="shared" si="95"/>
        <v>5.3675332516422092E-2</v>
      </c>
      <c r="AL110" s="42">
        <f t="shared" si="130"/>
        <v>80.506702959323178</v>
      </c>
      <c r="AM110" s="42">
        <f t="shared" si="131"/>
        <v>155.71092942520707</v>
      </c>
      <c r="AN110" s="42">
        <f t="shared" si="132"/>
        <v>2.6773326511763629</v>
      </c>
      <c r="AO110" s="44">
        <f t="shared" si="133"/>
        <v>74.965314232938155</v>
      </c>
      <c r="AP110" s="41">
        <f t="shared" si="134"/>
        <v>0.29088456772100729</v>
      </c>
      <c r="AQ110" s="41">
        <f t="shared" si="135"/>
        <v>0.18588383480909978</v>
      </c>
      <c r="AR110" s="41">
        <f t="shared" si="96"/>
        <v>0.26088435831760515</v>
      </c>
      <c r="AS110" s="42">
        <f t="shared" si="136"/>
        <v>383.96762939172964</v>
      </c>
      <c r="AT110" s="42">
        <f t="shared" si="137"/>
        <v>817.888873160039</v>
      </c>
      <c r="AU110" s="42">
        <f t="shared" si="138"/>
        <v>13.333559599795221</v>
      </c>
      <c r="AV110" s="43">
        <f t="shared" si="139"/>
        <v>373.33966879426595</v>
      </c>
      <c r="AW110" s="41">
        <f t="shared" si="140"/>
        <v>8.1443089558856319E-2</v>
      </c>
      <c r="AX110" s="41">
        <f t="shared" si="141"/>
        <v>4.9112238880035609E-2</v>
      </c>
      <c r="AY110" s="41">
        <f t="shared" si="97"/>
        <v>7.220570365062183E-2</v>
      </c>
      <c r="AZ110" s="42">
        <f t="shared" si="142"/>
        <v>107.50487821769035</v>
      </c>
      <c r="BA110" s="42">
        <f t="shared" si="143"/>
        <v>216.09385107215667</v>
      </c>
      <c r="BB110" s="42">
        <f t="shared" si="144"/>
        <v>3.6364203496228691</v>
      </c>
      <c r="BC110" s="43">
        <f t="shared" si="145"/>
        <v>101.8197697894403</v>
      </c>
      <c r="BD110" s="41">
        <f t="shared" si="146"/>
        <v>0.75744955016892113</v>
      </c>
      <c r="BE110" s="41">
        <f t="shared" si="147"/>
        <v>0.73745082773856463</v>
      </c>
      <c r="BF110" s="41">
        <f t="shared" si="98"/>
        <v>0.75173562947453354</v>
      </c>
      <c r="BG110" s="49">
        <f t="shared" si="148"/>
        <v>999.8334062229759</v>
      </c>
      <c r="BH110" s="49">
        <f t="shared" si="149"/>
        <v>3244.7836420496842</v>
      </c>
      <c r="BI110" s="49">
        <f t="shared" si="150"/>
        <v>43.082753682053429</v>
      </c>
      <c r="BJ110" s="47">
        <f t="shared" si="151"/>
        <v>1206.3171030974956</v>
      </c>
      <c r="BK110" s="42">
        <f t="shared" si="152"/>
        <v>2.68</v>
      </c>
      <c r="BL110" s="42">
        <f t="shared" si="153"/>
        <v>2.68</v>
      </c>
      <c r="BM110" s="42">
        <f t="shared" si="99"/>
        <v>2.68</v>
      </c>
      <c r="BN110" s="49">
        <f t="shared" si="154"/>
        <v>3537.6000000000004</v>
      </c>
      <c r="BO110" s="49">
        <f t="shared" si="155"/>
        <v>11792</v>
      </c>
      <c r="BP110" s="49">
        <f t="shared" si="156"/>
        <v>154.77000000000001</v>
      </c>
      <c r="BQ110" s="47">
        <f t="shared" si="157"/>
        <v>4333.5600000000004</v>
      </c>
      <c r="BR110" s="21">
        <f t="shared" si="158"/>
        <v>6.1452231092498699E-2</v>
      </c>
      <c r="BS110" s="21">
        <f t="shared" si="159"/>
        <v>2.8988151364104296E-2</v>
      </c>
      <c r="BT110" s="21">
        <f t="shared" si="100"/>
        <v>5.2176779741528866E-2</v>
      </c>
      <c r="BU110" s="42">
        <f t="shared" si="160"/>
        <v>81.11694504209828</v>
      </c>
      <c r="BV110" s="42">
        <f t="shared" si="161"/>
        <v>127.5478660020589</v>
      </c>
      <c r="BW110" s="42">
        <f t="shared" si="162"/>
        <v>2.4775517145547847</v>
      </c>
      <c r="BX110" s="43">
        <f t="shared" si="163"/>
        <v>69.371448007533957</v>
      </c>
      <c r="BY110" s="49">
        <f t="shared" si="164"/>
        <v>594.65989857141892</v>
      </c>
      <c r="BZ110" s="49">
        <f t="shared" si="165"/>
        <v>348.30010899479413</v>
      </c>
      <c r="CA110" s="49">
        <f t="shared" si="101"/>
        <v>524.27138726381179</v>
      </c>
      <c r="CB110" s="49">
        <f t="shared" si="166"/>
        <v>784951.06611427292</v>
      </c>
      <c r="CC110" s="49">
        <f t="shared" si="167"/>
        <v>1532520.4795770941</v>
      </c>
      <c r="CD110" s="49">
        <f t="shared" si="168"/>
        <v>26211.736086470821</v>
      </c>
      <c r="CE110" s="47">
        <f t="shared" si="169"/>
        <v>733928.61042118282</v>
      </c>
      <c r="CF110" s="21">
        <f t="shared" si="170"/>
        <v>0.23</v>
      </c>
      <c r="CG110" s="21">
        <f t="shared" si="171"/>
        <v>0.23</v>
      </c>
      <c r="CH110" s="21">
        <f t="shared" si="102"/>
        <v>0.23</v>
      </c>
      <c r="CI110" s="42">
        <f t="shared" si="172"/>
        <v>303.60000000000002</v>
      </c>
      <c r="CJ110" s="42">
        <f t="shared" si="173"/>
        <v>1012</v>
      </c>
      <c r="CK110" s="42">
        <f t="shared" si="174"/>
        <v>13.282500000000001</v>
      </c>
      <c r="CL110" s="43">
        <f t="shared" si="175"/>
        <v>371.91000000000025</v>
      </c>
      <c r="CM110" s="21">
        <f t="shared" si="176"/>
        <v>6.7949700306537048E-2</v>
      </c>
      <c r="CN110" s="21">
        <f t="shared" si="177"/>
        <v>6.886777290285899E-2</v>
      </c>
      <c r="CO110" s="41">
        <f t="shared" si="103"/>
        <v>6.8212006762629035E-2</v>
      </c>
      <c r="CP110" s="46">
        <f t="shared" si="178"/>
        <v>89.6936044046289</v>
      </c>
      <c r="CQ110" s="46">
        <f t="shared" si="179"/>
        <v>303.01820077257958</v>
      </c>
      <c r="CR110" s="42">
        <f t="shared" si="180"/>
        <v>3.9543915883811387</v>
      </c>
      <c r="CS110" s="43">
        <f t="shared" si="181"/>
        <v>110.72296447467195</v>
      </c>
    </row>
    <row r="111" spans="1:97" ht="15.75" customHeight="1" x14ac:dyDescent="0.25">
      <c r="C111" s="1">
        <v>29</v>
      </c>
      <c r="D111" s="1">
        <f>Scenario_Info!$O$11</f>
        <v>15</v>
      </c>
      <c r="E111" s="1">
        <f>Scenario_Info!$O$12</f>
        <v>6</v>
      </c>
      <c r="F111" s="1">
        <f>Scenario_Info!$O$14/100</f>
        <v>0.11599999999999999</v>
      </c>
      <c r="G111" s="426">
        <f t="shared" si="104"/>
        <v>9.2495614373408717E-3</v>
      </c>
      <c r="H111" s="21">
        <f t="shared" si="105"/>
        <v>5.1099125190910743E-3</v>
      </c>
      <c r="I111" s="21">
        <f t="shared" si="91"/>
        <v>8.0668046035552148E-3</v>
      </c>
      <c r="J111" s="42">
        <f t="shared" si="106"/>
        <v>12.209421097289951</v>
      </c>
      <c r="K111" s="42">
        <f t="shared" si="107"/>
        <v>22.483615084000725</v>
      </c>
      <c r="L111" s="42">
        <f t="shared" si="108"/>
        <v>0.39755375870419202</v>
      </c>
      <c r="M111" s="43">
        <f t="shared" si="109"/>
        <v>11.529059002421565</v>
      </c>
      <c r="N111" s="21">
        <f t="shared" si="110"/>
        <v>7.1314374635136416E-2</v>
      </c>
      <c r="O111" s="21">
        <f t="shared" si="111"/>
        <v>5.862609064839882E-2</v>
      </c>
      <c r="P111" s="21">
        <f t="shared" si="92"/>
        <v>6.768915063892568E-2</v>
      </c>
      <c r="Q111" s="42">
        <f t="shared" si="112"/>
        <v>94.134974518380062</v>
      </c>
      <c r="R111" s="42">
        <f t="shared" si="113"/>
        <v>257.95479885295481</v>
      </c>
      <c r="S111" s="42">
        <f t="shared" si="114"/>
        <v>3.6996917636167872</v>
      </c>
      <c r="T111" s="43">
        <f t="shared" si="115"/>
        <v>107.29106114488675</v>
      </c>
      <c r="U111" s="21">
        <f t="shared" si="116"/>
        <v>5.4977507945551023E-3</v>
      </c>
      <c r="V111" s="21">
        <f t="shared" si="117"/>
        <v>4.5373688807934442E-3</v>
      </c>
      <c r="W111" s="21">
        <f t="shared" si="93"/>
        <v>5.2233559620517714E-3</v>
      </c>
      <c r="X111" s="42">
        <f t="shared" si="118"/>
        <v>7.2570310488127348</v>
      </c>
      <c r="Y111" s="42">
        <f t="shared" si="119"/>
        <v>19.964423075491155</v>
      </c>
      <c r="Z111" s="42">
        <f t="shared" si="120"/>
        <v>0.28580250523142242</v>
      </c>
      <c r="AA111" s="43">
        <f t="shared" si="121"/>
        <v>8.2882726517112513</v>
      </c>
      <c r="AB111" s="46">
        <f t="shared" si="122"/>
        <v>35.5</v>
      </c>
      <c r="AC111" s="46">
        <f t="shared" si="123"/>
        <v>35.5</v>
      </c>
      <c r="AD111" s="46">
        <f t="shared" si="94"/>
        <v>35.5</v>
      </c>
      <c r="AE111" s="49">
        <f t="shared" si="124"/>
        <v>46860</v>
      </c>
      <c r="AF111" s="49">
        <f t="shared" si="125"/>
        <v>156200</v>
      </c>
      <c r="AG111" s="49">
        <f t="shared" si="126"/>
        <v>2050.125</v>
      </c>
      <c r="AH111" s="47">
        <f t="shared" si="127"/>
        <v>59453.625</v>
      </c>
      <c r="AI111" s="41">
        <f t="shared" si="128"/>
        <v>6.0989926484335738E-2</v>
      </c>
      <c r="AJ111" s="41">
        <f t="shared" si="129"/>
        <v>3.5388847596637969E-2</v>
      </c>
      <c r="AK111" s="41">
        <f t="shared" si="95"/>
        <v>5.3675332516422092E-2</v>
      </c>
      <c r="AL111" s="42">
        <f t="shared" si="130"/>
        <v>80.506702959323178</v>
      </c>
      <c r="AM111" s="42">
        <f t="shared" si="131"/>
        <v>155.71092942520707</v>
      </c>
      <c r="AN111" s="42">
        <f t="shared" si="132"/>
        <v>2.6773326511763629</v>
      </c>
      <c r="AO111" s="44">
        <f t="shared" si="133"/>
        <v>77.642646884114512</v>
      </c>
      <c r="AP111" s="41">
        <f t="shared" si="134"/>
        <v>0.29088456772100729</v>
      </c>
      <c r="AQ111" s="41">
        <f t="shared" si="135"/>
        <v>0.18588383480909978</v>
      </c>
      <c r="AR111" s="41">
        <f t="shared" si="96"/>
        <v>0.26088435831760515</v>
      </c>
      <c r="AS111" s="42">
        <f t="shared" si="136"/>
        <v>383.96762939172964</v>
      </c>
      <c r="AT111" s="42">
        <f t="shared" si="137"/>
        <v>817.888873160039</v>
      </c>
      <c r="AU111" s="42">
        <f t="shared" si="138"/>
        <v>13.333559599795221</v>
      </c>
      <c r="AV111" s="43">
        <f t="shared" si="139"/>
        <v>386.67322839406114</v>
      </c>
      <c r="AW111" s="41">
        <f t="shared" si="140"/>
        <v>8.1443089558856319E-2</v>
      </c>
      <c r="AX111" s="41">
        <f t="shared" si="141"/>
        <v>4.9112238880035609E-2</v>
      </c>
      <c r="AY111" s="41">
        <f t="shared" si="97"/>
        <v>7.220570365062183E-2</v>
      </c>
      <c r="AZ111" s="42">
        <f t="shared" si="142"/>
        <v>107.50487821769035</v>
      </c>
      <c r="BA111" s="42">
        <f t="shared" si="143"/>
        <v>216.09385107215667</v>
      </c>
      <c r="BB111" s="42">
        <f t="shared" si="144"/>
        <v>3.6364203496228691</v>
      </c>
      <c r="BC111" s="43">
        <f t="shared" si="145"/>
        <v>105.45619013906317</v>
      </c>
      <c r="BD111" s="41">
        <f t="shared" si="146"/>
        <v>0.75744955016892113</v>
      </c>
      <c r="BE111" s="41">
        <f t="shared" si="147"/>
        <v>0.73745082773856463</v>
      </c>
      <c r="BF111" s="41">
        <f t="shared" si="98"/>
        <v>0.75173562947453354</v>
      </c>
      <c r="BG111" s="49">
        <f t="shared" si="148"/>
        <v>999.8334062229759</v>
      </c>
      <c r="BH111" s="49">
        <f t="shared" si="149"/>
        <v>3244.7836420496842</v>
      </c>
      <c r="BI111" s="49">
        <f t="shared" si="150"/>
        <v>43.082753682053429</v>
      </c>
      <c r="BJ111" s="47">
        <f t="shared" si="151"/>
        <v>1249.3998567795491</v>
      </c>
      <c r="BK111" s="42">
        <f t="shared" si="152"/>
        <v>2.68</v>
      </c>
      <c r="BL111" s="42">
        <f t="shared" si="153"/>
        <v>2.68</v>
      </c>
      <c r="BM111" s="42">
        <f t="shared" si="99"/>
        <v>2.68</v>
      </c>
      <c r="BN111" s="49">
        <f t="shared" si="154"/>
        <v>3537.6000000000004</v>
      </c>
      <c r="BO111" s="49">
        <f t="shared" si="155"/>
        <v>11792</v>
      </c>
      <c r="BP111" s="49">
        <f t="shared" si="156"/>
        <v>154.77000000000001</v>
      </c>
      <c r="BQ111" s="47">
        <f t="shared" si="157"/>
        <v>4488.3300000000008</v>
      </c>
      <c r="BR111" s="21">
        <f t="shared" si="158"/>
        <v>6.1452231092498699E-2</v>
      </c>
      <c r="BS111" s="21">
        <f t="shared" si="159"/>
        <v>2.8988151364104296E-2</v>
      </c>
      <c r="BT111" s="21">
        <f t="shared" si="100"/>
        <v>5.2176779741528866E-2</v>
      </c>
      <c r="BU111" s="42">
        <f t="shared" si="160"/>
        <v>81.11694504209828</v>
      </c>
      <c r="BV111" s="42">
        <f t="shared" si="161"/>
        <v>127.5478660020589</v>
      </c>
      <c r="BW111" s="42">
        <f t="shared" si="162"/>
        <v>2.4775517145547847</v>
      </c>
      <c r="BX111" s="43">
        <f t="shared" si="163"/>
        <v>71.848999722088735</v>
      </c>
      <c r="BY111" s="49">
        <f t="shared" si="164"/>
        <v>594.65989857141892</v>
      </c>
      <c r="BZ111" s="49">
        <f t="shared" si="165"/>
        <v>348.30010899479413</v>
      </c>
      <c r="CA111" s="49">
        <f t="shared" si="101"/>
        <v>524.27138726381179</v>
      </c>
      <c r="CB111" s="49">
        <f t="shared" si="166"/>
        <v>784951.06611427292</v>
      </c>
      <c r="CC111" s="49">
        <f t="shared" si="167"/>
        <v>1532520.4795770941</v>
      </c>
      <c r="CD111" s="49">
        <f t="shared" si="168"/>
        <v>26211.736086470821</v>
      </c>
      <c r="CE111" s="47">
        <f t="shared" si="169"/>
        <v>760140.34650765359</v>
      </c>
      <c r="CF111" s="21">
        <f t="shared" si="170"/>
        <v>0.23</v>
      </c>
      <c r="CG111" s="21">
        <f t="shared" si="171"/>
        <v>0.23</v>
      </c>
      <c r="CH111" s="21">
        <f t="shared" si="102"/>
        <v>0.23</v>
      </c>
      <c r="CI111" s="42">
        <f t="shared" si="172"/>
        <v>303.60000000000002</v>
      </c>
      <c r="CJ111" s="42">
        <f t="shared" si="173"/>
        <v>1012</v>
      </c>
      <c r="CK111" s="42">
        <f t="shared" si="174"/>
        <v>13.282500000000001</v>
      </c>
      <c r="CL111" s="43">
        <f t="shared" si="175"/>
        <v>385.19250000000028</v>
      </c>
      <c r="CM111" s="21">
        <f t="shared" si="176"/>
        <v>6.7949700306537048E-2</v>
      </c>
      <c r="CN111" s="21">
        <f t="shared" si="177"/>
        <v>6.886777290285899E-2</v>
      </c>
      <c r="CO111" s="41">
        <f t="shared" si="103"/>
        <v>6.8212006762629035E-2</v>
      </c>
      <c r="CP111" s="46">
        <f t="shared" si="178"/>
        <v>89.6936044046289</v>
      </c>
      <c r="CQ111" s="46">
        <f t="shared" si="179"/>
        <v>303.01820077257958</v>
      </c>
      <c r="CR111" s="42">
        <f t="shared" si="180"/>
        <v>3.9543915883811387</v>
      </c>
      <c r="CS111" s="43">
        <f t="shared" si="181"/>
        <v>114.6773560630531</v>
      </c>
    </row>
    <row r="112" spans="1:97" x14ac:dyDescent="0.25">
      <c r="C112" s="326">
        <v>30</v>
      </c>
      <c r="D112" s="326">
        <f>Scenario_Info!$O$11</f>
        <v>15</v>
      </c>
      <c r="E112" s="326">
        <f>Scenario_Info!$O$12</f>
        <v>6</v>
      </c>
      <c r="F112" s="431">
        <f>Scenario_Info!$O$14/100</f>
        <v>0.11599999999999999</v>
      </c>
      <c r="G112" s="427">
        <f t="shared" si="104"/>
        <v>9.2495614373408717E-3</v>
      </c>
      <c r="H112" s="428">
        <f t="shared" si="105"/>
        <v>5.1099125190910743E-3</v>
      </c>
      <c r="I112" s="428">
        <f t="shared" si="91"/>
        <v>8.0668046035552148E-3</v>
      </c>
      <c r="J112" s="429">
        <f t="shared" si="106"/>
        <v>12.209421097289951</v>
      </c>
      <c r="K112" s="429">
        <f t="shared" si="107"/>
        <v>22.483615084000725</v>
      </c>
      <c r="L112" s="429">
        <f t="shared" si="108"/>
        <v>0.39755375870419202</v>
      </c>
      <c r="M112" s="430">
        <f t="shared" si="109"/>
        <v>11.926612761125757</v>
      </c>
      <c r="N112" s="427">
        <f t="shared" si="110"/>
        <v>7.1314374635136416E-2</v>
      </c>
      <c r="O112" s="428">
        <f t="shared" si="111"/>
        <v>5.862609064839882E-2</v>
      </c>
      <c r="P112" s="428">
        <f t="shared" si="92"/>
        <v>6.768915063892568E-2</v>
      </c>
      <c r="Q112" s="429">
        <f t="shared" si="112"/>
        <v>94.134974518380062</v>
      </c>
      <c r="R112" s="429">
        <f t="shared" si="113"/>
        <v>257.95479885295481</v>
      </c>
      <c r="S112" s="429">
        <f t="shared" si="114"/>
        <v>3.6996917636167872</v>
      </c>
      <c r="T112" s="430">
        <f t="shared" si="115"/>
        <v>110.99075290850354</v>
      </c>
      <c r="U112" s="428">
        <f t="shared" si="116"/>
        <v>5.4977507945551023E-3</v>
      </c>
      <c r="V112" s="428">
        <f t="shared" si="117"/>
        <v>4.5373688807934442E-3</v>
      </c>
      <c r="W112" s="428">
        <f t="shared" si="93"/>
        <v>5.2233559620517714E-3</v>
      </c>
      <c r="X112" s="429">
        <f t="shared" si="118"/>
        <v>7.2570310488127348</v>
      </c>
      <c r="Y112" s="429">
        <f t="shared" si="119"/>
        <v>19.964423075491155</v>
      </c>
      <c r="Z112" s="429">
        <f t="shared" si="120"/>
        <v>0.28580250523142242</v>
      </c>
      <c r="AA112" s="430">
        <f t="shared" si="121"/>
        <v>8.5740751569426745</v>
      </c>
      <c r="AB112" s="456">
        <f t="shared" si="122"/>
        <v>35.5</v>
      </c>
      <c r="AC112" s="456">
        <f t="shared" si="123"/>
        <v>35.5</v>
      </c>
      <c r="AD112" s="456">
        <f t="shared" si="94"/>
        <v>35.5</v>
      </c>
      <c r="AE112" s="453">
        <f t="shared" si="124"/>
        <v>46860</v>
      </c>
      <c r="AF112" s="453">
        <f t="shared" si="125"/>
        <v>156200</v>
      </c>
      <c r="AG112" s="453">
        <f t="shared" si="126"/>
        <v>2050.125</v>
      </c>
      <c r="AH112" s="454">
        <f t="shared" si="127"/>
        <v>61503.75</v>
      </c>
      <c r="AI112" s="455">
        <f t="shared" si="128"/>
        <v>6.0989926484335738E-2</v>
      </c>
      <c r="AJ112" s="455">
        <f t="shared" si="129"/>
        <v>3.5388847596637969E-2</v>
      </c>
      <c r="AK112" s="455">
        <f t="shared" si="95"/>
        <v>5.3675332516422092E-2</v>
      </c>
      <c r="AL112" s="429">
        <f t="shared" si="130"/>
        <v>80.506702959323178</v>
      </c>
      <c r="AM112" s="429">
        <f t="shared" si="131"/>
        <v>155.71092942520707</v>
      </c>
      <c r="AN112" s="429">
        <f t="shared" si="132"/>
        <v>2.6773326511763629</v>
      </c>
      <c r="AO112" s="468">
        <f t="shared" si="133"/>
        <v>80.319979535290869</v>
      </c>
      <c r="AP112" s="455">
        <f t="shared" si="134"/>
        <v>0.29088456772100729</v>
      </c>
      <c r="AQ112" s="455">
        <f t="shared" si="135"/>
        <v>0.18588383480909978</v>
      </c>
      <c r="AR112" s="455">
        <f t="shared" si="96"/>
        <v>0.26088435831760515</v>
      </c>
      <c r="AS112" s="429">
        <f t="shared" si="136"/>
        <v>383.96762939172964</v>
      </c>
      <c r="AT112" s="429">
        <f t="shared" si="137"/>
        <v>817.888873160039</v>
      </c>
      <c r="AU112" s="429">
        <f t="shared" si="138"/>
        <v>13.333559599795221</v>
      </c>
      <c r="AV112" s="430">
        <f t="shared" si="139"/>
        <v>400.00678799385634</v>
      </c>
      <c r="AW112" s="455">
        <f t="shared" si="140"/>
        <v>8.1443089558856319E-2</v>
      </c>
      <c r="AX112" s="455">
        <f t="shared" si="141"/>
        <v>4.9112238880035609E-2</v>
      </c>
      <c r="AY112" s="455">
        <f t="shared" si="97"/>
        <v>7.220570365062183E-2</v>
      </c>
      <c r="AZ112" s="429">
        <f t="shared" si="142"/>
        <v>107.50487821769035</v>
      </c>
      <c r="BA112" s="429">
        <f t="shared" si="143"/>
        <v>216.09385107215667</v>
      </c>
      <c r="BB112" s="429">
        <f t="shared" si="144"/>
        <v>3.6364203496228691</v>
      </c>
      <c r="BC112" s="430">
        <f t="shared" si="145"/>
        <v>109.09261048868603</v>
      </c>
      <c r="BD112" s="455">
        <f t="shared" si="146"/>
        <v>0.75744955016892113</v>
      </c>
      <c r="BE112" s="455">
        <f t="shared" si="147"/>
        <v>0.73745082773856463</v>
      </c>
      <c r="BF112" s="455">
        <f t="shared" si="98"/>
        <v>0.75173562947453354</v>
      </c>
      <c r="BG112" s="453">
        <f t="shared" si="148"/>
        <v>999.8334062229759</v>
      </c>
      <c r="BH112" s="453">
        <f t="shared" si="149"/>
        <v>3244.7836420496842</v>
      </c>
      <c r="BI112" s="453">
        <f t="shared" si="150"/>
        <v>43.082753682053429</v>
      </c>
      <c r="BJ112" s="454">
        <f t="shared" si="151"/>
        <v>1292.4826104616025</v>
      </c>
      <c r="BK112" s="429">
        <f t="shared" si="152"/>
        <v>2.68</v>
      </c>
      <c r="BL112" s="429">
        <f t="shared" si="153"/>
        <v>2.68</v>
      </c>
      <c r="BM112" s="429">
        <f t="shared" si="99"/>
        <v>2.68</v>
      </c>
      <c r="BN112" s="453">
        <f t="shared" si="154"/>
        <v>3537.6000000000004</v>
      </c>
      <c r="BO112" s="453">
        <f t="shared" si="155"/>
        <v>11792</v>
      </c>
      <c r="BP112" s="453">
        <f t="shared" si="156"/>
        <v>154.77000000000001</v>
      </c>
      <c r="BQ112" s="454">
        <f t="shared" si="157"/>
        <v>4643.1000000000013</v>
      </c>
      <c r="BR112" s="428">
        <f t="shared" si="158"/>
        <v>6.1452231092498699E-2</v>
      </c>
      <c r="BS112" s="428">
        <f t="shared" si="159"/>
        <v>2.8988151364104296E-2</v>
      </c>
      <c r="BT112" s="428">
        <f t="shared" si="100"/>
        <v>5.2176779741528866E-2</v>
      </c>
      <c r="BU112" s="429">
        <f t="shared" si="160"/>
        <v>81.11694504209828</v>
      </c>
      <c r="BV112" s="429">
        <f t="shared" si="161"/>
        <v>127.5478660020589</v>
      </c>
      <c r="BW112" s="429">
        <f t="shared" si="162"/>
        <v>2.4775517145547847</v>
      </c>
      <c r="BX112" s="430">
        <f t="shared" si="163"/>
        <v>74.326551436643513</v>
      </c>
      <c r="BY112" s="453">
        <f t="shared" si="164"/>
        <v>594.65989857141892</v>
      </c>
      <c r="BZ112" s="453">
        <f t="shared" si="165"/>
        <v>348.30010899479413</v>
      </c>
      <c r="CA112" s="453">
        <f t="shared" si="101"/>
        <v>524.27138726381179</v>
      </c>
      <c r="CB112" s="453">
        <f t="shared" si="166"/>
        <v>784951.06611427292</v>
      </c>
      <c r="CC112" s="453">
        <f t="shared" si="167"/>
        <v>1532520.4795770941</v>
      </c>
      <c r="CD112" s="453">
        <f t="shared" si="168"/>
        <v>26211.736086470821</v>
      </c>
      <c r="CE112" s="454">
        <f t="shared" si="169"/>
        <v>786352.08259412437</v>
      </c>
      <c r="CF112" s="428">
        <f t="shared" si="170"/>
        <v>0.23</v>
      </c>
      <c r="CG112" s="428">
        <f t="shared" si="171"/>
        <v>0.23</v>
      </c>
      <c r="CH112" s="428">
        <f t="shared" si="102"/>
        <v>0.23</v>
      </c>
      <c r="CI112" s="429">
        <f t="shared" si="172"/>
        <v>303.60000000000002</v>
      </c>
      <c r="CJ112" s="429">
        <f t="shared" si="173"/>
        <v>1012</v>
      </c>
      <c r="CK112" s="429">
        <f t="shared" si="174"/>
        <v>13.282500000000001</v>
      </c>
      <c r="CL112" s="430">
        <f t="shared" si="175"/>
        <v>398.47500000000031</v>
      </c>
      <c r="CM112" s="428">
        <f t="shared" si="176"/>
        <v>6.7949700306537048E-2</v>
      </c>
      <c r="CN112" s="428">
        <f t="shared" si="177"/>
        <v>6.886777290285899E-2</v>
      </c>
      <c r="CO112" s="455">
        <f t="shared" si="103"/>
        <v>6.8212006762629035E-2</v>
      </c>
      <c r="CP112" s="456">
        <f t="shared" si="178"/>
        <v>89.6936044046289</v>
      </c>
      <c r="CQ112" s="456">
        <f t="shared" si="179"/>
        <v>303.01820077257958</v>
      </c>
      <c r="CR112" s="429">
        <f t="shared" si="180"/>
        <v>3.9543915883811387</v>
      </c>
      <c r="CS112" s="430">
        <f t="shared" si="181"/>
        <v>118.63174765143424</v>
      </c>
    </row>
    <row r="113" spans="1:97" x14ac:dyDescent="0.25">
      <c r="A113" s="6"/>
      <c r="B113" s="6"/>
      <c r="C113" s="6"/>
      <c r="D113" s="6"/>
      <c r="E113" s="6"/>
      <c r="F113" s="29" t="s">
        <v>68</v>
      </c>
      <c r="G113" s="29"/>
      <c r="H113" s="29"/>
      <c r="I113" s="29"/>
      <c r="J113" s="29"/>
      <c r="K113" s="29"/>
      <c r="L113" s="29"/>
      <c r="M113" s="30">
        <f>(1-M112/J71)</f>
        <v>0.99995034413931438</v>
      </c>
      <c r="N113" s="30"/>
      <c r="O113" s="30"/>
      <c r="P113" s="30"/>
      <c r="Q113" s="6"/>
      <c r="R113" s="6"/>
      <c r="S113" s="6"/>
      <c r="T113" s="30">
        <f>(1-T112/Q71)</f>
        <v>0.99996751298215969</v>
      </c>
      <c r="U113" s="30"/>
      <c r="V113" s="30"/>
      <c r="W113" s="30"/>
      <c r="X113" s="6"/>
      <c r="Y113" s="6"/>
      <c r="Z113" s="6"/>
      <c r="AA113" s="30">
        <f>(1-AA112/X71)</f>
        <v>0.99999493186080946</v>
      </c>
      <c r="AB113" s="30"/>
      <c r="AC113" s="30"/>
      <c r="AD113" s="30"/>
      <c r="AE113" s="6"/>
      <c r="AF113" s="6"/>
      <c r="AG113" s="6"/>
      <c r="AH113" s="30">
        <f>(1-AH112/AE71)</f>
        <v>0.97383549528301883</v>
      </c>
      <c r="AI113" s="30"/>
      <c r="AJ113" s="30"/>
      <c r="AK113" s="30"/>
      <c r="AL113" s="6"/>
      <c r="AM113" s="6"/>
      <c r="AN113" s="6"/>
      <c r="AO113" s="30">
        <f>(1-AO112/AL71)</f>
        <v>0.99914496089371096</v>
      </c>
      <c r="AP113" s="30"/>
      <c r="AQ113" s="30"/>
      <c r="AR113" s="30"/>
      <c r="AS113" s="6"/>
      <c r="AT113" s="6"/>
      <c r="AU113" s="6"/>
      <c r="AV113" s="30">
        <f>(1-AV112/AS71)</f>
        <v>0.99999000347303457</v>
      </c>
      <c r="AW113" s="30"/>
      <c r="AX113" s="30"/>
      <c r="AY113" s="30"/>
      <c r="AZ113" s="6"/>
      <c r="BA113" s="6"/>
      <c r="BB113" s="6"/>
      <c r="BC113" s="30">
        <f>(1-BC112/AZ71)</f>
        <v>0.99991886033028632</v>
      </c>
      <c r="BD113" s="30"/>
      <c r="BE113" s="30"/>
      <c r="BF113" s="30"/>
      <c r="BG113" s="6"/>
      <c r="BH113" s="6"/>
      <c r="BI113" s="6"/>
      <c r="BJ113" s="30">
        <f>(1-BJ112/BG71)</f>
        <v>0.997453376738896</v>
      </c>
      <c r="BK113" s="30"/>
      <c r="BL113" s="30"/>
      <c r="BM113" s="30"/>
      <c r="BN113" s="6"/>
      <c r="BO113" s="6"/>
      <c r="BP113" s="6"/>
      <c r="BQ113" s="30">
        <f>(1-BQ112/BN71)</f>
        <v>0.96108490566037741</v>
      </c>
      <c r="BR113" s="30"/>
      <c r="BS113" s="30"/>
      <c r="BT113" s="30"/>
      <c r="BU113" s="6"/>
      <c r="BV113" s="6"/>
      <c r="BW113" s="6"/>
      <c r="BX113" s="30">
        <f>(1-BX112/BU71)</f>
        <v>0.99674559602024615</v>
      </c>
      <c r="BY113" s="30"/>
      <c r="BZ113" s="30"/>
      <c r="CA113" s="30"/>
      <c r="CB113" s="6"/>
      <c r="CC113" s="6"/>
      <c r="CD113" s="6"/>
      <c r="CE113" s="30">
        <f>(1-CE112/CB71)</f>
        <v>0.99171650568073211</v>
      </c>
      <c r="CF113" s="30"/>
      <c r="CG113" s="30"/>
      <c r="CH113" s="30"/>
      <c r="CI113" s="6"/>
      <c r="CJ113" s="6"/>
      <c r="CK113" s="6"/>
      <c r="CL113" s="30">
        <f>(1-CL112/CI71)</f>
        <v>0.9949000161264312</v>
      </c>
      <c r="CM113" s="30"/>
      <c r="CN113" s="30"/>
      <c r="CO113" s="30"/>
      <c r="CP113" s="6"/>
      <c r="CQ113" s="6"/>
      <c r="CR113" s="6"/>
      <c r="CS113" s="30">
        <f>(1-CS112/CP71)</f>
        <v>0.99998360194240776</v>
      </c>
    </row>
  </sheetData>
  <conditionalFormatting sqref="BK24">
    <cfRule type="cellIs" dxfId="204" priority="235" operator="greaterThanOrEqual">
      <formula>BK$15</formula>
    </cfRule>
  </conditionalFormatting>
  <conditionalFormatting sqref="BR24">
    <cfRule type="cellIs" dxfId="203" priority="234" operator="greaterThanOrEqual">
      <formula>BR$15</formula>
    </cfRule>
  </conditionalFormatting>
  <conditionalFormatting sqref="BY24">
    <cfRule type="cellIs" dxfId="202" priority="233" operator="greaterThanOrEqual">
      <formula>BY$15</formula>
    </cfRule>
  </conditionalFormatting>
  <conditionalFormatting sqref="CF24">
    <cfRule type="cellIs" dxfId="201" priority="232" operator="greaterThanOrEqual">
      <formula>CF$15</formula>
    </cfRule>
  </conditionalFormatting>
  <conditionalFormatting sqref="CM24">
    <cfRule type="cellIs" dxfId="200" priority="231" operator="greaterThanOrEqual">
      <formula>CM$15</formula>
    </cfRule>
  </conditionalFormatting>
  <conditionalFormatting sqref="G29">
    <cfRule type="cellIs" dxfId="199" priority="259" operator="greaterThan">
      <formula>G$16</formula>
    </cfRule>
  </conditionalFormatting>
  <conditionalFormatting sqref="H29">
    <cfRule type="cellIs" dxfId="198" priority="260" operator="greaterThan">
      <formula>G$16</formula>
    </cfRule>
  </conditionalFormatting>
  <conditionalFormatting sqref="AW29:AW58">
    <cfRule type="cellIs" dxfId="197" priority="169" operator="greaterThan">
      <formula>AW$16</formula>
    </cfRule>
  </conditionalFormatting>
  <conditionalFormatting sqref="AX29:AX58">
    <cfRule type="cellIs" dxfId="196" priority="170" operator="greaterThan">
      <formula>AW$16</formula>
    </cfRule>
  </conditionalFormatting>
  <conditionalFormatting sqref="AP29:AP58">
    <cfRule type="cellIs" dxfId="195" priority="173" operator="greaterThan">
      <formula>AP$16</formula>
    </cfRule>
  </conditionalFormatting>
  <conditionalFormatting sqref="AQ29:AQ58">
    <cfRule type="cellIs" dxfId="194" priority="174" operator="greaterThan">
      <formula>AP$16</formula>
    </cfRule>
  </conditionalFormatting>
  <conditionalFormatting sqref="AI29:AI58">
    <cfRule type="cellIs" dxfId="193" priority="177" operator="greaterThan">
      <formula>AI$16</formula>
    </cfRule>
  </conditionalFormatting>
  <conditionalFormatting sqref="AJ29:AJ58">
    <cfRule type="cellIs" dxfId="192" priority="178" operator="greaterThan">
      <formula>AI$16</formula>
    </cfRule>
  </conditionalFormatting>
  <conditionalFormatting sqref="AB29:AB58">
    <cfRule type="cellIs" dxfId="191" priority="181" operator="greaterThan">
      <formula>AB$16</formula>
    </cfRule>
  </conditionalFormatting>
  <conditionalFormatting sqref="AC29:AC58">
    <cfRule type="cellIs" dxfId="190" priority="182" operator="greaterThan">
      <formula>AB$16</formula>
    </cfRule>
  </conditionalFormatting>
  <conditionalFormatting sqref="U29:U58">
    <cfRule type="cellIs" dxfId="189" priority="185" operator="greaterThan">
      <formula>U$16</formula>
    </cfRule>
  </conditionalFormatting>
  <conditionalFormatting sqref="V29:V58">
    <cfRule type="cellIs" dxfId="188" priority="186" operator="greaterThan">
      <formula>U$16</formula>
    </cfRule>
  </conditionalFormatting>
  <conditionalFormatting sqref="G29">
    <cfRule type="cellIs" dxfId="187" priority="192" operator="greaterThanOrEqual">
      <formula>G$15</formula>
    </cfRule>
  </conditionalFormatting>
  <conditionalFormatting sqref="H29">
    <cfRule type="cellIs" dxfId="186" priority="191" operator="greaterThanOrEqual">
      <formula>G$15</formula>
    </cfRule>
  </conditionalFormatting>
  <conditionalFormatting sqref="H30:H58">
    <cfRule type="cellIs" dxfId="185" priority="139" operator="greaterThanOrEqual">
      <formula>G$15</formula>
    </cfRule>
  </conditionalFormatting>
  <conditionalFormatting sqref="N29:N58">
    <cfRule type="cellIs" dxfId="184" priority="189" operator="greaterThan">
      <formula>N$16</formula>
    </cfRule>
  </conditionalFormatting>
  <conditionalFormatting sqref="O29:O58">
    <cfRule type="cellIs" dxfId="183" priority="190" operator="greaterThan">
      <formula>N$16</formula>
    </cfRule>
  </conditionalFormatting>
  <conditionalFormatting sqref="N29:N58">
    <cfRule type="cellIs" dxfId="182" priority="188" operator="greaterThanOrEqual">
      <formula>N$15</formula>
    </cfRule>
  </conditionalFormatting>
  <conditionalFormatting sqref="O29:O58">
    <cfRule type="cellIs" dxfId="181" priority="187" operator="greaterThanOrEqual">
      <formula>N$15</formula>
    </cfRule>
  </conditionalFormatting>
  <conditionalFormatting sqref="U29:U58">
    <cfRule type="cellIs" dxfId="180" priority="184" operator="greaterThanOrEqual">
      <formula>U$15</formula>
    </cfRule>
  </conditionalFormatting>
  <conditionalFormatting sqref="V29:V58">
    <cfRule type="cellIs" dxfId="179" priority="183" operator="greaterThanOrEqual">
      <formula>U$15</formula>
    </cfRule>
  </conditionalFormatting>
  <conditionalFormatting sqref="AB29:AB58">
    <cfRule type="cellIs" dxfId="178" priority="180" operator="greaterThanOrEqual">
      <formula>AB$15</formula>
    </cfRule>
  </conditionalFormatting>
  <conditionalFormatting sqref="AC29:AC58">
    <cfRule type="cellIs" dxfId="177" priority="179" operator="greaterThanOrEqual">
      <formula>AB$15</formula>
    </cfRule>
  </conditionalFormatting>
  <conditionalFormatting sqref="AI29:AI58">
    <cfRule type="cellIs" dxfId="176" priority="176" operator="greaterThanOrEqual">
      <formula>AI$15</formula>
    </cfRule>
  </conditionalFormatting>
  <conditionalFormatting sqref="AJ29:AJ58">
    <cfRule type="cellIs" dxfId="175" priority="175" operator="greaterThanOrEqual">
      <formula>AI$15</formula>
    </cfRule>
  </conditionalFormatting>
  <conditionalFormatting sqref="AP29:AP58">
    <cfRule type="cellIs" dxfId="174" priority="172" operator="greaterThanOrEqual">
      <formula>AP$15</formula>
    </cfRule>
  </conditionalFormatting>
  <conditionalFormatting sqref="AQ29:AQ58">
    <cfRule type="cellIs" dxfId="173" priority="171" operator="greaterThanOrEqual">
      <formula>AP$15</formula>
    </cfRule>
  </conditionalFormatting>
  <conditionalFormatting sqref="AW29:AW58">
    <cfRule type="cellIs" dxfId="172" priority="168" operator="greaterThanOrEqual">
      <formula>AW$15</formula>
    </cfRule>
  </conditionalFormatting>
  <conditionalFormatting sqref="AX29:AX58">
    <cfRule type="cellIs" dxfId="171" priority="167" operator="greaterThanOrEqual">
      <formula>AW$15</formula>
    </cfRule>
  </conditionalFormatting>
  <conditionalFormatting sqref="BD29:BD58">
    <cfRule type="cellIs" dxfId="170" priority="165" operator="greaterThan">
      <formula>BD$16</formula>
    </cfRule>
  </conditionalFormatting>
  <conditionalFormatting sqref="BE29:BE58">
    <cfRule type="cellIs" dxfId="169" priority="166" operator="greaterThan">
      <formula>BD$16</formula>
    </cfRule>
  </conditionalFormatting>
  <conditionalFormatting sqref="BD29:BD58">
    <cfRule type="cellIs" dxfId="168" priority="164" operator="greaterThanOrEqual">
      <formula>BD$15</formula>
    </cfRule>
  </conditionalFormatting>
  <conditionalFormatting sqref="BE29:BE58">
    <cfRule type="cellIs" dxfId="167" priority="163" operator="greaterThanOrEqual">
      <formula>BD$15</formula>
    </cfRule>
  </conditionalFormatting>
  <conditionalFormatting sqref="BK29:BK58">
    <cfRule type="cellIs" dxfId="166" priority="161" operator="greaterThan">
      <formula>BK$16</formula>
    </cfRule>
  </conditionalFormatting>
  <conditionalFormatting sqref="BL29:BL58">
    <cfRule type="cellIs" dxfId="165" priority="162" operator="greaterThan">
      <formula>BK$16</formula>
    </cfRule>
  </conditionalFormatting>
  <conditionalFormatting sqref="BK29:BK58">
    <cfRule type="cellIs" dxfId="164" priority="160" operator="greaterThanOrEqual">
      <formula>BK$15</formula>
    </cfRule>
  </conditionalFormatting>
  <conditionalFormatting sqref="BL29:BL58">
    <cfRule type="cellIs" dxfId="163" priority="159" operator="greaterThanOrEqual">
      <formula>BK$15</formula>
    </cfRule>
  </conditionalFormatting>
  <conditionalFormatting sqref="BR29:BR58">
    <cfRule type="cellIs" dxfId="162" priority="157" operator="greaterThan">
      <formula>BR$16</formula>
    </cfRule>
  </conditionalFormatting>
  <conditionalFormatting sqref="BS29:BS58">
    <cfRule type="cellIs" dxfId="161" priority="158" operator="greaterThan">
      <formula>BR$16</formula>
    </cfRule>
  </conditionalFormatting>
  <conditionalFormatting sqref="BR29:BR58">
    <cfRule type="cellIs" dxfId="160" priority="156" operator="greaterThanOrEqual">
      <formula>BR$15</formula>
    </cfRule>
  </conditionalFormatting>
  <conditionalFormatting sqref="BS29:BS58">
    <cfRule type="cellIs" dxfId="159" priority="155" operator="greaterThanOrEqual">
      <formula>BR$15</formula>
    </cfRule>
  </conditionalFormatting>
  <conditionalFormatting sqref="BY29:BY58">
    <cfRule type="cellIs" dxfId="158" priority="153" operator="greaterThan">
      <formula>BY$16</formula>
    </cfRule>
  </conditionalFormatting>
  <conditionalFormatting sqref="BZ29:BZ58">
    <cfRule type="cellIs" dxfId="157" priority="154" operator="greaterThan">
      <formula>BY$16</formula>
    </cfRule>
  </conditionalFormatting>
  <conditionalFormatting sqref="BY29:BY58">
    <cfRule type="cellIs" dxfId="156" priority="152" operator="greaterThanOrEqual">
      <formula>BY$15</formula>
    </cfRule>
  </conditionalFormatting>
  <conditionalFormatting sqref="BZ29:BZ58">
    <cfRule type="cellIs" dxfId="155" priority="151" operator="greaterThanOrEqual">
      <formula>BY$15</formula>
    </cfRule>
  </conditionalFormatting>
  <conditionalFormatting sqref="CF29:CF58">
    <cfRule type="cellIs" dxfId="154" priority="149" operator="greaterThan">
      <formula>CF$16</formula>
    </cfRule>
  </conditionalFormatting>
  <conditionalFormatting sqref="CG29:CG58">
    <cfRule type="cellIs" dxfId="153" priority="150" operator="greaterThan">
      <formula>CF$16</formula>
    </cfRule>
  </conditionalFormatting>
  <conditionalFormatting sqref="CF29:CF58">
    <cfRule type="cellIs" dxfId="152" priority="148" operator="greaterThanOrEqual">
      <formula>CF$15</formula>
    </cfRule>
  </conditionalFormatting>
  <conditionalFormatting sqref="CG29:CG58">
    <cfRule type="cellIs" dxfId="151" priority="147" operator="greaterThanOrEqual">
      <formula>CF$15</formula>
    </cfRule>
  </conditionalFormatting>
  <conditionalFormatting sqref="CM29:CM58">
    <cfRule type="cellIs" dxfId="150" priority="145" operator="greaterThan">
      <formula>CM$16</formula>
    </cfRule>
  </conditionalFormatting>
  <conditionalFormatting sqref="CN29:CN58">
    <cfRule type="cellIs" dxfId="149" priority="146" operator="greaterThan">
      <formula>CM$16</formula>
    </cfRule>
  </conditionalFormatting>
  <conditionalFormatting sqref="CM29:CM58">
    <cfRule type="cellIs" dxfId="148" priority="144" operator="greaterThanOrEqual">
      <formula>CM$15</formula>
    </cfRule>
  </conditionalFormatting>
  <conditionalFormatting sqref="CN29:CN58">
    <cfRule type="cellIs" dxfId="147" priority="143" operator="greaterThanOrEqual">
      <formula>CM$15</formula>
    </cfRule>
  </conditionalFormatting>
  <conditionalFormatting sqref="G30:G58">
    <cfRule type="cellIs" dxfId="146" priority="141" operator="greaterThan">
      <formula>G$16</formula>
    </cfRule>
  </conditionalFormatting>
  <conditionalFormatting sqref="H30:H58">
    <cfRule type="cellIs" dxfId="145" priority="142" operator="greaterThan">
      <formula>G$16</formula>
    </cfRule>
  </conditionalFormatting>
  <conditionalFormatting sqref="G30:G58">
    <cfRule type="cellIs" dxfId="144" priority="140" operator="greaterThanOrEqual">
      <formula>G$15</formula>
    </cfRule>
  </conditionalFormatting>
  <conditionalFormatting sqref="BK78">
    <cfRule type="cellIs" dxfId="143" priority="136" operator="greaterThanOrEqual">
      <formula>BK$15</formula>
    </cfRule>
  </conditionalFormatting>
  <conditionalFormatting sqref="BR78">
    <cfRule type="cellIs" dxfId="142" priority="135" operator="greaterThanOrEqual">
      <formula>BR$15</formula>
    </cfRule>
  </conditionalFormatting>
  <conditionalFormatting sqref="BY78">
    <cfRule type="cellIs" dxfId="141" priority="134" operator="greaterThanOrEqual">
      <formula>BY$15</formula>
    </cfRule>
  </conditionalFormatting>
  <conditionalFormatting sqref="CF78">
    <cfRule type="cellIs" dxfId="140" priority="133" operator="greaterThanOrEqual">
      <formula>CF$15</formula>
    </cfRule>
  </conditionalFormatting>
  <conditionalFormatting sqref="CM78">
    <cfRule type="cellIs" dxfId="139" priority="132" operator="greaterThanOrEqual">
      <formula>CM$15</formula>
    </cfRule>
  </conditionalFormatting>
  <conditionalFormatting sqref="G83">
    <cfRule type="cellIs" dxfId="138" priority="137" operator="greaterThan">
      <formula>G$16</formula>
    </cfRule>
  </conditionalFormatting>
  <conditionalFormatting sqref="H83">
    <cfRule type="cellIs" dxfId="137" priority="138" operator="greaterThan">
      <formula>G$16</formula>
    </cfRule>
  </conditionalFormatting>
  <conditionalFormatting sqref="AW83:AW112">
    <cfRule type="cellIs" dxfId="136" priority="108" operator="greaterThan">
      <formula>AW$16</formula>
    </cfRule>
  </conditionalFormatting>
  <conditionalFormatting sqref="AX83:AX112">
    <cfRule type="cellIs" dxfId="135" priority="109" operator="greaterThan">
      <formula>AW$16</formula>
    </cfRule>
  </conditionalFormatting>
  <conditionalFormatting sqref="AP83:AP112">
    <cfRule type="cellIs" dxfId="134" priority="112" operator="greaterThan">
      <formula>AP$16</formula>
    </cfRule>
  </conditionalFormatting>
  <conditionalFormatting sqref="AQ83:AQ112">
    <cfRule type="cellIs" dxfId="133" priority="113" operator="greaterThan">
      <formula>AP$16</formula>
    </cfRule>
  </conditionalFormatting>
  <conditionalFormatting sqref="AI83:AI112">
    <cfRule type="cellIs" dxfId="132" priority="116" operator="greaterThan">
      <formula>AI$16</formula>
    </cfRule>
  </conditionalFormatting>
  <conditionalFormatting sqref="AJ83:AJ112">
    <cfRule type="cellIs" dxfId="131" priority="117" operator="greaterThan">
      <formula>AI$16</formula>
    </cfRule>
  </conditionalFormatting>
  <conditionalFormatting sqref="AB83:AB112">
    <cfRule type="cellIs" dxfId="130" priority="120" operator="greaterThan">
      <formula>AB$16</formula>
    </cfRule>
  </conditionalFormatting>
  <conditionalFormatting sqref="AC83:AC112">
    <cfRule type="cellIs" dxfId="129" priority="121" operator="greaterThan">
      <formula>AB$16</formula>
    </cfRule>
  </conditionalFormatting>
  <conditionalFormatting sqref="U83:U112">
    <cfRule type="cellIs" dxfId="128" priority="124" operator="greaterThan">
      <formula>U$16</formula>
    </cfRule>
  </conditionalFormatting>
  <conditionalFormatting sqref="V83:V112">
    <cfRule type="cellIs" dxfId="127" priority="125" operator="greaterThan">
      <formula>U$16</formula>
    </cfRule>
  </conditionalFormatting>
  <conditionalFormatting sqref="G83">
    <cfRule type="cellIs" dxfId="126" priority="131" operator="greaterThanOrEqual">
      <formula>G$15</formula>
    </cfRule>
  </conditionalFormatting>
  <conditionalFormatting sqref="H83">
    <cfRule type="cellIs" dxfId="125" priority="130" operator="greaterThanOrEqual">
      <formula>G$15</formula>
    </cfRule>
  </conditionalFormatting>
  <conditionalFormatting sqref="H84:H112">
    <cfRule type="cellIs" dxfId="124" priority="78" operator="greaterThanOrEqual">
      <formula>G$15</formula>
    </cfRule>
  </conditionalFormatting>
  <conditionalFormatting sqref="N83:N112">
    <cfRule type="cellIs" dxfId="123" priority="128" operator="greaterThan">
      <formula>N$16</formula>
    </cfRule>
  </conditionalFormatting>
  <conditionalFormatting sqref="O83:O112">
    <cfRule type="cellIs" dxfId="122" priority="129" operator="greaterThan">
      <formula>N$16</formula>
    </cfRule>
  </conditionalFormatting>
  <conditionalFormatting sqref="N83:N112">
    <cfRule type="cellIs" dxfId="121" priority="127" operator="greaterThanOrEqual">
      <formula>N$15</formula>
    </cfRule>
  </conditionalFormatting>
  <conditionalFormatting sqref="O83:O112">
    <cfRule type="cellIs" dxfId="120" priority="126" operator="greaterThanOrEqual">
      <formula>N$15</formula>
    </cfRule>
  </conditionalFormatting>
  <conditionalFormatting sqref="U83:U112">
    <cfRule type="cellIs" dxfId="119" priority="123" operator="greaterThanOrEqual">
      <formula>U$15</formula>
    </cfRule>
  </conditionalFormatting>
  <conditionalFormatting sqref="V83:V112">
    <cfRule type="cellIs" dxfId="118" priority="122" operator="greaterThanOrEqual">
      <formula>U$15</formula>
    </cfRule>
  </conditionalFormatting>
  <conditionalFormatting sqref="AB83:AB112">
    <cfRule type="cellIs" dxfId="117" priority="119" operator="greaterThanOrEqual">
      <formula>AB$15</formula>
    </cfRule>
  </conditionalFormatting>
  <conditionalFormatting sqref="AC83:AC112">
    <cfRule type="cellIs" dxfId="116" priority="118" operator="greaterThanOrEqual">
      <formula>AB$15</formula>
    </cfRule>
  </conditionalFormatting>
  <conditionalFormatting sqref="AI83:AI112">
    <cfRule type="cellIs" dxfId="115" priority="115" operator="greaterThanOrEqual">
      <formula>AI$15</formula>
    </cfRule>
  </conditionalFormatting>
  <conditionalFormatting sqref="AJ83:AJ112">
    <cfRule type="cellIs" dxfId="114" priority="114" operator="greaterThanOrEqual">
      <formula>AI$15</formula>
    </cfRule>
  </conditionalFormatting>
  <conditionalFormatting sqref="AP83:AP112">
    <cfRule type="cellIs" dxfId="113" priority="111" operator="greaterThanOrEqual">
      <formula>AP$15</formula>
    </cfRule>
  </conditionalFormatting>
  <conditionalFormatting sqref="AQ83:AQ112">
    <cfRule type="cellIs" dxfId="112" priority="110" operator="greaterThanOrEqual">
      <formula>AP$15</formula>
    </cfRule>
  </conditionalFormatting>
  <conditionalFormatting sqref="AW83:AW112">
    <cfRule type="cellIs" dxfId="111" priority="107" operator="greaterThanOrEqual">
      <formula>AW$15</formula>
    </cfRule>
  </conditionalFormatting>
  <conditionalFormatting sqref="AX83:AX112">
    <cfRule type="cellIs" dxfId="110" priority="106" operator="greaterThanOrEqual">
      <formula>AW$15</formula>
    </cfRule>
  </conditionalFormatting>
  <conditionalFormatting sqref="BD83:BD112">
    <cfRule type="cellIs" dxfId="109" priority="104" operator="greaterThan">
      <formula>BD$16</formula>
    </cfRule>
  </conditionalFormatting>
  <conditionalFormatting sqref="BE83:BE112">
    <cfRule type="cellIs" dxfId="108" priority="105" operator="greaterThan">
      <formula>BD$16</formula>
    </cfRule>
  </conditionalFormatting>
  <conditionalFormatting sqref="BD83:BD112">
    <cfRule type="cellIs" dxfId="107" priority="103" operator="greaterThanOrEqual">
      <formula>BD$15</formula>
    </cfRule>
  </conditionalFormatting>
  <conditionalFormatting sqref="BE83:BE112">
    <cfRule type="cellIs" dxfId="106" priority="102" operator="greaterThanOrEqual">
      <formula>BD$15</formula>
    </cfRule>
  </conditionalFormatting>
  <conditionalFormatting sqref="BK83:BK112">
    <cfRule type="cellIs" dxfId="105" priority="100" operator="greaterThan">
      <formula>BK$16</formula>
    </cfRule>
  </conditionalFormatting>
  <conditionalFormatting sqref="BL83:BL112">
    <cfRule type="cellIs" dxfId="104" priority="101" operator="greaterThan">
      <formula>BK$16</formula>
    </cfRule>
  </conditionalFormatting>
  <conditionalFormatting sqref="BK83:BK112">
    <cfRule type="cellIs" dxfId="103" priority="99" operator="greaterThanOrEqual">
      <formula>BK$15</formula>
    </cfRule>
  </conditionalFormatting>
  <conditionalFormatting sqref="BL83:BL112">
    <cfRule type="cellIs" dxfId="102" priority="98" operator="greaterThanOrEqual">
      <formula>BK$15</formula>
    </cfRule>
  </conditionalFormatting>
  <conditionalFormatting sqref="BR83:BR112">
    <cfRule type="cellIs" dxfId="101" priority="96" operator="greaterThan">
      <formula>BR$16</formula>
    </cfRule>
  </conditionalFormatting>
  <conditionalFormatting sqref="BS83:BS112">
    <cfRule type="cellIs" dxfId="100" priority="97" operator="greaterThan">
      <formula>BR$16</formula>
    </cfRule>
  </conditionalFormatting>
  <conditionalFormatting sqref="BR83:BR112">
    <cfRule type="cellIs" dxfId="99" priority="95" operator="greaterThanOrEqual">
      <formula>BR$15</formula>
    </cfRule>
  </conditionalFormatting>
  <conditionalFormatting sqref="BS83:BS112">
    <cfRule type="cellIs" dxfId="98" priority="94" operator="greaterThanOrEqual">
      <formula>BR$15</formula>
    </cfRule>
  </conditionalFormatting>
  <conditionalFormatting sqref="BY83:BY112">
    <cfRule type="cellIs" dxfId="97" priority="92" operator="greaterThan">
      <formula>BY$16</formula>
    </cfRule>
  </conditionalFormatting>
  <conditionalFormatting sqref="BZ83:BZ112">
    <cfRule type="cellIs" dxfId="96" priority="93" operator="greaterThan">
      <formula>BY$16</formula>
    </cfRule>
  </conditionalFormatting>
  <conditionalFormatting sqref="BY83:BY112">
    <cfRule type="cellIs" dxfId="95" priority="91" operator="greaterThanOrEqual">
      <formula>BY$15</formula>
    </cfRule>
  </conditionalFormatting>
  <conditionalFormatting sqref="BZ83:BZ112">
    <cfRule type="cellIs" dxfId="94" priority="90" operator="greaterThanOrEqual">
      <formula>BY$15</formula>
    </cfRule>
  </conditionalFormatting>
  <conditionalFormatting sqref="CF83:CF112">
    <cfRule type="cellIs" dxfId="93" priority="88" operator="greaterThan">
      <formula>CF$16</formula>
    </cfRule>
  </conditionalFormatting>
  <conditionalFormatting sqref="CG83:CG112">
    <cfRule type="cellIs" dxfId="92" priority="89" operator="greaterThan">
      <formula>CF$16</formula>
    </cfRule>
  </conditionalFormatting>
  <conditionalFormatting sqref="CF83:CF112">
    <cfRule type="cellIs" dxfId="91" priority="87" operator="greaterThanOrEqual">
      <formula>CF$15</formula>
    </cfRule>
  </conditionalFormatting>
  <conditionalFormatting sqref="CG83:CG112">
    <cfRule type="cellIs" dxfId="90" priority="86" operator="greaterThanOrEqual">
      <formula>CF$15</formula>
    </cfRule>
  </conditionalFormatting>
  <conditionalFormatting sqref="CM83:CM112">
    <cfRule type="cellIs" dxfId="89" priority="84" operator="greaterThan">
      <formula>CM$16</formula>
    </cfRule>
  </conditionalFormatting>
  <conditionalFormatting sqref="CN83:CN112">
    <cfRule type="cellIs" dxfId="88" priority="85" operator="greaterThan">
      <formula>CM$16</formula>
    </cfRule>
  </conditionalFormatting>
  <conditionalFormatting sqref="CM83:CM112">
    <cfRule type="cellIs" dxfId="87" priority="83" operator="greaterThanOrEqual">
      <formula>CM$15</formula>
    </cfRule>
  </conditionalFormatting>
  <conditionalFormatting sqref="CN83:CN112">
    <cfRule type="cellIs" dxfId="86" priority="82" operator="greaterThanOrEqual">
      <formula>CM$15</formula>
    </cfRule>
  </conditionalFormatting>
  <conditionalFormatting sqref="G84:G112">
    <cfRule type="cellIs" dxfId="85" priority="80" operator="greaterThan">
      <formula>G$16</formula>
    </cfRule>
  </conditionalFormatting>
  <conditionalFormatting sqref="H84:H112">
    <cfRule type="cellIs" dxfId="84" priority="81" operator="greaterThan">
      <formula>G$16</formula>
    </cfRule>
  </conditionalFormatting>
  <conditionalFormatting sqref="G84:G112">
    <cfRule type="cellIs" dxfId="83" priority="79" operator="greaterThanOrEqual">
      <formula>G$15</formula>
    </cfRule>
  </conditionalFormatting>
  <conditionalFormatting sqref="I21:I23">
    <cfRule type="cellIs" dxfId="82" priority="51" operator="greaterThan">
      <formula>1000</formula>
    </cfRule>
    <cfRule type="cellIs" dxfId="81" priority="73" operator="lessThanOrEqual">
      <formula>1</formula>
    </cfRule>
  </conditionalFormatting>
  <conditionalFormatting sqref="CA21:CA23">
    <cfRule type="cellIs" dxfId="80" priority="27" operator="greaterThan">
      <formula>1000</formula>
    </cfRule>
    <cfRule type="cellIs" dxfId="79" priority="28" operator="lessThanOrEqual">
      <formula>1</formula>
    </cfRule>
  </conditionalFormatting>
  <conditionalFormatting sqref="P21:P23">
    <cfRule type="cellIs" dxfId="78" priority="49" operator="greaterThan">
      <formula>1000</formula>
    </cfRule>
    <cfRule type="cellIs" dxfId="77" priority="50" operator="lessThanOrEqual">
      <formula>1</formula>
    </cfRule>
  </conditionalFormatting>
  <conditionalFormatting sqref="W21:W23">
    <cfRule type="cellIs" dxfId="76" priority="47" operator="greaterThan">
      <formula>1000</formula>
    </cfRule>
    <cfRule type="cellIs" dxfId="75" priority="48" operator="lessThanOrEqual">
      <formula>1</formula>
    </cfRule>
  </conditionalFormatting>
  <conditionalFormatting sqref="AD21:AD23">
    <cfRule type="cellIs" dxfId="74" priority="45" operator="greaterThan">
      <formula>1000</formula>
    </cfRule>
    <cfRule type="cellIs" dxfId="73" priority="46" operator="lessThanOrEqual">
      <formula>1</formula>
    </cfRule>
  </conditionalFormatting>
  <conditionalFormatting sqref="AK21:AK23">
    <cfRule type="cellIs" dxfId="72" priority="43" operator="greaterThan">
      <formula>1000</formula>
    </cfRule>
    <cfRule type="cellIs" dxfId="71" priority="44" operator="lessThanOrEqual">
      <formula>1</formula>
    </cfRule>
  </conditionalFormatting>
  <conditionalFormatting sqref="AR21:AR23">
    <cfRule type="cellIs" dxfId="70" priority="41" operator="greaterThan">
      <formula>1000</formula>
    </cfRule>
    <cfRule type="cellIs" dxfId="69" priority="42" operator="lessThanOrEqual">
      <formula>1</formula>
    </cfRule>
  </conditionalFormatting>
  <conditionalFormatting sqref="AY21:AY23">
    <cfRule type="cellIs" dxfId="68" priority="39" operator="greaterThan">
      <formula>1000</formula>
    </cfRule>
    <cfRule type="cellIs" dxfId="67" priority="40" operator="lessThanOrEqual">
      <formula>1</formula>
    </cfRule>
  </conditionalFormatting>
  <conditionalFormatting sqref="BF21:BF23">
    <cfRule type="cellIs" dxfId="66" priority="37" operator="greaterThan">
      <formula>1000</formula>
    </cfRule>
    <cfRule type="cellIs" dxfId="65" priority="38" operator="lessThanOrEqual">
      <formula>1</formula>
    </cfRule>
  </conditionalFormatting>
  <conditionalFormatting sqref="BM21:BM23">
    <cfRule type="cellIs" dxfId="64" priority="35" operator="greaterThan">
      <formula>1000</formula>
    </cfRule>
    <cfRule type="cellIs" dxfId="63" priority="36" operator="lessThanOrEqual">
      <formula>1</formula>
    </cfRule>
  </conditionalFormatting>
  <conditionalFormatting sqref="BT21:BT23">
    <cfRule type="cellIs" dxfId="62" priority="33" operator="greaterThan">
      <formula>1000</formula>
    </cfRule>
    <cfRule type="cellIs" dxfId="61" priority="34" operator="lessThanOrEqual">
      <formula>1</formula>
    </cfRule>
  </conditionalFormatting>
  <conditionalFormatting sqref="CO21:CO23">
    <cfRule type="cellIs" dxfId="60" priority="31" operator="greaterThan">
      <formula>1000</formula>
    </cfRule>
    <cfRule type="cellIs" dxfId="59" priority="32" operator="lessThanOrEqual">
      <formula>1</formula>
    </cfRule>
  </conditionalFormatting>
  <conditionalFormatting sqref="CH21:CH23">
    <cfRule type="cellIs" dxfId="58" priority="29" operator="greaterThan">
      <formula>1000</formula>
    </cfRule>
    <cfRule type="cellIs" dxfId="57" priority="30" operator="lessThanOrEqual">
      <formula>1</formula>
    </cfRule>
  </conditionalFormatting>
  <conditionalFormatting sqref="W75:W77">
    <cfRule type="cellIs" dxfId="56" priority="21" operator="greaterThan">
      <formula>1000</formula>
    </cfRule>
    <cfRule type="cellIs" dxfId="55" priority="22" operator="lessThanOrEqual">
      <formula>1</formula>
    </cfRule>
  </conditionalFormatting>
  <conditionalFormatting sqref="I75:I77">
    <cfRule type="cellIs" dxfId="54" priority="25" operator="greaterThan">
      <formula>1000</formula>
    </cfRule>
    <cfRule type="cellIs" dxfId="53" priority="26" operator="lessThanOrEqual">
      <formula>1</formula>
    </cfRule>
  </conditionalFormatting>
  <conditionalFormatting sqref="P75:P77">
    <cfRule type="cellIs" dxfId="52" priority="23" operator="greaterThan">
      <formula>1000</formula>
    </cfRule>
    <cfRule type="cellIs" dxfId="51" priority="24" operator="lessThanOrEqual">
      <formula>1</formula>
    </cfRule>
  </conditionalFormatting>
  <conditionalFormatting sqref="AD75:AD77">
    <cfRule type="cellIs" dxfId="50" priority="19" operator="greaterThan">
      <formula>1000</formula>
    </cfRule>
    <cfRule type="cellIs" dxfId="49" priority="20" operator="lessThanOrEqual">
      <formula>1</formula>
    </cfRule>
  </conditionalFormatting>
  <conditionalFormatting sqref="BM75:BM77">
    <cfRule type="cellIs" dxfId="48" priority="9" operator="greaterThan">
      <formula>1000</formula>
    </cfRule>
    <cfRule type="cellIs" dxfId="47" priority="10" operator="lessThanOrEqual">
      <formula>1</formula>
    </cfRule>
  </conditionalFormatting>
  <conditionalFormatting sqref="AK75:AK77">
    <cfRule type="cellIs" dxfId="46" priority="17" operator="greaterThan">
      <formula>1000</formula>
    </cfRule>
    <cfRule type="cellIs" dxfId="45" priority="18" operator="lessThanOrEqual">
      <formula>1</formula>
    </cfRule>
  </conditionalFormatting>
  <conditionalFormatting sqref="AR75:AR77">
    <cfRule type="cellIs" dxfId="44" priority="15" operator="greaterThan">
      <formula>1000</formula>
    </cfRule>
    <cfRule type="cellIs" dxfId="43" priority="16" operator="lessThanOrEqual">
      <formula>1</formula>
    </cfRule>
  </conditionalFormatting>
  <conditionalFormatting sqref="AY75:AY77">
    <cfRule type="cellIs" dxfId="42" priority="13" operator="greaterThan">
      <formula>1000</formula>
    </cfRule>
    <cfRule type="cellIs" dxfId="41" priority="14" operator="lessThanOrEqual">
      <formula>1</formula>
    </cfRule>
  </conditionalFormatting>
  <conditionalFormatting sqref="BF75:BF77">
    <cfRule type="cellIs" dxfId="40" priority="11" operator="greaterThan">
      <formula>1000</formula>
    </cfRule>
    <cfRule type="cellIs" dxfId="39" priority="12" operator="lessThanOrEqual">
      <formula>1</formula>
    </cfRule>
  </conditionalFormatting>
  <conditionalFormatting sqref="BT75:BT77">
    <cfRule type="cellIs" dxfId="38" priority="7" operator="greaterThan">
      <formula>1000</formula>
    </cfRule>
    <cfRule type="cellIs" dxfId="37" priority="8" operator="lessThanOrEqual">
      <formula>1</formula>
    </cfRule>
  </conditionalFormatting>
  <conditionalFormatting sqref="CO75:CO77">
    <cfRule type="cellIs" dxfId="36" priority="1" operator="greaterThan">
      <formula>1000</formula>
    </cfRule>
    <cfRule type="cellIs" dxfId="35" priority="2" operator="lessThanOrEqual">
      <formula>1</formula>
    </cfRule>
  </conditionalFormatting>
  <conditionalFormatting sqref="CA75:CA77">
    <cfRule type="cellIs" dxfId="34" priority="5" operator="greaterThan">
      <formula>1000</formula>
    </cfRule>
    <cfRule type="cellIs" dxfId="33" priority="6" operator="lessThanOrEqual">
      <formula>1</formula>
    </cfRule>
  </conditionalFormatting>
  <conditionalFormatting sqref="CH75:CH77">
    <cfRule type="cellIs" dxfId="32" priority="3" operator="greaterThan">
      <formula>1000</formula>
    </cfRule>
    <cfRule type="cellIs" dxfId="31" priority="4" operator="lessThanOrEqual">
      <formula>1</formula>
    </cfRule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63"/>
  <sheetViews>
    <sheetView workbookViewId="0">
      <selection activeCell="W71" sqref="W71"/>
    </sheetView>
  </sheetViews>
  <sheetFormatPr defaultRowHeight="15" x14ac:dyDescent="0.25"/>
  <cols>
    <col min="2" max="3" width="11.7109375" customWidth="1"/>
    <col min="4" max="4" width="12.7109375" customWidth="1"/>
    <col min="5" max="11" width="11.7109375" customWidth="1"/>
    <col min="12" max="12" width="3.7109375" customWidth="1"/>
    <col min="13" max="16" width="11.7109375" style="111" customWidth="1"/>
    <col min="17" max="17" width="3.7109375" style="111" customWidth="1"/>
    <col min="18" max="22" width="11.7109375" style="111" customWidth="1"/>
    <col min="23" max="23" width="11.7109375" style="486" customWidth="1"/>
    <col min="24" max="30" width="11.7109375" style="487" customWidth="1"/>
    <col min="31" max="35" width="11.7109375" customWidth="1"/>
  </cols>
  <sheetData>
    <row r="1" spans="1:30" x14ac:dyDescent="0.25">
      <c r="A1" s="64" t="s">
        <v>220</v>
      </c>
      <c r="X1" s="486"/>
      <c r="Y1" s="486"/>
    </row>
    <row r="2" spans="1:30" x14ac:dyDescent="0.25">
      <c r="A2" s="5" t="s">
        <v>144</v>
      </c>
      <c r="B2" t="s">
        <v>215</v>
      </c>
      <c r="X2" s="486"/>
      <c r="Y2" s="486"/>
    </row>
    <row r="3" spans="1:30" x14ac:dyDescent="0.25">
      <c r="A3" s="5" t="s">
        <v>174</v>
      </c>
      <c r="B3" t="s">
        <v>147</v>
      </c>
      <c r="X3" s="486"/>
      <c r="Y3" s="486"/>
    </row>
    <row r="4" spans="1:30" x14ac:dyDescent="0.25">
      <c r="A4" s="5"/>
      <c r="W4" s="488"/>
      <c r="X4" s="486"/>
      <c r="Y4" s="486"/>
    </row>
    <row r="5" spans="1:30" x14ac:dyDescent="0.25">
      <c r="D5" t="s">
        <v>113</v>
      </c>
      <c r="W5" s="489" t="s">
        <v>277</v>
      </c>
      <c r="X5" s="490" t="s">
        <v>284</v>
      </c>
      <c r="Y5" s="486"/>
    </row>
    <row r="6" spans="1:30" ht="15.75" x14ac:dyDescent="0.25">
      <c r="B6" s="107"/>
      <c r="C6" s="107"/>
      <c r="D6" s="543" t="s">
        <v>114</v>
      </c>
      <c r="E6" s="544"/>
      <c r="F6" s="544"/>
      <c r="G6" s="545"/>
      <c r="H6" s="543" t="s">
        <v>115</v>
      </c>
      <c r="I6" s="544"/>
      <c r="J6" s="544"/>
      <c r="K6" s="545"/>
      <c r="X6" s="486"/>
      <c r="Y6" s="549" t="s">
        <v>273</v>
      </c>
      <c r="Z6" s="549"/>
      <c r="AA6" s="550" t="s">
        <v>275</v>
      </c>
      <c r="AB6" s="550"/>
      <c r="AC6" s="550" t="s">
        <v>276</v>
      </c>
      <c r="AD6" s="550"/>
    </row>
    <row r="7" spans="1:30" ht="65.099999999999994" customHeight="1" x14ac:dyDescent="0.3">
      <c r="B7" s="107" t="s">
        <v>4</v>
      </c>
      <c r="C7" s="108" t="s">
        <v>112</v>
      </c>
      <c r="D7" s="117" t="s">
        <v>105</v>
      </c>
      <c r="E7" s="108" t="s">
        <v>106</v>
      </c>
      <c r="F7" s="108" t="s">
        <v>105</v>
      </c>
      <c r="G7" s="118" t="s">
        <v>106</v>
      </c>
      <c r="H7" s="117" t="s">
        <v>107</v>
      </c>
      <c r="I7" s="108" t="s">
        <v>108</v>
      </c>
      <c r="J7" s="108" t="s">
        <v>107</v>
      </c>
      <c r="K7" s="118" t="s">
        <v>108</v>
      </c>
      <c r="W7" s="491" t="str">
        <f>B7</f>
        <v>COPC</v>
      </c>
      <c r="X7" s="492" t="str">
        <f>C7</f>
        <v>Threshold (mg/L)</v>
      </c>
      <c r="Y7" s="492" t="s">
        <v>278</v>
      </c>
      <c r="Z7" s="492" t="s">
        <v>274</v>
      </c>
      <c r="AA7" s="492" t="s">
        <v>278</v>
      </c>
      <c r="AB7" s="492" t="s">
        <v>274</v>
      </c>
      <c r="AC7" s="492" t="s">
        <v>278</v>
      </c>
      <c r="AD7" s="492" t="s">
        <v>274</v>
      </c>
    </row>
    <row r="8" spans="1:30" ht="15" customHeight="1" x14ac:dyDescent="0.25">
      <c r="B8" s="109"/>
      <c r="C8" s="109"/>
      <c r="D8" s="546" t="s">
        <v>48</v>
      </c>
      <c r="E8" s="547"/>
      <c r="F8" s="547" t="s">
        <v>109</v>
      </c>
      <c r="G8" s="548"/>
      <c r="H8" s="546" t="s">
        <v>48</v>
      </c>
      <c r="I8" s="547"/>
      <c r="J8" s="547" t="s">
        <v>109</v>
      </c>
      <c r="K8" s="548"/>
      <c r="W8" s="486" t="str">
        <f t="shared" ref="W8:Y9" si="0">B10</f>
        <v>Antimony</v>
      </c>
      <c r="X8" s="493">
        <f t="shared" si="0"/>
        <v>6.0000000000000001E-3</v>
      </c>
      <c r="Y8" s="493">
        <f t="shared" si="0"/>
        <v>9.0999999999999998E-2</v>
      </c>
      <c r="Z8" s="494">
        <f>H10</f>
        <v>15.166666666666666</v>
      </c>
      <c r="AA8" s="495">
        <f>D29</f>
        <v>9.0999999999999998E-2</v>
      </c>
      <c r="AB8" s="494">
        <f>H29</f>
        <v>15.166666666666666</v>
      </c>
      <c r="AC8" s="495">
        <f>D48</f>
        <v>9.1000000000000039E-2</v>
      </c>
      <c r="AD8" s="494">
        <f>H48</f>
        <v>15.166666666666673</v>
      </c>
    </row>
    <row r="9" spans="1:30" ht="15.75" customHeight="1" x14ac:dyDescent="0.25">
      <c r="B9" s="110"/>
      <c r="C9" s="110"/>
      <c r="D9" s="117" t="s">
        <v>110</v>
      </c>
      <c r="E9" s="108" t="s">
        <v>111</v>
      </c>
      <c r="F9" s="108" t="s">
        <v>110</v>
      </c>
      <c r="G9" s="118" t="s">
        <v>111</v>
      </c>
      <c r="H9" s="117" t="s">
        <v>110</v>
      </c>
      <c r="I9" s="108" t="s">
        <v>111</v>
      </c>
      <c r="J9" s="108" t="s">
        <v>110</v>
      </c>
      <c r="K9" s="118" t="s">
        <v>111</v>
      </c>
      <c r="W9" s="486" t="str">
        <f t="shared" si="0"/>
        <v>Arsenic</v>
      </c>
      <c r="X9" s="496">
        <f t="shared" si="0"/>
        <v>0.01</v>
      </c>
      <c r="Y9" s="493">
        <f t="shared" si="0"/>
        <v>4.5999999999999999E-2</v>
      </c>
      <c r="Z9" s="497">
        <f t="shared" ref="Z9:Z20" si="1">H11</f>
        <v>4.5999999999999996</v>
      </c>
      <c r="AA9" s="495">
        <f t="shared" ref="AA9:AA20" si="2">D30</f>
        <v>4.5999999999999999E-2</v>
      </c>
      <c r="AB9" s="497">
        <f t="shared" ref="AB9:AB20" si="3">H30</f>
        <v>4.5999999999999996</v>
      </c>
      <c r="AC9" s="495">
        <f t="shared" ref="AC9:AC20" si="4">D49</f>
        <v>4.600000000000002E-2</v>
      </c>
      <c r="AD9" s="497">
        <f t="shared" ref="AD9:AD20" si="5">H49</f>
        <v>4.6000000000000023</v>
      </c>
    </row>
    <row r="10" spans="1:30" ht="15" customHeight="1" x14ac:dyDescent="0.25">
      <c r="B10" s="157" t="s">
        <v>10</v>
      </c>
      <c r="C10" s="109">
        <f>Screening_Assessment!C14</f>
        <v>6.0000000000000001E-3</v>
      </c>
      <c r="D10" s="121">
        <f>Percolation!G21</f>
        <v>9.0999999999999998E-2</v>
      </c>
      <c r="E10" s="133">
        <f>'Mass Transport'!G21</f>
        <v>2.150100771730648E-3</v>
      </c>
      <c r="F10" s="112">
        <f>Percolation!G70</f>
        <v>9.0999999999999998E-2</v>
      </c>
      <c r="G10" s="141">
        <f>'Mass Transport'!G75</f>
        <v>8.0668046035552148E-3</v>
      </c>
      <c r="H10" s="147">
        <f>D10/$C10</f>
        <v>15.166666666666666</v>
      </c>
      <c r="I10" s="135">
        <f t="shared" ref="I10:K22" si="6">E10/$C10</f>
        <v>0.35835012862177468</v>
      </c>
      <c r="J10" s="149">
        <f t="shared" si="6"/>
        <v>15.166666666666666</v>
      </c>
      <c r="K10" s="152">
        <f t="shared" si="6"/>
        <v>1.3444674339258691</v>
      </c>
      <c r="W10" s="486" t="str">
        <f t="shared" ref="W10:Y20" si="7">B12</f>
        <v>Cadmium</v>
      </c>
      <c r="X10" s="493">
        <f t="shared" si="7"/>
        <v>5.0000000000000001E-3</v>
      </c>
      <c r="Y10" s="498">
        <f t="shared" si="7"/>
        <v>5.8</v>
      </c>
      <c r="Z10" s="494">
        <f>H12</f>
        <v>1160</v>
      </c>
      <c r="AA10" s="497">
        <f t="shared" si="2"/>
        <v>5.8</v>
      </c>
      <c r="AB10" s="494">
        <f>H31</f>
        <v>1160</v>
      </c>
      <c r="AC10" s="497">
        <f t="shared" si="4"/>
        <v>5.8000000000000007</v>
      </c>
      <c r="AD10" s="494">
        <f t="shared" si="5"/>
        <v>1160.0000000000002</v>
      </c>
    </row>
    <row r="11" spans="1:30" ht="15" customHeight="1" x14ac:dyDescent="0.25">
      <c r="B11" s="157" t="s">
        <v>11</v>
      </c>
      <c r="C11" s="109">
        <f>Screening_Assessment!C15</f>
        <v>0.01</v>
      </c>
      <c r="D11" s="121">
        <f>Percolation!L21</f>
        <v>4.5999999999999999E-2</v>
      </c>
      <c r="E11" s="134">
        <f>'Mass Transport'!N21</f>
        <v>1.8188869864443215E-2</v>
      </c>
      <c r="F11" s="112">
        <f>Percolation!L70</f>
        <v>4.5999999999999999E-2</v>
      </c>
      <c r="G11" s="142">
        <f>'Mass Transport'!N75</f>
        <v>6.768915063892568E-2</v>
      </c>
      <c r="H11" s="119">
        <f>D11/$C11</f>
        <v>4.5999999999999996</v>
      </c>
      <c r="I11" s="136">
        <f t="shared" si="6"/>
        <v>1.8188869864443213</v>
      </c>
      <c r="J11" s="113">
        <f t="shared" si="6"/>
        <v>4.5999999999999996</v>
      </c>
      <c r="K11" s="152">
        <f t="shared" si="6"/>
        <v>6.7689150638925675</v>
      </c>
      <c r="W11" s="486" t="str">
        <f t="shared" si="7"/>
        <v>Chloride</v>
      </c>
      <c r="X11" s="499">
        <f t="shared" si="7"/>
        <v>250</v>
      </c>
      <c r="Y11" s="499">
        <f t="shared" si="7"/>
        <v>743.53385039766806</v>
      </c>
      <c r="Z11" s="497">
        <f t="shared" si="1"/>
        <v>2.9741354015906722</v>
      </c>
      <c r="AA11" s="494">
        <f t="shared" si="2"/>
        <v>319.59454496854346</v>
      </c>
      <c r="AB11" s="497">
        <f t="shared" si="3"/>
        <v>1.2783781798741738</v>
      </c>
      <c r="AC11" s="494">
        <f t="shared" si="4"/>
        <v>94.232468116347619</v>
      </c>
      <c r="AD11" s="497">
        <f t="shared" si="5"/>
        <v>0.37692987246539045</v>
      </c>
    </row>
    <row r="12" spans="1:30" ht="15" customHeight="1" x14ac:dyDescent="0.25">
      <c r="B12" s="157" t="s">
        <v>15</v>
      </c>
      <c r="C12" s="109">
        <f>Screening_Assessment!C19</f>
        <v>5.0000000000000001E-3</v>
      </c>
      <c r="D12" s="121">
        <f>Percolation!Q21</f>
        <v>5.8</v>
      </c>
      <c r="E12" s="133">
        <f>'Mass Transport'!U21</f>
        <v>1.4037021808492465E-3</v>
      </c>
      <c r="F12" s="112">
        <f>Percolation!Q70</f>
        <v>5.8</v>
      </c>
      <c r="G12" s="141">
        <f>'Mass Transport'!U75</f>
        <v>5.2233559620517714E-3</v>
      </c>
      <c r="H12" s="120">
        <f t="shared" ref="H12:H22" si="8">D12/$C12</f>
        <v>1160</v>
      </c>
      <c r="I12" s="135">
        <f t="shared" si="6"/>
        <v>0.28074043616984928</v>
      </c>
      <c r="J12" s="116">
        <f t="shared" si="6"/>
        <v>1160</v>
      </c>
      <c r="K12" s="152">
        <f t="shared" si="6"/>
        <v>1.0446711924103542</v>
      </c>
      <c r="W12" s="486" t="str">
        <f t="shared" si="7"/>
        <v>Chromium</v>
      </c>
      <c r="X12" s="498">
        <f t="shared" si="7"/>
        <v>0.1</v>
      </c>
      <c r="Y12" s="501" t="str">
        <f t="shared" si="7"/>
        <v>-</v>
      </c>
      <c r="Z12" s="502" t="str">
        <f t="shared" si="1"/>
        <v>-</v>
      </c>
      <c r="AA12" s="502" t="str">
        <f t="shared" si="2"/>
        <v>-</v>
      </c>
      <c r="AB12" s="502" t="str">
        <f t="shared" si="3"/>
        <v>-</v>
      </c>
      <c r="AC12" s="502" t="str">
        <f t="shared" si="4"/>
        <v>-</v>
      </c>
      <c r="AD12" s="502" t="str">
        <f t="shared" si="5"/>
        <v>-</v>
      </c>
    </row>
    <row r="13" spans="1:30" ht="15" customHeight="1" x14ac:dyDescent="0.25">
      <c r="B13" s="479" t="s">
        <v>16</v>
      </c>
      <c r="C13" s="126">
        <f>Screening_Assessment!C22</f>
        <v>250</v>
      </c>
      <c r="D13" s="123">
        <f>Percolation!V21</f>
        <v>743.53385039766806</v>
      </c>
      <c r="E13" s="116">
        <f>'Mass Transport'!AB21</f>
        <v>35.5</v>
      </c>
      <c r="F13" s="114">
        <f>Percolation!V70</f>
        <v>743.53385039766806</v>
      </c>
      <c r="G13" s="130">
        <f>'Mass Transport'!AB75</f>
        <v>35.5</v>
      </c>
      <c r="H13" s="146">
        <f t="shared" si="8"/>
        <v>2.9741354015906722</v>
      </c>
      <c r="I13" s="135">
        <f t="shared" si="6"/>
        <v>0.14199999999999999</v>
      </c>
      <c r="J13" s="136">
        <f t="shared" si="6"/>
        <v>2.9741354015906722</v>
      </c>
      <c r="K13" s="151">
        <f t="shared" si="6"/>
        <v>0.14199999999999999</v>
      </c>
      <c r="W13" s="486" t="str">
        <f t="shared" si="7"/>
        <v>Copper</v>
      </c>
      <c r="X13" s="498">
        <f t="shared" si="7"/>
        <v>1.3</v>
      </c>
      <c r="Y13" s="498">
        <f t="shared" si="7"/>
        <v>1.42</v>
      </c>
      <c r="Z13" s="497">
        <f t="shared" si="1"/>
        <v>1.0923076923076922</v>
      </c>
      <c r="AA13" s="497">
        <f t="shared" si="2"/>
        <v>1.42</v>
      </c>
      <c r="AB13" s="497">
        <f t="shared" si="3"/>
        <v>1.0923076923076922</v>
      </c>
      <c r="AC13" s="497">
        <f t="shared" si="4"/>
        <v>1.420000000000001</v>
      </c>
      <c r="AD13" s="497">
        <f t="shared" si="5"/>
        <v>1.0923076923076931</v>
      </c>
    </row>
    <row r="14" spans="1:30" ht="15" customHeight="1" x14ac:dyDescent="0.25">
      <c r="B14" s="157" t="s">
        <v>17</v>
      </c>
      <c r="C14" s="109">
        <f>Screening_Assessment!C23</f>
        <v>0.1</v>
      </c>
      <c r="D14" s="121" t="s">
        <v>46</v>
      </c>
      <c r="E14" s="134">
        <f>'Mass Transport'!AI21</f>
        <v>1.4319431856941463E-2</v>
      </c>
      <c r="F14" s="112" t="s">
        <v>46</v>
      </c>
      <c r="G14" s="142">
        <f>'Mass Transport'!AI75</f>
        <v>5.3675332516422092E-2</v>
      </c>
      <c r="H14" s="128" t="s">
        <v>46</v>
      </c>
      <c r="I14" s="135">
        <f t="shared" si="6"/>
        <v>0.14319431856941461</v>
      </c>
      <c r="J14" s="129" t="s">
        <v>46</v>
      </c>
      <c r="K14" s="151">
        <f t="shared" si="6"/>
        <v>0.53675332516422092</v>
      </c>
      <c r="W14" s="486" t="str">
        <f t="shared" si="7"/>
        <v>Fluoride</v>
      </c>
      <c r="X14" s="499">
        <f t="shared" si="7"/>
        <v>4</v>
      </c>
      <c r="Y14" s="498">
        <f t="shared" si="7"/>
        <v>2.59</v>
      </c>
      <c r="Z14" s="497">
        <f t="shared" si="1"/>
        <v>0.64749999999999996</v>
      </c>
      <c r="AA14" s="497">
        <f t="shared" si="2"/>
        <v>2.59</v>
      </c>
      <c r="AB14" s="497">
        <f t="shared" si="3"/>
        <v>0.64749999999999996</v>
      </c>
      <c r="AC14" s="497">
        <f t="shared" si="4"/>
        <v>2.5900000000000021</v>
      </c>
      <c r="AD14" s="497">
        <f t="shared" si="5"/>
        <v>0.64750000000000052</v>
      </c>
    </row>
    <row r="15" spans="1:30" ht="15" customHeight="1" x14ac:dyDescent="0.25">
      <c r="B15" s="157" t="s">
        <v>18</v>
      </c>
      <c r="C15" s="109">
        <f>Screening_Assessment!C25</f>
        <v>1.3</v>
      </c>
      <c r="D15" s="132">
        <f>Percolation!AF21</f>
        <v>1.42</v>
      </c>
      <c r="E15" s="134">
        <f>'Mass Transport'!AP21</f>
        <v>6.9728116747303268E-2</v>
      </c>
      <c r="F15" s="140">
        <f>Percolation!AF70</f>
        <v>1.42</v>
      </c>
      <c r="G15" s="131">
        <f>'Mass Transport'!AP75</f>
        <v>0.26088435831760515</v>
      </c>
      <c r="H15" s="146">
        <f t="shared" si="8"/>
        <v>1.0923076923076922</v>
      </c>
      <c r="I15" s="134">
        <f t="shared" si="6"/>
        <v>5.3637012882540976E-2</v>
      </c>
      <c r="J15" s="136">
        <f t="shared" si="6"/>
        <v>1.0923076923076922</v>
      </c>
      <c r="K15" s="151">
        <f t="shared" si="6"/>
        <v>0.20068027562892704</v>
      </c>
      <c r="W15" s="486" t="str">
        <f t="shared" si="7"/>
        <v>Lead</v>
      </c>
      <c r="X15" s="493">
        <f t="shared" si="7"/>
        <v>1.4999999999999999E-2</v>
      </c>
      <c r="Y15" s="498">
        <f t="shared" si="7"/>
        <v>1.27</v>
      </c>
      <c r="Z15" s="494">
        <f t="shared" si="1"/>
        <v>84.666666666666671</v>
      </c>
      <c r="AA15" s="497">
        <f t="shared" si="2"/>
        <v>1.27</v>
      </c>
      <c r="AB15" s="494">
        <f t="shared" si="3"/>
        <v>84.666666666666671</v>
      </c>
      <c r="AC15" s="497">
        <f t="shared" si="4"/>
        <v>1.2700000000000002</v>
      </c>
      <c r="AD15" s="494">
        <f t="shared" si="5"/>
        <v>84.666666666666686</v>
      </c>
    </row>
    <row r="16" spans="1:30" ht="15" customHeight="1" x14ac:dyDescent="0.25">
      <c r="B16" s="157" t="s">
        <v>19</v>
      </c>
      <c r="C16" s="126">
        <f>Screening_Assessment!C26</f>
        <v>4</v>
      </c>
      <c r="D16" s="132">
        <f>Percolation!AK21</f>
        <v>2.59</v>
      </c>
      <c r="E16" s="134">
        <f>'Mass Transport'!AW21</f>
        <v>1.9277017717788617E-2</v>
      </c>
      <c r="F16" s="140">
        <f>Percolation!AK70</f>
        <v>2.59</v>
      </c>
      <c r="G16" s="142">
        <f>'Mass Transport'!AW75</f>
        <v>7.220570365062183E-2</v>
      </c>
      <c r="H16" s="145">
        <f t="shared" si="8"/>
        <v>0.64749999999999996</v>
      </c>
      <c r="I16" s="133">
        <f t="shared" si="6"/>
        <v>4.8192544294471543E-3</v>
      </c>
      <c r="J16" s="113">
        <f t="shared" si="6"/>
        <v>0.64749999999999996</v>
      </c>
      <c r="K16" s="142">
        <f t="shared" si="6"/>
        <v>1.8051425912655458E-2</v>
      </c>
      <c r="W16" s="486" t="str">
        <f t="shared" si="7"/>
        <v>Nitrate</v>
      </c>
      <c r="X16" s="499">
        <f t="shared" si="7"/>
        <v>44</v>
      </c>
      <c r="Y16" s="499">
        <f t="shared" si="7"/>
        <v>136.53961780758002</v>
      </c>
      <c r="Z16" s="497">
        <f t="shared" si="1"/>
        <v>3.103173131990455</v>
      </c>
      <c r="AA16" s="494">
        <f t="shared" si="2"/>
        <v>55.480741950940093</v>
      </c>
      <c r="AB16" s="497">
        <f t="shared" si="3"/>
        <v>1.2609259534304567</v>
      </c>
      <c r="AC16" s="497">
        <f t="shared" si="4"/>
        <v>9.2889504928376869</v>
      </c>
      <c r="AD16" s="497">
        <f t="shared" si="5"/>
        <v>0.21111251120085653</v>
      </c>
    </row>
    <row r="17" spans="2:30" ht="15" customHeight="1" x14ac:dyDescent="0.25">
      <c r="B17" s="157" t="s">
        <v>21</v>
      </c>
      <c r="C17" s="109">
        <f>Screening_Assessment!C28</f>
        <v>1.4999999999999999E-2</v>
      </c>
      <c r="D17" s="132">
        <f>Percolation!AP21</f>
        <v>1.27</v>
      </c>
      <c r="E17" s="135">
        <f>'Mass Transport'!BD21</f>
        <v>0.20280754973715356</v>
      </c>
      <c r="F17" s="140">
        <f>Percolation!AP70</f>
        <v>1.27</v>
      </c>
      <c r="G17" s="131">
        <f>'Mass Transport'!BD75</f>
        <v>0.75173562947453354</v>
      </c>
      <c r="H17" s="147">
        <f t="shared" si="8"/>
        <v>84.666666666666671</v>
      </c>
      <c r="I17" s="149">
        <f t="shared" si="6"/>
        <v>13.520503315810238</v>
      </c>
      <c r="J17" s="149">
        <f t="shared" si="6"/>
        <v>84.666666666666671</v>
      </c>
      <c r="K17" s="153">
        <f t="shared" si="6"/>
        <v>50.11570863163557</v>
      </c>
      <c r="W17" s="486" t="str">
        <f t="shared" si="7"/>
        <v>Selenium</v>
      </c>
      <c r="X17" s="496">
        <f t="shared" si="7"/>
        <v>0.05</v>
      </c>
      <c r="Y17" s="498">
        <f t="shared" si="7"/>
        <v>1.8199917709704083</v>
      </c>
      <c r="Z17" s="494">
        <f t="shared" si="1"/>
        <v>36.399835419408163</v>
      </c>
      <c r="AA17" s="500">
        <f t="shared" si="2"/>
        <v>0.93879264431489262</v>
      </c>
      <c r="AB17" s="494">
        <f t="shared" si="3"/>
        <v>18.775852886297852</v>
      </c>
      <c r="AC17" s="500">
        <f t="shared" si="4"/>
        <v>0.28880055473060173</v>
      </c>
      <c r="AD17" s="497">
        <f t="shared" si="5"/>
        <v>5.7760110946120342</v>
      </c>
    </row>
    <row r="18" spans="2:30" ht="15" customHeight="1" x14ac:dyDescent="0.25">
      <c r="B18" s="479" t="s">
        <v>0</v>
      </c>
      <c r="C18" s="126">
        <f>Screening_Assessment!C34</f>
        <v>44</v>
      </c>
      <c r="D18" s="123">
        <f>Percolation!AU21</f>
        <v>136.53961780758002</v>
      </c>
      <c r="E18" s="136">
        <f>'Mass Transport'!BK21</f>
        <v>2.6800000000000006</v>
      </c>
      <c r="F18" s="114">
        <f>Percolation!AU70</f>
        <v>136.53961780758002</v>
      </c>
      <c r="G18" s="122">
        <f>'Mass Transport'!BK75</f>
        <v>2.68</v>
      </c>
      <c r="H18" s="146">
        <f t="shared" si="8"/>
        <v>3.103173131990455</v>
      </c>
      <c r="I18" s="134">
        <f t="shared" si="6"/>
        <v>6.090909090909092E-2</v>
      </c>
      <c r="J18" s="136">
        <f t="shared" si="6"/>
        <v>3.103173131990455</v>
      </c>
      <c r="K18" s="142">
        <f t="shared" si="6"/>
        <v>6.0909090909090913E-2</v>
      </c>
      <c r="W18" s="486" t="str">
        <f t="shared" si="7"/>
        <v>Sulfate</v>
      </c>
      <c r="X18" s="499">
        <f t="shared" si="7"/>
        <v>250</v>
      </c>
      <c r="Y18" s="499">
        <f t="shared" si="7"/>
        <v>12147.446357004566</v>
      </c>
      <c r="Z18" s="494">
        <f t="shared" si="1"/>
        <v>48.589785428018267</v>
      </c>
      <c r="AA18" s="494">
        <f t="shared" si="2"/>
        <v>7241.0174401570157</v>
      </c>
      <c r="AB18" s="494">
        <f t="shared" si="3"/>
        <v>28.964069760628064</v>
      </c>
      <c r="AC18" s="494">
        <f t="shared" si="4"/>
        <v>3488.0664236839384</v>
      </c>
      <c r="AD18" s="494">
        <f t="shared" si="5"/>
        <v>13.952265694735754</v>
      </c>
    </row>
    <row r="19" spans="2:30" ht="15" customHeight="1" x14ac:dyDescent="0.25">
      <c r="B19" s="479" t="s">
        <v>27</v>
      </c>
      <c r="C19" s="127">
        <f>Screening_Assessment!C36</f>
        <v>0.05</v>
      </c>
      <c r="D19" s="132">
        <f>Percolation!AZ21</f>
        <v>1.8199917709704083</v>
      </c>
      <c r="E19" s="134">
        <f>'Mass Transport'!BR21</f>
        <v>1.3869052334547582E-2</v>
      </c>
      <c r="F19" s="140">
        <f>Percolation!AZ70</f>
        <v>1.8199917709704083</v>
      </c>
      <c r="G19" s="142">
        <f>'Mass Transport'!BR75</f>
        <v>5.2176779741528866E-2</v>
      </c>
      <c r="H19" s="147">
        <f t="shared" si="8"/>
        <v>36.399835419408163</v>
      </c>
      <c r="I19" s="135">
        <f t="shared" si="6"/>
        <v>0.27738104669095165</v>
      </c>
      <c r="J19" s="149">
        <f t="shared" si="6"/>
        <v>36.399835419408163</v>
      </c>
      <c r="K19" s="152">
        <f t="shared" si="6"/>
        <v>1.0435355948305773</v>
      </c>
      <c r="W19" s="486" t="str">
        <f t="shared" si="7"/>
        <v>Thallium</v>
      </c>
      <c r="X19" s="493">
        <f t="shared" si="7"/>
        <v>2E-3</v>
      </c>
      <c r="Y19" s="496">
        <f t="shared" si="7"/>
        <v>0.40600000000000003</v>
      </c>
      <c r="Z19" s="494">
        <f t="shared" si="1"/>
        <v>203</v>
      </c>
      <c r="AA19" s="500">
        <f t="shared" si="2"/>
        <v>0.40600000000000003</v>
      </c>
      <c r="AB19" s="494">
        <f t="shared" si="3"/>
        <v>203</v>
      </c>
      <c r="AC19" s="500">
        <f t="shared" si="4"/>
        <v>0.40600000000000008</v>
      </c>
      <c r="AD19" s="494">
        <f t="shared" si="5"/>
        <v>203.00000000000003</v>
      </c>
    </row>
    <row r="20" spans="2:30" ht="15" customHeight="1" x14ac:dyDescent="0.25">
      <c r="B20" s="479" t="s">
        <v>1</v>
      </c>
      <c r="C20" s="126">
        <f>Screening_Assessment!C40</f>
        <v>250</v>
      </c>
      <c r="D20" s="123">
        <f>Percolation!BE21</f>
        <v>12147.446357004566</v>
      </c>
      <c r="E20" s="116">
        <f>'Mass Transport'!BY21</f>
        <v>139.88909355018458</v>
      </c>
      <c r="F20" s="114">
        <f>Percolation!BE70</f>
        <v>12147.446357004566</v>
      </c>
      <c r="G20" s="130">
        <f>'Mass Transport'!BY75</f>
        <v>524.27138726381179</v>
      </c>
      <c r="H20" s="147">
        <f t="shared" si="8"/>
        <v>48.589785428018267</v>
      </c>
      <c r="I20" s="135">
        <f t="shared" si="6"/>
        <v>0.55955637420073834</v>
      </c>
      <c r="J20" s="149">
        <f t="shared" si="6"/>
        <v>48.589785428018267</v>
      </c>
      <c r="K20" s="152">
        <f t="shared" si="6"/>
        <v>2.0970855490552474</v>
      </c>
      <c r="W20" s="503" t="str">
        <f t="shared" si="7"/>
        <v>Zinc</v>
      </c>
      <c r="X20" s="504">
        <f t="shared" si="7"/>
        <v>5</v>
      </c>
      <c r="Y20" s="504">
        <f t="shared" si="7"/>
        <v>29.3</v>
      </c>
      <c r="Z20" s="505">
        <f t="shared" si="1"/>
        <v>5.86</v>
      </c>
      <c r="AA20" s="504">
        <f t="shared" si="2"/>
        <v>29.3</v>
      </c>
      <c r="AB20" s="505">
        <f t="shared" si="3"/>
        <v>5.86</v>
      </c>
      <c r="AC20" s="504">
        <f t="shared" si="4"/>
        <v>29.299999999999986</v>
      </c>
      <c r="AD20" s="505">
        <f t="shared" si="5"/>
        <v>5.8599999999999977</v>
      </c>
    </row>
    <row r="21" spans="2:30" ht="15" customHeight="1" x14ac:dyDescent="0.25">
      <c r="B21" s="157" t="s">
        <v>30</v>
      </c>
      <c r="C21" s="109">
        <f>Screening_Assessment!C41</f>
        <v>2E-3</v>
      </c>
      <c r="D21" s="124">
        <f>Percolation!BJ21</f>
        <v>0.40600000000000003</v>
      </c>
      <c r="E21" s="135">
        <f>'Mass Transport'!CF21</f>
        <v>0.17447419083869345</v>
      </c>
      <c r="F21" s="115">
        <f>Percolation!BJ70</f>
        <v>0.40600000000000003</v>
      </c>
      <c r="G21" s="122">
        <f>'Mass Transport'!CF75</f>
        <v>0.23</v>
      </c>
      <c r="H21" s="119">
        <f t="shared" si="8"/>
        <v>203</v>
      </c>
      <c r="I21" s="149">
        <f t="shared" si="6"/>
        <v>87.23709541934673</v>
      </c>
      <c r="J21" s="113">
        <f t="shared" si="6"/>
        <v>203</v>
      </c>
      <c r="K21" s="122">
        <f t="shared" si="6"/>
        <v>115</v>
      </c>
      <c r="X21" s="486"/>
      <c r="Y21" s="486"/>
      <c r="Z21" s="506"/>
      <c r="AB21" s="506"/>
      <c r="AC21" s="507"/>
      <c r="AD21" s="506"/>
    </row>
    <row r="22" spans="2:30" ht="15" customHeight="1" x14ac:dyDescent="0.25">
      <c r="B22" s="157" t="s">
        <v>31</v>
      </c>
      <c r="C22" s="126">
        <f>Screening_Assessment!C46</f>
        <v>5</v>
      </c>
      <c r="D22" s="125">
        <f>Percolation!BO21</f>
        <v>29.3</v>
      </c>
      <c r="E22" s="138">
        <f>'Mass Transport'!CM21</f>
        <v>1.8420873309874089E-2</v>
      </c>
      <c r="F22" s="139">
        <f>Percolation!BO70</f>
        <v>29.3</v>
      </c>
      <c r="G22" s="143">
        <f>'Mass Transport'!CM75</f>
        <v>6.8212006762629035E-2</v>
      </c>
      <c r="H22" s="148">
        <f t="shared" si="8"/>
        <v>5.86</v>
      </c>
      <c r="I22" s="137">
        <f t="shared" si="6"/>
        <v>3.684174661974818E-3</v>
      </c>
      <c r="J22" s="150">
        <f t="shared" si="6"/>
        <v>5.86</v>
      </c>
      <c r="K22" s="143">
        <f t="shared" si="6"/>
        <v>1.3642401352525807E-2</v>
      </c>
      <c r="X22" s="486"/>
      <c r="Y22" s="486"/>
    </row>
    <row r="23" spans="2:30" ht="15" customHeight="1" x14ac:dyDescent="0.25">
      <c r="X23" s="486"/>
      <c r="Y23" s="486"/>
    </row>
    <row r="24" spans="2:30" ht="15.75" x14ac:dyDescent="0.25">
      <c r="B24" s="111"/>
      <c r="D24" t="s">
        <v>116</v>
      </c>
      <c r="E24" s="111"/>
      <c r="F24" s="111"/>
      <c r="G24" s="111"/>
      <c r="H24" s="111"/>
      <c r="I24" s="111"/>
      <c r="J24" s="111"/>
      <c r="K24" s="111"/>
      <c r="W24" s="489" t="s">
        <v>272</v>
      </c>
      <c r="X24" s="513" t="s">
        <v>283</v>
      </c>
      <c r="Y24" s="486"/>
    </row>
    <row r="25" spans="2:30" ht="15.75" customHeight="1" x14ac:dyDescent="0.25">
      <c r="B25" s="107"/>
      <c r="D25" s="543" t="s">
        <v>114</v>
      </c>
      <c r="E25" s="544"/>
      <c r="F25" s="544"/>
      <c r="G25" s="545"/>
      <c r="H25" s="543" t="s">
        <v>115</v>
      </c>
      <c r="I25" s="544"/>
      <c r="J25" s="544"/>
      <c r="K25" s="545"/>
      <c r="M25" s="543" t="s">
        <v>118</v>
      </c>
      <c r="N25" s="544"/>
      <c r="O25" s="544"/>
      <c r="P25" s="545"/>
      <c r="R25" s="543" t="s">
        <v>129</v>
      </c>
      <c r="S25" s="545"/>
      <c r="X25" s="486"/>
      <c r="Y25" s="549" t="s">
        <v>273</v>
      </c>
      <c r="Z25" s="549"/>
      <c r="AA25" s="550" t="s">
        <v>275</v>
      </c>
      <c r="AB25" s="550"/>
      <c r="AC25" s="550" t="s">
        <v>276</v>
      </c>
      <c r="AD25" s="550"/>
    </row>
    <row r="26" spans="2:30" ht="65.099999999999994" customHeight="1" x14ac:dyDescent="0.3">
      <c r="B26" s="107" t="s">
        <v>4</v>
      </c>
      <c r="C26" s="108" t="s">
        <v>112</v>
      </c>
      <c r="D26" s="117" t="s">
        <v>105</v>
      </c>
      <c r="E26" s="108" t="s">
        <v>106</v>
      </c>
      <c r="F26" s="108" t="s">
        <v>105</v>
      </c>
      <c r="G26" s="118" t="s">
        <v>106</v>
      </c>
      <c r="H26" s="117" t="s">
        <v>105</v>
      </c>
      <c r="I26" s="108" t="s">
        <v>106</v>
      </c>
      <c r="J26" s="108" t="s">
        <v>105</v>
      </c>
      <c r="K26" s="118" t="s">
        <v>106</v>
      </c>
      <c r="M26" s="117" t="s">
        <v>105</v>
      </c>
      <c r="N26" s="108" t="s">
        <v>106</v>
      </c>
      <c r="O26" s="108" t="s">
        <v>105</v>
      </c>
      <c r="P26" s="118" t="s">
        <v>106</v>
      </c>
      <c r="R26" s="164" t="s">
        <v>105</v>
      </c>
      <c r="S26" s="165" t="s">
        <v>106</v>
      </c>
      <c r="W26" s="491" t="str">
        <f>B26</f>
        <v>COPC</v>
      </c>
      <c r="X26" s="492" t="str">
        <f>C26</f>
        <v>Threshold (mg/L)</v>
      </c>
      <c r="Y26" s="492" t="s">
        <v>278</v>
      </c>
      <c r="Z26" s="492" t="s">
        <v>274</v>
      </c>
      <c r="AA26" s="492" t="s">
        <v>278</v>
      </c>
      <c r="AB26" s="492" t="s">
        <v>274</v>
      </c>
      <c r="AC26" s="492" t="s">
        <v>278</v>
      </c>
      <c r="AD26" s="492" t="s">
        <v>274</v>
      </c>
    </row>
    <row r="27" spans="2:30" ht="15" customHeight="1" x14ac:dyDescent="0.25">
      <c r="B27" s="107"/>
      <c r="C27" s="109"/>
      <c r="D27" s="546" t="s">
        <v>48</v>
      </c>
      <c r="E27" s="547"/>
      <c r="F27" s="547" t="s">
        <v>109</v>
      </c>
      <c r="G27" s="548"/>
      <c r="H27" s="546" t="s">
        <v>48</v>
      </c>
      <c r="I27" s="547"/>
      <c r="J27" s="547" t="s">
        <v>109</v>
      </c>
      <c r="K27" s="548"/>
      <c r="M27" s="546" t="s">
        <v>48</v>
      </c>
      <c r="N27" s="547"/>
      <c r="O27" s="547" t="s">
        <v>109</v>
      </c>
      <c r="P27" s="548"/>
      <c r="R27" s="546"/>
      <c r="S27" s="548"/>
      <c r="W27" s="486" t="str">
        <f>B29</f>
        <v>Antimony</v>
      </c>
      <c r="X27" s="493">
        <f>C29</f>
        <v>6.0000000000000001E-3</v>
      </c>
      <c r="Y27" s="508">
        <f>E10</f>
        <v>2.150100771730648E-3</v>
      </c>
      <c r="Z27" s="497">
        <f>I10</f>
        <v>0.35835012862177468</v>
      </c>
      <c r="AA27" s="509">
        <f>E29</f>
        <v>2.150100771730648E-3</v>
      </c>
      <c r="AB27" s="497">
        <f>I29</f>
        <v>0.35835012862177468</v>
      </c>
      <c r="AC27" s="509">
        <f>E48</f>
        <v>2.1501007717306471E-3</v>
      </c>
      <c r="AD27" s="497">
        <f>I48</f>
        <v>0.35835012862177451</v>
      </c>
    </row>
    <row r="28" spans="2:30" ht="15" customHeight="1" x14ac:dyDescent="0.25">
      <c r="B28" s="110"/>
      <c r="C28" s="110"/>
      <c r="D28" s="117" t="s">
        <v>110</v>
      </c>
      <c r="E28" s="108" t="s">
        <v>111</v>
      </c>
      <c r="F28" s="108" t="s">
        <v>110</v>
      </c>
      <c r="G28" s="118" t="s">
        <v>111</v>
      </c>
      <c r="H28" s="117" t="s">
        <v>110</v>
      </c>
      <c r="I28" s="108" t="s">
        <v>111</v>
      </c>
      <c r="J28" s="108" t="s">
        <v>110</v>
      </c>
      <c r="K28" s="118" t="s">
        <v>111</v>
      </c>
      <c r="M28" s="171" t="s">
        <v>110</v>
      </c>
      <c r="N28" s="173" t="s">
        <v>111</v>
      </c>
      <c r="O28" s="173" t="s">
        <v>110</v>
      </c>
      <c r="P28" s="172" t="s">
        <v>111</v>
      </c>
      <c r="R28" s="164"/>
      <c r="S28" s="165"/>
      <c r="W28" s="486" t="str">
        <f>B30</f>
        <v>Arsenic</v>
      </c>
      <c r="X28" s="496">
        <f>C30</f>
        <v>0.01</v>
      </c>
      <c r="Y28" s="493">
        <f t="shared" ref="Y28:Y39" si="9">E11</f>
        <v>1.8188869864443215E-2</v>
      </c>
      <c r="Z28" s="497">
        <f t="shared" ref="Z28:Z39" si="10">I11</f>
        <v>1.8188869864443213</v>
      </c>
      <c r="AA28" s="495">
        <f t="shared" ref="AA28:AA39" si="11">E30</f>
        <v>1.8188869864443215E-2</v>
      </c>
      <c r="AB28" s="497">
        <f t="shared" ref="AB28:AB39" si="12">I30</f>
        <v>1.8188869864443213</v>
      </c>
      <c r="AC28" s="495">
        <f t="shared" ref="AC28:AC39" si="13">E49</f>
        <v>1.8188869864443225E-2</v>
      </c>
      <c r="AD28" s="497">
        <f t="shared" ref="AD28:AD39" si="14">I49</f>
        <v>1.8188869864443225</v>
      </c>
    </row>
    <row r="29" spans="2:30" ht="15" customHeight="1" x14ac:dyDescent="0.25">
      <c r="B29" s="157" t="s">
        <v>10</v>
      </c>
      <c r="C29" s="109">
        <f>C10</f>
        <v>6.0000000000000001E-3</v>
      </c>
      <c r="D29" s="121">
        <f>Percolation!G22</f>
        <v>9.0999999999999998E-2</v>
      </c>
      <c r="E29" s="133">
        <f>'Mass Transport'!G22</f>
        <v>2.150100771730648E-3</v>
      </c>
      <c r="F29" s="112">
        <f>Percolation!G71</f>
        <v>9.0999999999999998E-2</v>
      </c>
      <c r="G29" s="141">
        <f>'Mass Transport'!G76</f>
        <v>8.0668046035552148E-3</v>
      </c>
      <c r="H29" s="147">
        <f>D29/$C29</f>
        <v>15.166666666666666</v>
      </c>
      <c r="I29" s="135">
        <f t="shared" ref="I29:I41" si="15">E29/$C29</f>
        <v>0.35835012862177468</v>
      </c>
      <c r="J29" s="149">
        <f>F29/$C29</f>
        <v>15.166666666666666</v>
      </c>
      <c r="K29" s="152">
        <f t="shared" ref="K29:K41" si="16">G29/$C29</f>
        <v>1.3444674339258691</v>
      </c>
      <c r="M29" s="166">
        <f>D29-D10</f>
        <v>0</v>
      </c>
      <c r="N29" s="149">
        <f t="shared" ref="N29:P29" si="17">E29-E10</f>
        <v>0</v>
      </c>
      <c r="O29" s="159">
        <f t="shared" si="17"/>
        <v>0</v>
      </c>
      <c r="P29" s="153">
        <f t="shared" si="17"/>
        <v>0</v>
      </c>
      <c r="R29" s="167">
        <f>(F29-D29)/D29</f>
        <v>0</v>
      </c>
      <c r="S29" s="168">
        <f>(G29-E29)/E29</f>
        <v>2.7518262909426912</v>
      </c>
      <c r="W29" s="486" t="str">
        <f t="shared" ref="W29:W39" si="18">B31</f>
        <v>Cadmium</v>
      </c>
      <c r="X29" s="493">
        <f t="shared" ref="X29:X39" si="19">C31</f>
        <v>5.0000000000000001E-3</v>
      </c>
      <c r="Y29" s="508">
        <f t="shared" si="9"/>
        <v>1.4037021808492465E-3</v>
      </c>
      <c r="Z29" s="497">
        <f t="shared" si="10"/>
        <v>0.28074043616984928</v>
      </c>
      <c r="AA29" s="509">
        <f t="shared" si="11"/>
        <v>1.4037021808492465E-3</v>
      </c>
      <c r="AB29" s="497">
        <f t="shared" si="12"/>
        <v>0.28074043616984928</v>
      </c>
      <c r="AC29" s="509">
        <f t="shared" si="13"/>
        <v>1.4037021808492457E-3</v>
      </c>
      <c r="AD29" s="497">
        <f t="shared" si="14"/>
        <v>0.28074043616984912</v>
      </c>
    </row>
    <row r="30" spans="2:30" ht="15" customHeight="1" x14ac:dyDescent="0.25">
      <c r="B30" s="157" t="s">
        <v>11</v>
      </c>
      <c r="C30" s="109">
        <f t="shared" ref="C30:C41" si="20">C11</f>
        <v>0.01</v>
      </c>
      <c r="D30" s="121">
        <f>Percolation!L22</f>
        <v>4.5999999999999999E-2</v>
      </c>
      <c r="E30" s="134">
        <f>'Mass Transport'!N22</f>
        <v>1.8188869864443215E-2</v>
      </c>
      <c r="F30" s="112">
        <f>Percolation!L71</f>
        <v>4.5999999999999999E-2</v>
      </c>
      <c r="G30" s="142">
        <f>'Mass Transport'!N76</f>
        <v>6.768915063892568E-2</v>
      </c>
      <c r="H30" s="119">
        <f>D30/$C30</f>
        <v>4.5999999999999996</v>
      </c>
      <c r="I30" s="136">
        <f t="shared" si="15"/>
        <v>1.8188869864443213</v>
      </c>
      <c r="J30" s="113">
        <f>F30/$C30</f>
        <v>4.5999999999999996</v>
      </c>
      <c r="K30" s="152">
        <f t="shared" si="16"/>
        <v>6.7689150638925675</v>
      </c>
      <c r="M30" s="161">
        <f t="shared" ref="M30:P30" si="21">D30-D11</f>
        <v>0</v>
      </c>
      <c r="N30" s="149">
        <f t="shared" si="21"/>
        <v>0</v>
      </c>
      <c r="O30" s="159">
        <f t="shared" si="21"/>
        <v>0</v>
      </c>
      <c r="P30" s="153">
        <f t="shared" si="21"/>
        <v>0</v>
      </c>
      <c r="R30" s="167">
        <f t="shared" ref="R30:R41" si="22">(F30-D30)/D30</f>
        <v>0</v>
      </c>
      <c r="S30" s="168">
        <f t="shared" ref="S30:S41" si="23">(G30-E30)/E30</f>
        <v>2.7214599446471839</v>
      </c>
      <c r="W30" s="486" t="str">
        <f t="shared" si="18"/>
        <v>Chloride</v>
      </c>
      <c r="X30" s="499">
        <f t="shared" si="19"/>
        <v>250</v>
      </c>
      <c r="Y30" s="499">
        <f t="shared" si="9"/>
        <v>35.5</v>
      </c>
      <c r="Z30" s="497">
        <f t="shared" si="10"/>
        <v>0.14199999999999999</v>
      </c>
      <c r="AA30" s="494">
        <f t="shared" si="11"/>
        <v>35.5</v>
      </c>
      <c r="AB30" s="497">
        <f t="shared" si="12"/>
        <v>0.14199999999999999</v>
      </c>
      <c r="AC30" s="494">
        <f t="shared" si="13"/>
        <v>35.5</v>
      </c>
      <c r="AD30" s="497">
        <f t="shared" si="14"/>
        <v>0.14199999999999999</v>
      </c>
    </row>
    <row r="31" spans="2:30" ht="15" customHeight="1" x14ac:dyDescent="0.25">
      <c r="B31" s="157" t="s">
        <v>15</v>
      </c>
      <c r="C31" s="109">
        <f t="shared" si="20"/>
        <v>5.0000000000000001E-3</v>
      </c>
      <c r="D31" s="121">
        <f>Percolation!Q22</f>
        <v>5.8</v>
      </c>
      <c r="E31" s="133">
        <f>'Mass Transport'!U22</f>
        <v>1.4037021808492465E-3</v>
      </c>
      <c r="F31" s="112">
        <f>Percolation!Q71</f>
        <v>5.8</v>
      </c>
      <c r="G31" s="141">
        <f>'Mass Transport'!U76</f>
        <v>5.2233559620517714E-3</v>
      </c>
      <c r="H31" s="120">
        <f>D31/$C31</f>
        <v>1160</v>
      </c>
      <c r="I31" s="135">
        <f t="shared" si="15"/>
        <v>0.28074043616984928</v>
      </c>
      <c r="J31" s="116">
        <f>F31/$C31</f>
        <v>1160</v>
      </c>
      <c r="K31" s="152">
        <f t="shared" si="16"/>
        <v>1.0446711924103542</v>
      </c>
      <c r="M31" s="161">
        <f t="shared" ref="M31:P31" si="24">D31-D12</f>
        <v>0</v>
      </c>
      <c r="N31" s="149">
        <f t="shared" si="24"/>
        <v>0</v>
      </c>
      <c r="O31" s="159">
        <f t="shared" si="24"/>
        <v>0</v>
      </c>
      <c r="P31" s="153">
        <f t="shared" si="24"/>
        <v>0</v>
      </c>
      <c r="R31" s="167">
        <f t="shared" si="22"/>
        <v>0</v>
      </c>
      <c r="S31" s="168">
        <f t="shared" si="23"/>
        <v>2.7211283371317525</v>
      </c>
      <c r="W31" s="486" t="str">
        <f t="shared" si="18"/>
        <v>Chromium</v>
      </c>
      <c r="X31" s="498">
        <f t="shared" si="19"/>
        <v>0.1</v>
      </c>
      <c r="Y31" s="510">
        <f t="shared" si="9"/>
        <v>1.4319431856941463E-2</v>
      </c>
      <c r="Z31" s="497">
        <f t="shared" si="10"/>
        <v>0.14319431856941461</v>
      </c>
      <c r="AA31" s="511">
        <f t="shared" si="11"/>
        <v>1.4319431856941461E-2</v>
      </c>
      <c r="AB31" s="497">
        <f t="shared" si="12"/>
        <v>0.14319431856941461</v>
      </c>
      <c r="AC31" s="511">
        <f t="shared" si="13"/>
        <v>1.4319431856941458E-2</v>
      </c>
      <c r="AD31" s="497">
        <f t="shared" si="14"/>
        <v>0.14319431856941456</v>
      </c>
    </row>
    <row r="32" spans="2:30" ht="15" customHeight="1" x14ac:dyDescent="0.25">
      <c r="B32" s="479" t="s">
        <v>16</v>
      </c>
      <c r="C32" s="109">
        <f t="shared" si="20"/>
        <v>250</v>
      </c>
      <c r="D32" s="123">
        <f>Percolation!V22</f>
        <v>319.59454496854346</v>
      </c>
      <c r="E32" s="116">
        <f>'Mass Transport'!AB22</f>
        <v>35.5</v>
      </c>
      <c r="F32" s="114">
        <f>Percolation!V71</f>
        <v>743.53385039766806</v>
      </c>
      <c r="G32" s="130">
        <f>'Mass Transport'!AB76</f>
        <v>35.5</v>
      </c>
      <c r="H32" s="146">
        <f>D32/$C32</f>
        <v>1.2783781798741738</v>
      </c>
      <c r="I32" s="135">
        <f t="shared" si="15"/>
        <v>0.14199999999999999</v>
      </c>
      <c r="J32" s="136">
        <f>F32/$C32</f>
        <v>2.9741354015906722</v>
      </c>
      <c r="K32" s="151">
        <f t="shared" si="16"/>
        <v>0.14199999999999999</v>
      </c>
      <c r="M32" s="480">
        <f t="shared" ref="M32:P32" si="25">D32-D13</f>
        <v>-423.9393054291246</v>
      </c>
      <c r="N32" s="149">
        <f t="shared" si="25"/>
        <v>0</v>
      </c>
      <c r="O32" s="481">
        <f t="shared" si="25"/>
        <v>0</v>
      </c>
      <c r="P32" s="153">
        <f t="shared" si="25"/>
        <v>0</v>
      </c>
      <c r="R32" s="482">
        <f t="shared" si="22"/>
        <v>1.3264910559435594</v>
      </c>
      <c r="S32" s="483">
        <f t="shared" si="23"/>
        <v>0</v>
      </c>
      <c r="W32" s="486" t="str">
        <f t="shared" si="18"/>
        <v>Copper</v>
      </c>
      <c r="X32" s="498">
        <f t="shared" si="19"/>
        <v>1.3</v>
      </c>
      <c r="Y32" s="493">
        <f t="shared" si="9"/>
        <v>6.9728116747303268E-2</v>
      </c>
      <c r="Z32" s="500">
        <f>I15</f>
        <v>5.3637012882540976E-2</v>
      </c>
      <c r="AA32" s="495">
        <f t="shared" si="11"/>
        <v>6.9728116747303268E-2</v>
      </c>
      <c r="AB32" s="497">
        <f t="shared" si="12"/>
        <v>5.3637012882540976E-2</v>
      </c>
      <c r="AC32" s="495">
        <f t="shared" si="13"/>
        <v>6.9728116747303226E-2</v>
      </c>
      <c r="AD32" s="497">
        <f t="shared" si="14"/>
        <v>5.3637012882540941E-2</v>
      </c>
    </row>
    <row r="33" spans="2:32" ht="15" customHeight="1" x14ac:dyDescent="0.25">
      <c r="B33" s="157" t="s">
        <v>17</v>
      </c>
      <c r="C33" s="109">
        <f t="shared" si="20"/>
        <v>0.1</v>
      </c>
      <c r="D33" s="121" t="s">
        <v>46</v>
      </c>
      <c r="E33" s="134">
        <f>'Mass Transport'!AI22</f>
        <v>1.4319431856941461E-2</v>
      </c>
      <c r="F33" s="112" t="s">
        <v>46</v>
      </c>
      <c r="G33" s="142">
        <f>'Mass Transport'!AI76</f>
        <v>5.3675332516422092E-2</v>
      </c>
      <c r="H33" s="128" t="s">
        <v>46</v>
      </c>
      <c r="I33" s="135">
        <f t="shared" si="15"/>
        <v>0.14319431856941461</v>
      </c>
      <c r="J33" s="129" t="s">
        <v>46</v>
      </c>
      <c r="K33" s="151">
        <f t="shared" si="16"/>
        <v>0.53675332516422092</v>
      </c>
      <c r="M33" s="163" t="e">
        <f t="shared" ref="M33:P33" si="26">D33-D14</f>
        <v>#VALUE!</v>
      </c>
      <c r="N33" s="149">
        <f t="shared" si="26"/>
        <v>0</v>
      </c>
      <c r="O33" s="158" t="e">
        <f t="shared" si="26"/>
        <v>#VALUE!</v>
      </c>
      <c r="P33" s="153">
        <f t="shared" si="26"/>
        <v>0</v>
      </c>
      <c r="R33" s="167" t="s">
        <v>46</v>
      </c>
      <c r="S33" s="168">
        <f t="shared" si="23"/>
        <v>2.7484261284013538</v>
      </c>
      <c r="W33" s="486" t="str">
        <f t="shared" si="18"/>
        <v>Fluoride</v>
      </c>
      <c r="X33" s="499">
        <f t="shared" si="19"/>
        <v>4</v>
      </c>
      <c r="Y33" s="493">
        <f t="shared" si="9"/>
        <v>1.9277017717788617E-2</v>
      </c>
      <c r="Z33" s="495">
        <f t="shared" si="10"/>
        <v>4.8192544294471543E-3</v>
      </c>
      <c r="AA33" s="495">
        <f t="shared" si="11"/>
        <v>1.9277017717788617E-2</v>
      </c>
      <c r="AB33" s="495">
        <f t="shared" si="12"/>
        <v>4.8192544294471543E-3</v>
      </c>
      <c r="AC33" s="495">
        <f t="shared" si="13"/>
        <v>1.9277017717788624E-2</v>
      </c>
      <c r="AD33" s="495">
        <f t="shared" si="14"/>
        <v>4.819254429447156E-3</v>
      </c>
    </row>
    <row r="34" spans="2:32" ht="15" customHeight="1" x14ac:dyDescent="0.25">
      <c r="B34" s="157" t="s">
        <v>18</v>
      </c>
      <c r="C34" s="109">
        <f t="shared" si="20"/>
        <v>1.3</v>
      </c>
      <c r="D34" s="132">
        <f>Percolation!AF22</f>
        <v>1.42</v>
      </c>
      <c r="E34" s="134">
        <f>'Mass Transport'!AP22</f>
        <v>6.9728116747303268E-2</v>
      </c>
      <c r="F34" s="140">
        <f>Percolation!AF71</f>
        <v>1.42</v>
      </c>
      <c r="G34" s="131">
        <f>'Mass Transport'!AP76</f>
        <v>0.26088435831760515</v>
      </c>
      <c r="H34" s="146">
        <f t="shared" ref="H34:H41" si="27">D34/$C34</f>
        <v>1.0923076923076922</v>
      </c>
      <c r="I34" s="134">
        <f t="shared" si="15"/>
        <v>5.3637012882540976E-2</v>
      </c>
      <c r="J34" s="136">
        <f t="shared" ref="J34:J41" si="28">F34/$C34</f>
        <v>1.0923076923076922</v>
      </c>
      <c r="K34" s="151">
        <f t="shared" si="16"/>
        <v>0.20068027562892704</v>
      </c>
      <c r="M34" s="161">
        <f t="shared" ref="M34:P34" si="29">D34-D15</f>
        <v>0</v>
      </c>
      <c r="N34" s="149">
        <f t="shared" si="29"/>
        <v>0</v>
      </c>
      <c r="O34" s="159">
        <f t="shared" si="29"/>
        <v>0</v>
      </c>
      <c r="P34" s="153">
        <f t="shared" si="29"/>
        <v>0</v>
      </c>
      <c r="R34" s="167">
        <f t="shared" si="22"/>
        <v>0</v>
      </c>
      <c r="S34" s="168">
        <f t="shared" si="23"/>
        <v>2.7414513755341718</v>
      </c>
      <c r="W34" s="486" t="str">
        <f t="shared" si="18"/>
        <v>Lead</v>
      </c>
      <c r="X34" s="493">
        <f t="shared" si="19"/>
        <v>1.4999999999999999E-2</v>
      </c>
      <c r="Y34" s="496">
        <f t="shared" si="9"/>
        <v>0.20280754973715356</v>
      </c>
      <c r="Z34" s="494">
        <f t="shared" si="10"/>
        <v>13.520503315810238</v>
      </c>
      <c r="AA34" s="500">
        <f t="shared" si="11"/>
        <v>0.20280754973715359</v>
      </c>
      <c r="AB34" s="494">
        <f t="shared" si="12"/>
        <v>13.52050331581024</v>
      </c>
      <c r="AC34" s="500">
        <f t="shared" si="13"/>
        <v>0.20280754973715356</v>
      </c>
      <c r="AD34" s="494">
        <f t="shared" si="14"/>
        <v>13.520503315810238</v>
      </c>
    </row>
    <row r="35" spans="2:32" ht="15" customHeight="1" x14ac:dyDescent="0.25">
      <c r="B35" s="157" t="s">
        <v>19</v>
      </c>
      <c r="C35" s="109">
        <f t="shared" si="20"/>
        <v>4</v>
      </c>
      <c r="D35" s="132">
        <f>Percolation!AK22</f>
        <v>2.59</v>
      </c>
      <c r="E35" s="134">
        <f>'Mass Transport'!AW22</f>
        <v>1.9277017717788617E-2</v>
      </c>
      <c r="F35" s="140">
        <f>Percolation!AK71</f>
        <v>2.59</v>
      </c>
      <c r="G35" s="142">
        <f>'Mass Transport'!AW76</f>
        <v>7.220570365062183E-2</v>
      </c>
      <c r="H35" s="145">
        <f t="shared" si="27"/>
        <v>0.64749999999999996</v>
      </c>
      <c r="I35" s="133">
        <f t="shared" si="15"/>
        <v>4.8192544294471543E-3</v>
      </c>
      <c r="J35" s="135">
        <f t="shared" si="28"/>
        <v>0.64749999999999996</v>
      </c>
      <c r="K35" s="142">
        <f t="shared" si="16"/>
        <v>1.8051425912655458E-2</v>
      </c>
      <c r="M35" s="161">
        <f t="shared" ref="M35:P35" si="30">D35-D16</f>
        <v>0</v>
      </c>
      <c r="N35" s="149">
        <f t="shared" si="30"/>
        <v>0</v>
      </c>
      <c r="O35" s="159">
        <f t="shared" si="30"/>
        <v>0</v>
      </c>
      <c r="P35" s="153">
        <f t="shared" si="30"/>
        <v>0</v>
      </c>
      <c r="R35" s="167">
        <f t="shared" si="22"/>
        <v>0</v>
      </c>
      <c r="S35" s="168">
        <f t="shared" si="23"/>
        <v>2.7456885036730143</v>
      </c>
      <c r="W35" s="486" t="str">
        <f t="shared" si="18"/>
        <v>Nitrate</v>
      </c>
      <c r="X35" s="499">
        <f t="shared" si="19"/>
        <v>44</v>
      </c>
      <c r="Y35" s="498">
        <f t="shared" si="9"/>
        <v>2.6800000000000006</v>
      </c>
      <c r="Z35" s="500">
        <f t="shared" si="10"/>
        <v>6.090909090909092E-2</v>
      </c>
      <c r="AA35" s="497">
        <f t="shared" si="11"/>
        <v>2.6800000000000006</v>
      </c>
      <c r="AB35" s="500">
        <f t="shared" si="12"/>
        <v>6.090909090909092E-2</v>
      </c>
      <c r="AC35" s="497">
        <f t="shared" si="13"/>
        <v>2.6800000000000015</v>
      </c>
      <c r="AD35" s="500">
        <f t="shared" si="14"/>
        <v>6.090909090909094E-2</v>
      </c>
    </row>
    <row r="36" spans="2:32" ht="15" customHeight="1" x14ac:dyDescent="0.25">
      <c r="B36" s="157" t="s">
        <v>21</v>
      </c>
      <c r="C36" s="109">
        <f t="shared" si="20"/>
        <v>1.4999999999999999E-2</v>
      </c>
      <c r="D36" s="132">
        <f>Percolation!AP22</f>
        <v>1.27</v>
      </c>
      <c r="E36" s="135">
        <f>'Mass Transport'!BD22</f>
        <v>0.20280754973715359</v>
      </c>
      <c r="F36" s="140">
        <f>Percolation!AP71</f>
        <v>1.27</v>
      </c>
      <c r="G36" s="131">
        <f>'Mass Transport'!BD76</f>
        <v>0.75173562947453354</v>
      </c>
      <c r="H36" s="147">
        <f t="shared" si="27"/>
        <v>84.666666666666671</v>
      </c>
      <c r="I36" s="149">
        <f t="shared" si="15"/>
        <v>13.52050331581024</v>
      </c>
      <c r="J36" s="149">
        <f t="shared" si="28"/>
        <v>84.666666666666671</v>
      </c>
      <c r="K36" s="153">
        <f t="shared" si="16"/>
        <v>50.11570863163557</v>
      </c>
      <c r="M36" s="161">
        <f t="shared" ref="M36:P36" si="31">D36-D17</f>
        <v>0</v>
      </c>
      <c r="N36" s="149">
        <f t="shared" si="31"/>
        <v>0</v>
      </c>
      <c r="O36" s="159">
        <f t="shared" si="31"/>
        <v>0</v>
      </c>
      <c r="P36" s="153">
        <f t="shared" si="31"/>
        <v>0</v>
      </c>
      <c r="R36" s="167">
        <f t="shared" si="22"/>
        <v>0</v>
      </c>
      <c r="S36" s="168">
        <f t="shared" si="23"/>
        <v>2.7066451936765268</v>
      </c>
      <c r="W36" s="486" t="str">
        <f t="shared" si="18"/>
        <v>Selenium</v>
      </c>
      <c r="X36" s="496">
        <f t="shared" si="19"/>
        <v>0.05</v>
      </c>
      <c r="Y36" s="493">
        <f t="shared" si="9"/>
        <v>1.3869052334547582E-2</v>
      </c>
      <c r="Z36" s="497">
        <f t="shared" si="10"/>
        <v>0.27738104669095165</v>
      </c>
      <c r="AA36" s="495">
        <f t="shared" si="11"/>
        <v>1.3869052334547582E-2</v>
      </c>
      <c r="AB36" s="497">
        <f t="shared" si="12"/>
        <v>0.27738104669095165</v>
      </c>
      <c r="AC36" s="495">
        <f t="shared" si="13"/>
        <v>1.3869052334547587E-2</v>
      </c>
      <c r="AD36" s="497">
        <f t="shared" si="14"/>
        <v>0.2773810466909517</v>
      </c>
    </row>
    <row r="37" spans="2:32" ht="15" customHeight="1" x14ac:dyDescent="0.25">
      <c r="B37" s="479" t="s">
        <v>0</v>
      </c>
      <c r="C37" s="109">
        <f t="shared" si="20"/>
        <v>44</v>
      </c>
      <c r="D37" s="123">
        <f>Percolation!AU22</f>
        <v>55.480741950940093</v>
      </c>
      <c r="E37" s="136">
        <f>'Mass Transport'!BK22</f>
        <v>2.6800000000000006</v>
      </c>
      <c r="F37" s="114">
        <f>Percolation!AU71</f>
        <v>136.53961780758002</v>
      </c>
      <c r="G37" s="122">
        <f>'Mass Transport'!BK76</f>
        <v>2.68</v>
      </c>
      <c r="H37" s="146">
        <f t="shared" si="27"/>
        <v>1.2609259534304567</v>
      </c>
      <c r="I37" s="134">
        <f t="shared" si="15"/>
        <v>6.090909090909092E-2</v>
      </c>
      <c r="J37" s="136">
        <f t="shared" si="28"/>
        <v>3.103173131990455</v>
      </c>
      <c r="K37" s="142">
        <f t="shared" si="16"/>
        <v>6.0909090909090913E-2</v>
      </c>
      <c r="M37" s="480">
        <f t="shared" ref="M37:P37" si="32">D37-D18</f>
        <v>-81.058875856639929</v>
      </c>
      <c r="N37" s="149">
        <f t="shared" si="32"/>
        <v>0</v>
      </c>
      <c r="O37" s="481">
        <f t="shared" si="32"/>
        <v>0</v>
      </c>
      <c r="P37" s="153">
        <f t="shared" si="32"/>
        <v>0</v>
      </c>
      <c r="R37" s="482">
        <f t="shared" si="22"/>
        <v>1.46102725029016</v>
      </c>
      <c r="S37" s="483">
        <f t="shared" si="23"/>
        <v>-1.6570492904853079E-16</v>
      </c>
      <c r="W37" s="486" t="str">
        <f t="shared" si="18"/>
        <v>Sulfate</v>
      </c>
      <c r="X37" s="499">
        <f t="shared" si="19"/>
        <v>250</v>
      </c>
      <c r="Y37" s="499">
        <f t="shared" si="9"/>
        <v>139.88909355018458</v>
      </c>
      <c r="Z37" s="497">
        <f t="shared" si="10"/>
        <v>0.55955637420073834</v>
      </c>
      <c r="AA37" s="494">
        <f t="shared" si="11"/>
        <v>139.88909355018458</v>
      </c>
      <c r="AB37" s="497">
        <f t="shared" si="12"/>
        <v>0.55955637420073834</v>
      </c>
      <c r="AC37" s="494">
        <f t="shared" si="13"/>
        <v>139.88909355018453</v>
      </c>
      <c r="AD37" s="497">
        <f t="shared" si="14"/>
        <v>0.55955637420073812</v>
      </c>
    </row>
    <row r="38" spans="2:32" ht="15" customHeight="1" x14ac:dyDescent="0.25">
      <c r="B38" s="479" t="s">
        <v>27</v>
      </c>
      <c r="C38" s="109">
        <f t="shared" si="20"/>
        <v>0.05</v>
      </c>
      <c r="D38" s="132">
        <f>Percolation!AZ22</f>
        <v>0.93879264431489262</v>
      </c>
      <c r="E38" s="134">
        <f>'Mass Transport'!BR22</f>
        <v>1.3869052334547582E-2</v>
      </c>
      <c r="F38" s="140">
        <f>Percolation!AZ71</f>
        <v>1.8199917709704081</v>
      </c>
      <c r="G38" s="142">
        <f>'Mass Transport'!BR76</f>
        <v>5.2176779741528866E-2</v>
      </c>
      <c r="H38" s="147">
        <f t="shared" si="27"/>
        <v>18.775852886297852</v>
      </c>
      <c r="I38" s="135">
        <f t="shared" si="15"/>
        <v>0.27738104669095165</v>
      </c>
      <c r="J38" s="149">
        <f t="shared" si="28"/>
        <v>36.399835419408163</v>
      </c>
      <c r="K38" s="152">
        <f t="shared" si="16"/>
        <v>1.0435355948305773</v>
      </c>
      <c r="M38" s="484">
        <f t="shared" ref="M38:P38" si="33">D38-D19</f>
        <v>-0.8811991266555157</v>
      </c>
      <c r="N38" s="149">
        <f t="shared" si="33"/>
        <v>0</v>
      </c>
      <c r="O38" s="481">
        <f t="shared" si="33"/>
        <v>0</v>
      </c>
      <c r="P38" s="153">
        <f t="shared" si="33"/>
        <v>0</v>
      </c>
      <c r="R38" s="482">
        <f t="shared" si="22"/>
        <v>0.93865150306816958</v>
      </c>
      <c r="S38" s="483">
        <f t="shared" si="23"/>
        <v>2.7621012945172438</v>
      </c>
      <c r="W38" s="486" t="str">
        <f t="shared" si="18"/>
        <v>Thallium</v>
      </c>
      <c r="X38" s="493">
        <f t="shared" si="19"/>
        <v>2E-3</v>
      </c>
      <c r="Y38" s="496">
        <f t="shared" si="9"/>
        <v>0.17447419083869345</v>
      </c>
      <c r="Z38" s="494">
        <f t="shared" si="10"/>
        <v>87.23709541934673</v>
      </c>
      <c r="AA38" s="500">
        <f t="shared" si="11"/>
        <v>0.17447419083869345</v>
      </c>
      <c r="AB38" s="494">
        <f t="shared" si="12"/>
        <v>87.23709541934673</v>
      </c>
      <c r="AC38" s="500">
        <f t="shared" si="13"/>
        <v>0.17447419083869339</v>
      </c>
      <c r="AD38" s="494">
        <f t="shared" si="14"/>
        <v>87.237095419346701</v>
      </c>
    </row>
    <row r="39" spans="2:32" ht="15" customHeight="1" x14ac:dyDescent="0.25">
      <c r="B39" s="479" t="s">
        <v>1</v>
      </c>
      <c r="C39" s="109">
        <f t="shared" si="20"/>
        <v>250</v>
      </c>
      <c r="D39" s="123">
        <f>Percolation!BE22</f>
        <v>7241.0174401570157</v>
      </c>
      <c r="E39" s="116">
        <f>'Mass Transport'!BY22</f>
        <v>139.88909355018458</v>
      </c>
      <c r="F39" s="114">
        <f>Percolation!BE71</f>
        <v>12147.446357004566</v>
      </c>
      <c r="G39" s="130">
        <f>'Mass Transport'!BY76</f>
        <v>524.27138726381179</v>
      </c>
      <c r="H39" s="147">
        <f t="shared" si="27"/>
        <v>28.964069760628064</v>
      </c>
      <c r="I39" s="135">
        <f t="shared" si="15"/>
        <v>0.55955637420073834</v>
      </c>
      <c r="J39" s="149">
        <f t="shared" si="28"/>
        <v>48.589785428018267</v>
      </c>
      <c r="K39" s="152">
        <f t="shared" si="16"/>
        <v>2.0970855490552474</v>
      </c>
      <c r="M39" s="484">
        <f t="shared" ref="M39:P39" si="34">D39-D20</f>
        <v>-4906.4289168475507</v>
      </c>
      <c r="N39" s="149">
        <f t="shared" si="34"/>
        <v>0</v>
      </c>
      <c r="O39" s="481">
        <f t="shared" si="34"/>
        <v>0</v>
      </c>
      <c r="P39" s="153">
        <f t="shared" si="34"/>
        <v>0</v>
      </c>
      <c r="R39" s="482">
        <f t="shared" si="22"/>
        <v>0.67758833028596577</v>
      </c>
      <c r="S39" s="483">
        <f t="shared" si="23"/>
        <v>2.7477645609000372</v>
      </c>
      <c r="W39" s="503" t="str">
        <f t="shared" si="18"/>
        <v>Zinc</v>
      </c>
      <c r="X39" s="504">
        <f t="shared" si="19"/>
        <v>5</v>
      </c>
      <c r="Y39" s="512">
        <f t="shared" si="9"/>
        <v>1.8420873309874089E-2</v>
      </c>
      <c r="Z39" s="512">
        <f t="shared" si="10"/>
        <v>3.684174661974818E-3</v>
      </c>
      <c r="AA39" s="512">
        <f t="shared" si="11"/>
        <v>1.8420873309874089E-2</v>
      </c>
      <c r="AB39" s="512">
        <f t="shared" si="12"/>
        <v>3.684174661974818E-3</v>
      </c>
      <c r="AC39" s="512">
        <f t="shared" si="13"/>
        <v>1.8420873309874079E-2</v>
      </c>
      <c r="AD39" s="512">
        <f t="shared" si="14"/>
        <v>3.6841746619748158E-3</v>
      </c>
    </row>
    <row r="40" spans="2:32" ht="15" customHeight="1" x14ac:dyDescent="0.25">
      <c r="B40" s="157" t="s">
        <v>30</v>
      </c>
      <c r="C40" s="109">
        <f t="shared" si="20"/>
        <v>2E-3</v>
      </c>
      <c r="D40" s="124">
        <f>Percolation!BJ22</f>
        <v>0.40600000000000003</v>
      </c>
      <c r="E40" s="135">
        <f>'Mass Transport'!CF22</f>
        <v>0.17447419083869345</v>
      </c>
      <c r="F40" s="115">
        <f>Percolation!BJ71</f>
        <v>0.40600000000000003</v>
      </c>
      <c r="G40" s="122">
        <f>'Mass Transport'!CF76</f>
        <v>0.23000000000000004</v>
      </c>
      <c r="H40" s="119">
        <f t="shared" si="27"/>
        <v>203</v>
      </c>
      <c r="I40" s="149">
        <f t="shared" si="15"/>
        <v>87.23709541934673</v>
      </c>
      <c r="J40" s="113">
        <f t="shared" si="28"/>
        <v>203</v>
      </c>
      <c r="K40" s="122">
        <f t="shared" si="16"/>
        <v>115.00000000000001</v>
      </c>
      <c r="M40" s="161">
        <f t="shared" ref="M40:P40" si="35">D40-D21</f>
        <v>0</v>
      </c>
      <c r="N40" s="149">
        <f t="shared" si="35"/>
        <v>0</v>
      </c>
      <c r="O40" s="159">
        <f t="shared" si="35"/>
        <v>0</v>
      </c>
      <c r="P40" s="153">
        <f t="shared" si="35"/>
        <v>0</v>
      </c>
      <c r="R40" s="167">
        <f t="shared" si="22"/>
        <v>0</v>
      </c>
      <c r="S40" s="168">
        <f t="shared" si="23"/>
        <v>0.31824654921392836</v>
      </c>
    </row>
    <row r="41" spans="2:32" ht="15" customHeight="1" x14ac:dyDescent="0.25">
      <c r="B41" s="157" t="s">
        <v>31</v>
      </c>
      <c r="C41" s="109">
        <f t="shared" si="20"/>
        <v>5</v>
      </c>
      <c r="D41" s="125">
        <f>Percolation!BO22</f>
        <v>29.3</v>
      </c>
      <c r="E41" s="138">
        <f>'Mass Transport'!CM22</f>
        <v>1.8420873309874089E-2</v>
      </c>
      <c r="F41" s="139">
        <f>Percolation!BO71</f>
        <v>29.3</v>
      </c>
      <c r="G41" s="143">
        <f>'Mass Transport'!CM76</f>
        <v>6.8212006762629035E-2</v>
      </c>
      <c r="H41" s="148">
        <f t="shared" si="27"/>
        <v>5.86</v>
      </c>
      <c r="I41" s="137">
        <f t="shared" si="15"/>
        <v>3.684174661974818E-3</v>
      </c>
      <c r="J41" s="150">
        <f t="shared" si="28"/>
        <v>5.86</v>
      </c>
      <c r="K41" s="143">
        <f t="shared" si="16"/>
        <v>1.3642401352525807E-2</v>
      </c>
      <c r="M41" s="162">
        <f t="shared" ref="M41:P41" si="36">D41-D22</f>
        <v>0</v>
      </c>
      <c r="N41" s="154">
        <f t="shared" si="36"/>
        <v>0</v>
      </c>
      <c r="O41" s="160">
        <f t="shared" si="36"/>
        <v>0</v>
      </c>
      <c r="P41" s="156">
        <f t="shared" si="36"/>
        <v>0</v>
      </c>
      <c r="R41" s="169">
        <f t="shared" si="22"/>
        <v>0</v>
      </c>
      <c r="S41" s="170">
        <f t="shared" si="23"/>
        <v>2.7029735569629887</v>
      </c>
    </row>
    <row r="42" spans="2:32" ht="15.75" x14ac:dyDescent="0.25">
      <c r="C42" s="111"/>
      <c r="D42" s="111"/>
      <c r="E42" s="111"/>
      <c r="F42" s="111"/>
      <c r="G42" s="111"/>
      <c r="H42" s="111"/>
      <c r="I42" s="111"/>
      <c r="J42" s="111"/>
      <c r="K42" s="111"/>
      <c r="W42" s="489" t="s">
        <v>279</v>
      </c>
      <c r="X42" s="514" t="s">
        <v>282</v>
      </c>
      <c r="Y42" s="486"/>
    </row>
    <row r="43" spans="2:32" ht="15.75" x14ac:dyDescent="0.25">
      <c r="D43" t="s">
        <v>121</v>
      </c>
      <c r="X43" s="513"/>
      <c r="Y43" s="549" t="s">
        <v>280</v>
      </c>
      <c r="Z43" s="549"/>
      <c r="AA43" s="549"/>
      <c r="AB43" s="549"/>
      <c r="AC43" s="550" t="s">
        <v>281</v>
      </c>
      <c r="AD43" s="550"/>
      <c r="AE43" s="550"/>
      <c r="AF43" s="550"/>
    </row>
    <row r="44" spans="2:32" ht="15.75" x14ac:dyDescent="0.25">
      <c r="D44" s="543" t="s">
        <v>114</v>
      </c>
      <c r="E44" s="544"/>
      <c r="F44" s="544"/>
      <c r="G44" s="545"/>
      <c r="H44" s="543" t="s">
        <v>115</v>
      </c>
      <c r="I44" s="544"/>
      <c r="J44" s="544"/>
      <c r="K44" s="545"/>
      <c r="M44" s="543" t="s">
        <v>117</v>
      </c>
      <c r="N44" s="544"/>
      <c r="O44" s="544"/>
      <c r="P44" s="545"/>
      <c r="R44" s="543" t="s">
        <v>130</v>
      </c>
      <c r="S44" s="544"/>
      <c r="T44" s="544"/>
      <c r="U44" s="545"/>
      <c r="X44" s="486"/>
      <c r="Y44" s="549" t="s">
        <v>48</v>
      </c>
      <c r="Z44" s="549"/>
      <c r="AA44" s="550" t="s">
        <v>109</v>
      </c>
      <c r="AB44" s="550"/>
      <c r="AC44" s="550" t="s">
        <v>48</v>
      </c>
      <c r="AD44" s="550"/>
      <c r="AE44" s="550" t="s">
        <v>109</v>
      </c>
      <c r="AF44" s="550"/>
    </row>
    <row r="45" spans="2:32" ht="63" x14ac:dyDescent="0.3">
      <c r="B45" s="107" t="s">
        <v>4</v>
      </c>
      <c r="C45" s="108" t="s">
        <v>112</v>
      </c>
      <c r="D45" s="117" t="s">
        <v>107</v>
      </c>
      <c r="E45" s="108" t="s">
        <v>108</v>
      </c>
      <c r="F45" s="108" t="s">
        <v>107</v>
      </c>
      <c r="G45" s="118" t="s">
        <v>108</v>
      </c>
      <c r="H45" s="117" t="s">
        <v>107</v>
      </c>
      <c r="I45" s="108" t="s">
        <v>108</v>
      </c>
      <c r="J45" s="108" t="s">
        <v>107</v>
      </c>
      <c r="K45" s="118" t="s">
        <v>108</v>
      </c>
      <c r="M45" s="117" t="s">
        <v>105</v>
      </c>
      <c r="N45" s="108" t="s">
        <v>106</v>
      </c>
      <c r="O45" s="108" t="s">
        <v>105</v>
      </c>
      <c r="P45" s="118" t="s">
        <v>106</v>
      </c>
      <c r="R45" s="171" t="s">
        <v>105</v>
      </c>
      <c r="S45" s="173" t="s">
        <v>106</v>
      </c>
      <c r="T45" s="173" t="s">
        <v>105</v>
      </c>
      <c r="U45" s="172" t="s">
        <v>106</v>
      </c>
      <c r="W45" s="491" t="str">
        <f>B45</f>
        <v>COPC</v>
      </c>
      <c r="X45" s="492" t="str">
        <f>C45</f>
        <v>Threshold (mg/L)</v>
      </c>
      <c r="Y45" s="492" t="s">
        <v>278</v>
      </c>
      <c r="Z45" s="492" t="s">
        <v>274</v>
      </c>
      <c r="AA45" s="492" t="s">
        <v>278</v>
      </c>
      <c r="AB45" s="492" t="s">
        <v>274</v>
      </c>
      <c r="AC45" s="492" t="s">
        <v>278</v>
      </c>
      <c r="AD45" s="492" t="s">
        <v>274</v>
      </c>
      <c r="AE45" s="492" t="s">
        <v>278</v>
      </c>
      <c r="AF45" s="492" t="s">
        <v>274</v>
      </c>
    </row>
    <row r="46" spans="2:32" ht="15.75" x14ac:dyDescent="0.25">
      <c r="B46" s="107"/>
      <c r="C46" s="109"/>
      <c r="D46" s="546" t="s">
        <v>48</v>
      </c>
      <c r="E46" s="547"/>
      <c r="F46" s="547" t="s">
        <v>109</v>
      </c>
      <c r="G46" s="548"/>
      <c r="H46" s="546" t="s">
        <v>48</v>
      </c>
      <c r="I46" s="547"/>
      <c r="J46" s="547" t="s">
        <v>109</v>
      </c>
      <c r="K46" s="548"/>
      <c r="M46" s="546" t="s">
        <v>48</v>
      </c>
      <c r="N46" s="547"/>
      <c r="O46" s="547" t="s">
        <v>109</v>
      </c>
      <c r="P46" s="548"/>
      <c r="R46" s="546" t="s">
        <v>48</v>
      </c>
      <c r="S46" s="547"/>
      <c r="T46" s="547" t="s">
        <v>109</v>
      </c>
      <c r="U46" s="548"/>
      <c r="W46" s="486" t="str">
        <f>B48</f>
        <v>Antimony</v>
      </c>
      <c r="X46" s="493">
        <f>C48</f>
        <v>6.0000000000000001E-3</v>
      </c>
      <c r="Y46" s="493">
        <f>D48</f>
        <v>9.1000000000000039E-2</v>
      </c>
      <c r="Z46" s="494">
        <f>H48</f>
        <v>15.166666666666673</v>
      </c>
      <c r="AA46" s="495">
        <f>F48</f>
        <v>9.1000000000000039E-2</v>
      </c>
      <c r="AB46" s="494">
        <f>J48</f>
        <v>15.166666666666673</v>
      </c>
      <c r="AC46" s="509">
        <f>E48</f>
        <v>2.1501007717306471E-3</v>
      </c>
      <c r="AD46" s="497">
        <f>I48</f>
        <v>0.35835012862177451</v>
      </c>
      <c r="AE46" s="509">
        <f>G48</f>
        <v>8.0668046035552148E-3</v>
      </c>
      <c r="AF46" s="497">
        <f>K48</f>
        <v>1.3444674339258691</v>
      </c>
    </row>
    <row r="47" spans="2:32" ht="15.75" x14ac:dyDescent="0.25">
      <c r="B47" s="110"/>
      <c r="C47" s="110"/>
      <c r="D47" s="117" t="s">
        <v>110</v>
      </c>
      <c r="E47" s="108" t="s">
        <v>111</v>
      </c>
      <c r="F47" s="108" t="s">
        <v>110</v>
      </c>
      <c r="G47" s="118" t="s">
        <v>111</v>
      </c>
      <c r="H47" s="117" t="s">
        <v>110</v>
      </c>
      <c r="I47" s="108" t="s">
        <v>111</v>
      </c>
      <c r="J47" s="108" t="s">
        <v>110</v>
      </c>
      <c r="K47" s="118" t="s">
        <v>111</v>
      </c>
      <c r="M47" s="171" t="s">
        <v>110</v>
      </c>
      <c r="N47" s="173" t="s">
        <v>111</v>
      </c>
      <c r="O47" s="173" t="s">
        <v>110</v>
      </c>
      <c r="P47" s="172" t="s">
        <v>111</v>
      </c>
      <c r="R47" s="171" t="s">
        <v>110</v>
      </c>
      <c r="S47" s="173" t="s">
        <v>111</v>
      </c>
      <c r="T47" s="173" t="s">
        <v>110</v>
      </c>
      <c r="U47" s="172" t="s">
        <v>111</v>
      </c>
      <c r="W47" s="486" t="str">
        <f>B49</f>
        <v>Arsenic</v>
      </c>
      <c r="X47" s="496">
        <f>C49</f>
        <v>0.01</v>
      </c>
      <c r="Y47" s="493">
        <f t="shared" ref="Y47:Y58" si="37">D49</f>
        <v>4.600000000000002E-2</v>
      </c>
      <c r="Z47" s="497">
        <f t="shared" ref="Z47:Z58" si="38">H49</f>
        <v>4.6000000000000023</v>
      </c>
      <c r="AA47" s="495">
        <f t="shared" ref="AA47:AA58" si="39">F49</f>
        <v>4.600000000000002E-2</v>
      </c>
      <c r="AB47" s="497">
        <f t="shared" ref="AB47:AB58" si="40">J49</f>
        <v>4.6000000000000023</v>
      </c>
      <c r="AC47" s="495">
        <f t="shared" ref="AC47:AC58" si="41">E49</f>
        <v>1.8188869864443225E-2</v>
      </c>
      <c r="AD47" s="497">
        <f t="shared" ref="AD47:AD58" si="42">I49</f>
        <v>1.8188869864443225</v>
      </c>
      <c r="AE47" s="495">
        <f t="shared" ref="AE47:AE58" si="43">G49</f>
        <v>6.768915063892568E-2</v>
      </c>
      <c r="AF47" s="497">
        <f t="shared" ref="AF47:AF58" si="44">K49</f>
        <v>6.7689150638925675</v>
      </c>
    </row>
    <row r="48" spans="2:32" ht="15.75" x14ac:dyDescent="0.25">
      <c r="B48" s="157" t="s">
        <v>10</v>
      </c>
      <c r="C48" s="109">
        <f>C29</f>
        <v>6.0000000000000001E-3</v>
      </c>
      <c r="D48" s="144">
        <v>9.1000000000000039E-2</v>
      </c>
      <c r="E48" s="133">
        <v>2.1501007717306471E-3</v>
      </c>
      <c r="F48" s="134">
        <v>9.1000000000000039E-2</v>
      </c>
      <c r="G48" s="141">
        <v>8.0668046035552148E-3</v>
      </c>
      <c r="H48" s="147">
        <f>D48/$C48</f>
        <v>15.166666666666673</v>
      </c>
      <c r="I48" s="135">
        <f t="shared" ref="I48:I60" si="45">E48/$C48</f>
        <v>0.35835012862177451</v>
      </c>
      <c r="J48" s="149">
        <f>F48/$C48</f>
        <v>15.166666666666673</v>
      </c>
      <c r="K48" s="152">
        <f t="shared" ref="K48:K60" si="46">G48/$C48</f>
        <v>1.3444674339258691</v>
      </c>
      <c r="M48" s="166">
        <f>H48-H29</f>
        <v>0</v>
      </c>
      <c r="N48" s="149">
        <f t="shared" ref="N48:N60" si="47">I48-I29</f>
        <v>0</v>
      </c>
      <c r="O48" s="159">
        <f>J48-J29</f>
        <v>0</v>
      </c>
      <c r="P48" s="153">
        <f t="shared" ref="P48:P60" si="48">K48-K29</f>
        <v>0</v>
      </c>
      <c r="R48" s="166">
        <f>H10-H48</f>
        <v>0</v>
      </c>
      <c r="S48" s="149">
        <f t="shared" ref="S48:U51" si="49">I10-I48</f>
        <v>0</v>
      </c>
      <c r="T48" s="159">
        <f t="shared" si="49"/>
        <v>0</v>
      </c>
      <c r="U48" s="153">
        <f t="shared" si="49"/>
        <v>0</v>
      </c>
      <c r="W48" s="486" t="str">
        <f t="shared" ref="W48:W58" si="50">B50</f>
        <v>Cadmium</v>
      </c>
      <c r="X48" s="493">
        <f t="shared" ref="X48:X58" si="51">C50</f>
        <v>5.0000000000000001E-3</v>
      </c>
      <c r="Y48" s="498">
        <f t="shared" si="37"/>
        <v>5.8000000000000007</v>
      </c>
      <c r="Z48" s="494">
        <f t="shared" si="38"/>
        <v>1160.0000000000002</v>
      </c>
      <c r="AA48" s="497">
        <f t="shared" si="39"/>
        <v>5.8000000000000007</v>
      </c>
      <c r="AB48" s="494">
        <f t="shared" si="40"/>
        <v>1160.0000000000002</v>
      </c>
      <c r="AC48" s="509">
        <f t="shared" si="41"/>
        <v>1.4037021808492457E-3</v>
      </c>
      <c r="AD48" s="497">
        <f t="shared" si="42"/>
        <v>0.28074043616984912</v>
      </c>
      <c r="AE48" s="509">
        <f t="shared" si="43"/>
        <v>5.223355962051774E-3</v>
      </c>
      <c r="AF48" s="497">
        <f t="shared" si="44"/>
        <v>1.0446711924103549</v>
      </c>
    </row>
    <row r="49" spans="2:32" ht="15.75" x14ac:dyDescent="0.25">
      <c r="B49" s="157" t="s">
        <v>11</v>
      </c>
      <c r="C49" s="109">
        <f t="shared" ref="C49:C60" si="52">C30</f>
        <v>0.01</v>
      </c>
      <c r="D49" s="119">
        <v>4.600000000000002E-2</v>
      </c>
      <c r="E49" s="134">
        <v>1.8188869864443225E-2</v>
      </c>
      <c r="F49" s="113">
        <v>4.600000000000002E-2</v>
      </c>
      <c r="G49" s="142">
        <v>6.768915063892568E-2</v>
      </c>
      <c r="H49" s="119">
        <f>D49/$C49</f>
        <v>4.6000000000000023</v>
      </c>
      <c r="I49" s="136">
        <f t="shared" si="45"/>
        <v>1.8188869864443225</v>
      </c>
      <c r="J49" s="113">
        <f>F49/$C49</f>
        <v>4.6000000000000023</v>
      </c>
      <c r="K49" s="152">
        <f t="shared" si="46"/>
        <v>6.7689150638925675</v>
      </c>
      <c r="M49" s="161">
        <f>H49-H30</f>
        <v>0</v>
      </c>
      <c r="N49" s="149">
        <f t="shared" si="47"/>
        <v>0</v>
      </c>
      <c r="O49" s="159">
        <f>J49-J30</f>
        <v>0</v>
      </c>
      <c r="P49" s="153">
        <f t="shared" si="48"/>
        <v>0</v>
      </c>
      <c r="R49" s="161">
        <f t="shared" ref="R49:R60" si="53">H11-H49</f>
        <v>0</v>
      </c>
      <c r="S49" s="149">
        <f t="shared" si="49"/>
        <v>0</v>
      </c>
      <c r="T49" s="159">
        <f t="shared" si="49"/>
        <v>0</v>
      </c>
      <c r="U49" s="153">
        <f t="shared" si="49"/>
        <v>0</v>
      </c>
      <c r="W49" s="486" t="str">
        <f t="shared" si="50"/>
        <v>Chloride</v>
      </c>
      <c r="X49" s="499">
        <f t="shared" si="51"/>
        <v>250</v>
      </c>
      <c r="Y49" s="499">
        <f t="shared" si="37"/>
        <v>94.232468116347619</v>
      </c>
      <c r="Z49" s="497">
        <f t="shared" si="38"/>
        <v>0.37692987246539045</v>
      </c>
      <c r="AA49" s="494">
        <f t="shared" si="39"/>
        <v>682.86993121140063</v>
      </c>
      <c r="AB49" s="497">
        <f t="shared" si="40"/>
        <v>2.7314797248456024</v>
      </c>
      <c r="AC49" s="494">
        <f t="shared" si="41"/>
        <v>35.5</v>
      </c>
      <c r="AD49" s="497">
        <f t="shared" si="42"/>
        <v>0.14199999999999999</v>
      </c>
      <c r="AE49" s="494">
        <f t="shared" si="43"/>
        <v>35.5</v>
      </c>
      <c r="AF49" s="497">
        <f t="shared" si="44"/>
        <v>0.14199999999999999</v>
      </c>
    </row>
    <row r="50" spans="2:32" ht="15.75" x14ac:dyDescent="0.25">
      <c r="B50" s="157" t="s">
        <v>15</v>
      </c>
      <c r="C50" s="109">
        <f t="shared" si="52"/>
        <v>5.0000000000000001E-3</v>
      </c>
      <c r="D50" s="119">
        <v>5.8000000000000007</v>
      </c>
      <c r="E50" s="133">
        <v>1.4037021808492457E-3</v>
      </c>
      <c r="F50" s="113">
        <v>5.8000000000000007</v>
      </c>
      <c r="G50" s="141">
        <v>5.223355962051774E-3</v>
      </c>
      <c r="H50" s="120">
        <f>D50/$C50</f>
        <v>1160.0000000000002</v>
      </c>
      <c r="I50" s="135">
        <f t="shared" si="45"/>
        <v>0.28074043616984912</v>
      </c>
      <c r="J50" s="116">
        <f>F50/$C50</f>
        <v>1160.0000000000002</v>
      </c>
      <c r="K50" s="152">
        <f t="shared" si="46"/>
        <v>1.0446711924103549</v>
      </c>
      <c r="M50" s="161">
        <f>H50-H31</f>
        <v>0</v>
      </c>
      <c r="N50" s="149">
        <f t="shared" si="47"/>
        <v>0</v>
      </c>
      <c r="O50" s="159">
        <f>J50-J31</f>
        <v>0</v>
      </c>
      <c r="P50" s="153">
        <f t="shared" si="48"/>
        <v>0</v>
      </c>
      <c r="R50" s="161">
        <f t="shared" si="53"/>
        <v>0</v>
      </c>
      <c r="S50" s="149">
        <f t="shared" si="49"/>
        <v>0</v>
      </c>
      <c r="T50" s="159">
        <f t="shared" si="49"/>
        <v>0</v>
      </c>
      <c r="U50" s="153">
        <f t="shared" si="49"/>
        <v>0</v>
      </c>
      <c r="W50" s="486" t="str">
        <f t="shared" si="50"/>
        <v>Chromium</v>
      </c>
      <c r="X50" s="498">
        <f t="shared" si="51"/>
        <v>0.1</v>
      </c>
      <c r="Y50" s="515" t="str">
        <f t="shared" si="37"/>
        <v>-</v>
      </c>
      <c r="Z50" s="516" t="str">
        <f t="shared" si="38"/>
        <v>-</v>
      </c>
      <c r="AA50" s="517" t="str">
        <f t="shared" si="39"/>
        <v>-</v>
      </c>
      <c r="AB50" s="516" t="str">
        <f t="shared" si="40"/>
        <v>-</v>
      </c>
      <c r="AC50" s="495">
        <f t="shared" si="41"/>
        <v>1.4319431856941458E-2</v>
      </c>
      <c r="AD50" s="497">
        <f t="shared" si="42"/>
        <v>0.14319431856941456</v>
      </c>
      <c r="AE50" s="495">
        <f t="shared" si="43"/>
        <v>5.3675332516422092E-2</v>
      </c>
      <c r="AF50" s="497">
        <f t="shared" si="44"/>
        <v>0.53675332516422092</v>
      </c>
    </row>
    <row r="51" spans="2:32" ht="15.75" x14ac:dyDescent="0.25">
      <c r="B51" s="479" t="s">
        <v>16</v>
      </c>
      <c r="C51" s="109">
        <f t="shared" si="52"/>
        <v>250</v>
      </c>
      <c r="D51" s="147">
        <v>94.232468116347619</v>
      </c>
      <c r="E51" s="149">
        <v>35.5</v>
      </c>
      <c r="F51" s="149">
        <v>682.86993121140063</v>
      </c>
      <c r="G51" s="153">
        <v>35.5</v>
      </c>
      <c r="H51" s="146">
        <f>D51/$C51</f>
        <v>0.37692987246539045</v>
      </c>
      <c r="I51" s="135">
        <f t="shared" si="45"/>
        <v>0.14199999999999999</v>
      </c>
      <c r="J51" s="136">
        <f>F51/$C51</f>
        <v>2.7314797248456024</v>
      </c>
      <c r="K51" s="151">
        <f t="shared" si="46"/>
        <v>0.14199999999999999</v>
      </c>
      <c r="M51" s="480">
        <f>H51-H32</f>
        <v>-0.90144830740878334</v>
      </c>
      <c r="N51" s="149">
        <f t="shared" si="47"/>
        <v>0</v>
      </c>
      <c r="O51" s="481">
        <f>J51-J32</f>
        <v>-0.24265567674506983</v>
      </c>
      <c r="P51" s="153">
        <f t="shared" si="48"/>
        <v>0</v>
      </c>
      <c r="R51" s="480">
        <f t="shared" si="53"/>
        <v>2.597205529125282</v>
      </c>
      <c r="S51" s="149">
        <f t="shared" si="49"/>
        <v>0</v>
      </c>
      <c r="T51" s="481">
        <f t="shared" si="49"/>
        <v>0.24265567674506983</v>
      </c>
      <c r="U51" s="153">
        <f t="shared" si="49"/>
        <v>0</v>
      </c>
      <c r="W51" s="486" t="str">
        <f t="shared" si="50"/>
        <v>Copper</v>
      </c>
      <c r="X51" s="498">
        <f t="shared" si="51"/>
        <v>1.3</v>
      </c>
      <c r="Y51" s="498">
        <f t="shared" si="37"/>
        <v>1.420000000000001</v>
      </c>
      <c r="Z51" s="497">
        <f t="shared" si="38"/>
        <v>1.0923076923076931</v>
      </c>
      <c r="AA51" s="497">
        <f t="shared" si="39"/>
        <v>1.420000000000001</v>
      </c>
      <c r="AB51" s="497">
        <f t="shared" si="40"/>
        <v>1.0923076923076931</v>
      </c>
      <c r="AC51" s="495">
        <f t="shared" si="41"/>
        <v>6.9728116747303226E-2</v>
      </c>
      <c r="AD51" s="500">
        <f t="shared" si="42"/>
        <v>5.3637012882540941E-2</v>
      </c>
      <c r="AE51" s="500">
        <f t="shared" si="43"/>
        <v>0.26088435831760504</v>
      </c>
      <c r="AF51" s="497">
        <f t="shared" si="44"/>
        <v>0.20068027562892696</v>
      </c>
    </row>
    <row r="52" spans="2:32" ht="15.75" x14ac:dyDescent="0.25">
      <c r="B52" s="157" t="s">
        <v>17</v>
      </c>
      <c r="C52" s="109">
        <f t="shared" si="52"/>
        <v>0.1</v>
      </c>
      <c r="D52" s="128" t="s">
        <v>46</v>
      </c>
      <c r="E52" s="134">
        <v>1.4319431856941458E-2</v>
      </c>
      <c r="F52" s="128" t="s">
        <v>46</v>
      </c>
      <c r="G52" s="142">
        <v>5.3675332516422092E-2</v>
      </c>
      <c r="H52" s="128" t="s">
        <v>46</v>
      </c>
      <c r="I52" s="135">
        <f t="shared" si="45"/>
        <v>0.14319431856941456</v>
      </c>
      <c r="J52" s="129" t="s">
        <v>46</v>
      </c>
      <c r="K52" s="151">
        <f t="shared" si="46"/>
        <v>0.53675332516422092</v>
      </c>
      <c r="M52" s="163" t="s">
        <v>46</v>
      </c>
      <c r="N52" s="149">
        <f t="shared" si="47"/>
        <v>0</v>
      </c>
      <c r="O52" s="158" t="s">
        <v>46</v>
      </c>
      <c r="P52" s="153">
        <f t="shared" si="48"/>
        <v>0</v>
      </c>
      <c r="R52" s="163" t="s">
        <v>46</v>
      </c>
      <c r="S52" s="149" t="s">
        <v>46</v>
      </c>
      <c r="T52" s="158" t="s">
        <v>46</v>
      </c>
      <c r="U52" s="153" t="s">
        <v>46</v>
      </c>
      <c r="W52" s="486" t="str">
        <f t="shared" si="50"/>
        <v>Fluoride</v>
      </c>
      <c r="X52" s="499">
        <f t="shared" si="51"/>
        <v>4</v>
      </c>
      <c r="Y52" s="498">
        <f t="shared" si="37"/>
        <v>2.5900000000000021</v>
      </c>
      <c r="Z52" s="497">
        <f t="shared" si="38"/>
        <v>0.64750000000000052</v>
      </c>
      <c r="AA52" s="497">
        <f t="shared" si="39"/>
        <v>2.5900000000000021</v>
      </c>
      <c r="AB52" s="497">
        <f t="shared" si="40"/>
        <v>0.64750000000000052</v>
      </c>
      <c r="AC52" s="495">
        <f t="shared" si="41"/>
        <v>1.9277017717788624E-2</v>
      </c>
      <c r="AD52" s="495">
        <f t="shared" si="42"/>
        <v>4.819254429447156E-3</v>
      </c>
      <c r="AE52" s="495">
        <f t="shared" si="43"/>
        <v>7.2205703650621816E-2</v>
      </c>
      <c r="AF52" s="500">
        <f t="shared" si="44"/>
        <v>1.8051425912655454E-2</v>
      </c>
    </row>
    <row r="53" spans="2:32" ht="15.75" x14ac:dyDescent="0.25">
      <c r="B53" s="157" t="s">
        <v>18</v>
      </c>
      <c r="C53" s="109">
        <f t="shared" si="52"/>
        <v>1.3</v>
      </c>
      <c r="D53" s="146">
        <v>1.420000000000001</v>
      </c>
      <c r="E53" s="134">
        <v>6.9728116747303226E-2</v>
      </c>
      <c r="F53" s="136">
        <v>1.420000000000001</v>
      </c>
      <c r="G53" s="151">
        <v>0.26088435831760504</v>
      </c>
      <c r="H53" s="146">
        <f t="shared" ref="H53:H60" si="54">D53/$C53</f>
        <v>1.0923076923076931</v>
      </c>
      <c r="I53" s="134">
        <f t="shared" si="45"/>
        <v>5.3637012882540941E-2</v>
      </c>
      <c r="J53" s="136">
        <f t="shared" ref="J53:J60" si="55">F53/$C53</f>
        <v>1.0923076923076931</v>
      </c>
      <c r="K53" s="151">
        <f t="shared" si="46"/>
        <v>0.20068027562892696</v>
      </c>
      <c r="M53" s="161">
        <f t="shared" ref="M53:M60" si="56">H53-H34</f>
        <v>0</v>
      </c>
      <c r="N53" s="149">
        <f t="shared" si="47"/>
        <v>0</v>
      </c>
      <c r="O53" s="159">
        <f t="shared" ref="O53:O60" si="57">J53-J34</f>
        <v>0</v>
      </c>
      <c r="P53" s="153">
        <f t="shared" si="48"/>
        <v>0</v>
      </c>
      <c r="R53" s="161">
        <f t="shared" si="53"/>
        <v>0</v>
      </c>
      <c r="S53" s="149">
        <f t="shared" ref="S53:S60" si="58">I15-I53</f>
        <v>0</v>
      </c>
      <c r="T53" s="159">
        <f t="shared" ref="T53:T60" si="59">J15-J53</f>
        <v>0</v>
      </c>
      <c r="U53" s="153">
        <f t="shared" ref="U53:U60" si="60">K15-K53</f>
        <v>0</v>
      </c>
      <c r="W53" s="486" t="str">
        <f t="shared" si="50"/>
        <v>Lead</v>
      </c>
      <c r="X53" s="493">
        <f t="shared" si="51"/>
        <v>1.4999999999999999E-2</v>
      </c>
      <c r="Y53" s="498">
        <f t="shared" si="37"/>
        <v>1.2700000000000002</v>
      </c>
      <c r="Z53" s="494">
        <f t="shared" si="38"/>
        <v>84.666666666666686</v>
      </c>
      <c r="AA53" s="497">
        <f t="shared" si="39"/>
        <v>1.2700000000000002</v>
      </c>
      <c r="AB53" s="494">
        <f t="shared" si="40"/>
        <v>84.666666666666686</v>
      </c>
      <c r="AC53" s="500">
        <f t="shared" si="41"/>
        <v>0.20280754973715356</v>
      </c>
      <c r="AD53" s="494">
        <f t="shared" si="42"/>
        <v>13.520503315810238</v>
      </c>
      <c r="AE53" s="500">
        <f t="shared" si="43"/>
        <v>0.75173562947453365</v>
      </c>
      <c r="AF53" s="494">
        <f t="shared" si="44"/>
        <v>50.115708631635577</v>
      </c>
    </row>
    <row r="54" spans="2:32" ht="15.75" x14ac:dyDescent="0.25">
      <c r="B54" s="157" t="s">
        <v>19</v>
      </c>
      <c r="C54" s="109">
        <f t="shared" si="52"/>
        <v>4</v>
      </c>
      <c r="D54" s="146">
        <v>2.5900000000000021</v>
      </c>
      <c r="E54" s="134">
        <v>1.9277017717788624E-2</v>
      </c>
      <c r="F54" s="136">
        <v>2.5900000000000021</v>
      </c>
      <c r="G54" s="142">
        <v>7.2205703650621816E-2</v>
      </c>
      <c r="H54" s="145">
        <f t="shared" si="54"/>
        <v>0.64750000000000052</v>
      </c>
      <c r="I54" s="133">
        <f t="shared" si="45"/>
        <v>4.819254429447156E-3</v>
      </c>
      <c r="J54" s="113">
        <f t="shared" si="55"/>
        <v>0.64750000000000052</v>
      </c>
      <c r="K54" s="142">
        <f t="shared" si="46"/>
        <v>1.8051425912655454E-2</v>
      </c>
      <c r="M54" s="161">
        <f t="shared" si="56"/>
        <v>0</v>
      </c>
      <c r="N54" s="149">
        <f t="shared" si="47"/>
        <v>0</v>
      </c>
      <c r="O54" s="159">
        <f t="shared" si="57"/>
        <v>0</v>
      </c>
      <c r="P54" s="153">
        <f t="shared" si="48"/>
        <v>0</v>
      </c>
      <c r="R54" s="161">
        <f t="shared" si="53"/>
        <v>0</v>
      </c>
      <c r="S54" s="149">
        <f t="shared" si="58"/>
        <v>0</v>
      </c>
      <c r="T54" s="159">
        <f t="shared" si="59"/>
        <v>0</v>
      </c>
      <c r="U54" s="153">
        <f t="shared" si="60"/>
        <v>0</v>
      </c>
      <c r="W54" s="486" t="str">
        <f t="shared" si="50"/>
        <v>Nitrate</v>
      </c>
      <c r="X54" s="499">
        <f t="shared" si="51"/>
        <v>44</v>
      </c>
      <c r="Y54" s="498">
        <f t="shared" si="37"/>
        <v>9.2889504928376869</v>
      </c>
      <c r="Z54" s="497">
        <f t="shared" si="38"/>
        <v>0.21111251120085653</v>
      </c>
      <c r="AA54" s="494">
        <f t="shared" si="39"/>
        <v>61.908628448187301</v>
      </c>
      <c r="AB54" s="497">
        <f t="shared" si="40"/>
        <v>1.4070142829133478</v>
      </c>
      <c r="AC54" s="497">
        <f t="shared" si="41"/>
        <v>2.6800000000000015</v>
      </c>
      <c r="AD54" s="500">
        <f t="shared" si="42"/>
        <v>6.090909090909094E-2</v>
      </c>
      <c r="AE54" s="497">
        <f t="shared" si="43"/>
        <v>2.6800000000000015</v>
      </c>
      <c r="AF54" s="500">
        <f t="shared" si="44"/>
        <v>6.090909090909094E-2</v>
      </c>
    </row>
    <row r="55" spans="2:32" ht="15.75" x14ac:dyDescent="0.25">
      <c r="B55" s="157" t="s">
        <v>21</v>
      </c>
      <c r="C55" s="109">
        <f t="shared" si="52"/>
        <v>1.4999999999999999E-2</v>
      </c>
      <c r="D55" s="146">
        <v>1.2700000000000002</v>
      </c>
      <c r="E55" s="135">
        <v>0.20280754973715356</v>
      </c>
      <c r="F55" s="136">
        <v>1.2700000000000002</v>
      </c>
      <c r="G55" s="151">
        <v>0.75173562947453365</v>
      </c>
      <c r="H55" s="147">
        <f t="shared" si="54"/>
        <v>84.666666666666686</v>
      </c>
      <c r="I55" s="149">
        <f t="shared" si="45"/>
        <v>13.520503315810238</v>
      </c>
      <c r="J55" s="149">
        <f t="shared" si="55"/>
        <v>84.666666666666686</v>
      </c>
      <c r="K55" s="153">
        <f t="shared" si="46"/>
        <v>50.115708631635577</v>
      </c>
      <c r="M55" s="161">
        <f t="shared" si="56"/>
        <v>0</v>
      </c>
      <c r="N55" s="149">
        <f t="shared" si="47"/>
        <v>0</v>
      </c>
      <c r="O55" s="159">
        <f t="shared" si="57"/>
        <v>0</v>
      </c>
      <c r="P55" s="153">
        <f t="shared" si="48"/>
        <v>0</v>
      </c>
      <c r="R55" s="161">
        <f t="shared" si="53"/>
        <v>0</v>
      </c>
      <c r="S55" s="149">
        <f t="shared" si="58"/>
        <v>0</v>
      </c>
      <c r="T55" s="159">
        <f t="shared" si="59"/>
        <v>0</v>
      </c>
      <c r="U55" s="153">
        <f t="shared" si="60"/>
        <v>0</v>
      </c>
      <c r="W55" s="486" t="str">
        <f t="shared" si="50"/>
        <v>Selenium</v>
      </c>
      <c r="X55" s="496">
        <f t="shared" si="51"/>
        <v>0.05</v>
      </c>
      <c r="Y55" s="496">
        <f t="shared" si="37"/>
        <v>0.28880055473060173</v>
      </c>
      <c r="Z55" s="497">
        <f t="shared" si="38"/>
        <v>5.7760110946120342</v>
      </c>
      <c r="AA55" s="497">
        <f t="shared" si="39"/>
        <v>1.6919069223719834</v>
      </c>
      <c r="AB55" s="494">
        <f t="shared" si="40"/>
        <v>33.838138447439668</v>
      </c>
      <c r="AC55" s="495">
        <f t="shared" si="41"/>
        <v>1.3869052334547587E-2</v>
      </c>
      <c r="AD55" s="497">
        <f t="shared" si="42"/>
        <v>0.2773810466909517</v>
      </c>
      <c r="AE55" s="495">
        <f t="shared" si="43"/>
        <v>5.2176779741528886E-2</v>
      </c>
      <c r="AF55" s="497">
        <f t="shared" si="44"/>
        <v>1.0435355948305776</v>
      </c>
    </row>
    <row r="56" spans="2:32" ht="15.75" x14ac:dyDescent="0.25">
      <c r="B56" s="479" t="s">
        <v>0</v>
      </c>
      <c r="C56" s="109">
        <f t="shared" si="52"/>
        <v>44</v>
      </c>
      <c r="D56" s="146">
        <v>9.2889504928376869</v>
      </c>
      <c r="E56" s="136">
        <v>2.6800000000000015</v>
      </c>
      <c r="F56" s="149">
        <v>61.908628448187301</v>
      </c>
      <c r="G56" s="152">
        <v>2.6800000000000015</v>
      </c>
      <c r="H56" s="146">
        <f t="shared" si="54"/>
        <v>0.21111251120085653</v>
      </c>
      <c r="I56" s="134">
        <f t="shared" si="45"/>
        <v>6.090909090909094E-2</v>
      </c>
      <c r="J56" s="136">
        <f t="shared" si="55"/>
        <v>1.4070142829133478</v>
      </c>
      <c r="K56" s="142">
        <f t="shared" si="46"/>
        <v>6.090909090909094E-2</v>
      </c>
      <c r="M56" s="480">
        <f t="shared" si="56"/>
        <v>-1.0498134422296002</v>
      </c>
      <c r="N56" s="149">
        <f t="shared" si="47"/>
        <v>0</v>
      </c>
      <c r="O56" s="481">
        <f t="shared" si="57"/>
        <v>-1.6961588490771071</v>
      </c>
      <c r="P56" s="153">
        <f t="shared" si="48"/>
        <v>0</v>
      </c>
      <c r="R56" s="480">
        <f t="shared" si="53"/>
        <v>2.8920606207895982</v>
      </c>
      <c r="S56" s="149">
        <f t="shared" si="58"/>
        <v>0</v>
      </c>
      <c r="T56" s="481">
        <f t="shared" si="59"/>
        <v>1.6961588490771071</v>
      </c>
      <c r="U56" s="153">
        <f t="shared" si="60"/>
        <v>0</v>
      </c>
      <c r="W56" s="486" t="str">
        <f t="shared" si="50"/>
        <v>Sulfate</v>
      </c>
      <c r="X56" s="499">
        <f t="shared" si="51"/>
        <v>250</v>
      </c>
      <c r="Y56" s="499">
        <f t="shared" si="37"/>
        <v>3488.0664236839384</v>
      </c>
      <c r="Z56" s="494">
        <f t="shared" si="38"/>
        <v>13.952265694735754</v>
      </c>
      <c r="AA56" s="494">
        <f t="shared" si="39"/>
        <v>11434.282684954051</v>
      </c>
      <c r="AB56" s="494">
        <f t="shared" si="40"/>
        <v>45.737130739816202</v>
      </c>
      <c r="AC56" s="494">
        <f t="shared" si="41"/>
        <v>139.88909355018453</v>
      </c>
      <c r="AD56" s="497">
        <f t="shared" si="42"/>
        <v>0.55955637420073812</v>
      </c>
      <c r="AE56" s="494">
        <f t="shared" si="43"/>
        <v>524.27138726381202</v>
      </c>
      <c r="AF56" s="497">
        <f t="shared" si="44"/>
        <v>2.0970855490552482</v>
      </c>
    </row>
    <row r="57" spans="2:32" ht="15.75" x14ac:dyDescent="0.25">
      <c r="B57" s="479" t="s">
        <v>27</v>
      </c>
      <c r="C57" s="109">
        <f t="shared" si="52"/>
        <v>0.05</v>
      </c>
      <c r="D57" s="145">
        <v>0.28880055473060173</v>
      </c>
      <c r="E57" s="134">
        <v>1.3869052334547587E-2</v>
      </c>
      <c r="F57" s="136">
        <v>1.6919069223719834</v>
      </c>
      <c r="G57" s="142">
        <v>5.2176779741528886E-2</v>
      </c>
      <c r="H57" s="146">
        <f t="shared" si="54"/>
        <v>5.7760110946120342</v>
      </c>
      <c r="I57" s="135">
        <f t="shared" si="45"/>
        <v>0.2773810466909517</v>
      </c>
      <c r="J57" s="149">
        <f t="shared" si="55"/>
        <v>33.838138447439668</v>
      </c>
      <c r="K57" s="152">
        <f t="shared" si="46"/>
        <v>1.0435355948305776</v>
      </c>
      <c r="M57" s="484">
        <f t="shared" si="56"/>
        <v>-12.999841791685817</v>
      </c>
      <c r="N57" s="149">
        <f t="shared" si="47"/>
        <v>0</v>
      </c>
      <c r="O57" s="485">
        <f t="shared" si="57"/>
        <v>-2.5616969719684946</v>
      </c>
      <c r="P57" s="153">
        <f t="shared" si="48"/>
        <v>0</v>
      </c>
      <c r="R57" s="484">
        <f t="shared" si="53"/>
        <v>30.623824324796129</v>
      </c>
      <c r="S57" s="149">
        <f t="shared" si="58"/>
        <v>0</v>
      </c>
      <c r="T57" s="485">
        <f t="shared" si="59"/>
        <v>2.5616969719684946</v>
      </c>
      <c r="U57" s="153">
        <f t="shared" si="60"/>
        <v>0</v>
      </c>
      <c r="W57" s="486" t="str">
        <f t="shared" si="50"/>
        <v>Thallium</v>
      </c>
      <c r="X57" s="493">
        <f t="shared" si="51"/>
        <v>2E-3</v>
      </c>
      <c r="Y57" s="496">
        <f t="shared" si="37"/>
        <v>0.40600000000000008</v>
      </c>
      <c r="Z57" s="494">
        <f t="shared" si="38"/>
        <v>203.00000000000003</v>
      </c>
      <c r="AA57" s="500">
        <f t="shared" si="39"/>
        <v>0.40600000000000008</v>
      </c>
      <c r="AB57" s="494">
        <f t="shared" si="40"/>
        <v>203.00000000000003</v>
      </c>
      <c r="AC57" s="500">
        <f t="shared" si="41"/>
        <v>0.17447419083869339</v>
      </c>
      <c r="AD57" s="494">
        <f t="shared" si="42"/>
        <v>87.237095419346701</v>
      </c>
      <c r="AE57" s="500">
        <f t="shared" si="43"/>
        <v>0.23000000000000018</v>
      </c>
      <c r="AF57" s="494">
        <f t="shared" si="44"/>
        <v>115.00000000000009</v>
      </c>
    </row>
    <row r="58" spans="2:32" ht="15.75" x14ac:dyDescent="0.25">
      <c r="B58" s="479" t="s">
        <v>1</v>
      </c>
      <c r="C58" s="109">
        <f t="shared" si="52"/>
        <v>250</v>
      </c>
      <c r="D58" s="120">
        <v>3488.0664236839384</v>
      </c>
      <c r="E58" s="149">
        <v>139.88909355018453</v>
      </c>
      <c r="F58" s="116">
        <v>11434.282684954051</v>
      </c>
      <c r="G58" s="153">
        <v>524.27138726381202</v>
      </c>
      <c r="H58" s="147">
        <f t="shared" si="54"/>
        <v>13.952265694735754</v>
      </c>
      <c r="I58" s="135">
        <f t="shared" si="45"/>
        <v>0.55955637420073812</v>
      </c>
      <c r="J58" s="149">
        <f t="shared" si="55"/>
        <v>45.737130739816202</v>
      </c>
      <c r="K58" s="152">
        <f t="shared" si="46"/>
        <v>2.0970855490552482</v>
      </c>
      <c r="M58" s="484">
        <f t="shared" si="56"/>
        <v>-15.01180406589231</v>
      </c>
      <c r="N58" s="149">
        <f t="shared" si="47"/>
        <v>0</v>
      </c>
      <c r="O58" s="485">
        <f t="shared" si="57"/>
        <v>-2.8526546882020654</v>
      </c>
      <c r="P58" s="153">
        <f t="shared" si="48"/>
        <v>0</v>
      </c>
      <c r="R58" s="484">
        <f t="shared" si="53"/>
        <v>34.637519733282517</v>
      </c>
      <c r="S58" s="149">
        <f t="shared" si="58"/>
        <v>0</v>
      </c>
      <c r="T58" s="485">
        <f t="shared" si="59"/>
        <v>2.8526546882020654</v>
      </c>
      <c r="U58" s="153">
        <f t="shared" si="60"/>
        <v>0</v>
      </c>
      <c r="W58" s="503" t="str">
        <f t="shared" si="50"/>
        <v>Zinc</v>
      </c>
      <c r="X58" s="504">
        <f t="shared" si="51"/>
        <v>5</v>
      </c>
      <c r="Y58" s="504">
        <f t="shared" si="37"/>
        <v>29.299999999999986</v>
      </c>
      <c r="Z58" s="505">
        <f t="shared" si="38"/>
        <v>5.8599999999999977</v>
      </c>
      <c r="AA58" s="504">
        <f t="shared" si="39"/>
        <v>29.299999999999986</v>
      </c>
      <c r="AB58" s="505">
        <f t="shared" si="40"/>
        <v>5.8599999999999977</v>
      </c>
      <c r="AC58" s="512">
        <f t="shared" si="41"/>
        <v>1.8420873309874079E-2</v>
      </c>
      <c r="AD58" s="512">
        <f t="shared" si="42"/>
        <v>3.6841746619748158E-3</v>
      </c>
      <c r="AE58" s="512">
        <f t="shared" si="43"/>
        <v>6.8212006762629049E-2</v>
      </c>
      <c r="AF58" s="518">
        <f t="shared" si="44"/>
        <v>1.3642401352525809E-2</v>
      </c>
    </row>
    <row r="59" spans="2:32" ht="15.75" x14ac:dyDescent="0.25">
      <c r="B59" s="157" t="s">
        <v>30</v>
      </c>
      <c r="C59" s="109">
        <f t="shared" si="52"/>
        <v>2E-3</v>
      </c>
      <c r="D59" s="145">
        <v>0.40600000000000008</v>
      </c>
      <c r="E59" s="135">
        <v>0.17447419083869339</v>
      </c>
      <c r="F59" s="135">
        <v>0.40600000000000008</v>
      </c>
      <c r="G59" s="122">
        <v>0.23000000000000018</v>
      </c>
      <c r="H59" s="119">
        <f t="shared" si="54"/>
        <v>203.00000000000003</v>
      </c>
      <c r="I59" s="149">
        <f t="shared" si="45"/>
        <v>87.237095419346701</v>
      </c>
      <c r="J59" s="113">
        <f t="shared" si="55"/>
        <v>203.00000000000003</v>
      </c>
      <c r="K59" s="122">
        <f t="shared" si="46"/>
        <v>115.00000000000009</v>
      </c>
      <c r="M59" s="161">
        <f t="shared" si="56"/>
        <v>0</v>
      </c>
      <c r="N59" s="149">
        <f t="shared" si="47"/>
        <v>0</v>
      </c>
      <c r="O59" s="159">
        <f t="shared" si="57"/>
        <v>0</v>
      </c>
      <c r="P59" s="153">
        <f t="shared" si="48"/>
        <v>0</v>
      </c>
      <c r="R59" s="161">
        <f t="shared" si="53"/>
        <v>0</v>
      </c>
      <c r="S59" s="149">
        <f t="shared" si="58"/>
        <v>0</v>
      </c>
      <c r="T59" s="159">
        <f t="shared" si="59"/>
        <v>0</v>
      </c>
      <c r="U59" s="153">
        <f t="shared" si="60"/>
        <v>0</v>
      </c>
    </row>
    <row r="60" spans="2:32" ht="15.75" x14ac:dyDescent="0.25">
      <c r="B60" s="157" t="s">
        <v>31</v>
      </c>
      <c r="C60" s="109">
        <f t="shared" si="52"/>
        <v>5</v>
      </c>
      <c r="D60" s="155">
        <v>29.299999999999986</v>
      </c>
      <c r="E60" s="138">
        <v>1.8420873309874079E-2</v>
      </c>
      <c r="F60" s="154">
        <v>29.299999999999986</v>
      </c>
      <c r="G60" s="143">
        <v>6.8212006762629049E-2</v>
      </c>
      <c r="H60" s="148">
        <f t="shared" si="54"/>
        <v>5.8599999999999977</v>
      </c>
      <c r="I60" s="137">
        <f t="shared" si="45"/>
        <v>3.6841746619748158E-3</v>
      </c>
      <c r="J60" s="150">
        <f t="shared" si="55"/>
        <v>5.8599999999999977</v>
      </c>
      <c r="K60" s="143">
        <f t="shared" si="46"/>
        <v>1.3642401352525809E-2</v>
      </c>
      <c r="M60" s="162">
        <f t="shared" si="56"/>
        <v>0</v>
      </c>
      <c r="N60" s="154">
        <f t="shared" si="47"/>
        <v>0</v>
      </c>
      <c r="O60" s="160">
        <f t="shared" si="57"/>
        <v>0</v>
      </c>
      <c r="P60" s="156">
        <f t="shared" si="48"/>
        <v>0</v>
      </c>
      <c r="R60" s="162">
        <f t="shared" si="53"/>
        <v>0</v>
      </c>
      <c r="S60" s="154">
        <f t="shared" si="58"/>
        <v>0</v>
      </c>
      <c r="T60" s="160">
        <f t="shared" si="59"/>
        <v>0</v>
      </c>
      <c r="U60" s="156">
        <f t="shared" si="60"/>
        <v>0</v>
      </c>
    </row>
    <row r="61" spans="2:32" x14ac:dyDescent="0.25">
      <c r="W61" s="291" t="s">
        <v>38</v>
      </c>
      <c r="X61" t="s">
        <v>187</v>
      </c>
    </row>
    <row r="62" spans="2:32" ht="15.75" customHeight="1" x14ac:dyDescent="0.25">
      <c r="B62" s="40"/>
      <c r="C62" t="s">
        <v>120</v>
      </c>
      <c r="W62" s="520" t="s">
        <v>38</v>
      </c>
      <c r="X62" t="s">
        <v>184</v>
      </c>
    </row>
    <row r="63" spans="2:32" x14ac:dyDescent="0.25">
      <c r="B63" s="324"/>
      <c r="C63" t="s">
        <v>119</v>
      </c>
      <c r="W63" s="519" t="s">
        <v>38</v>
      </c>
      <c r="X63" t="s">
        <v>285</v>
      </c>
    </row>
  </sheetData>
  <mergeCells count="41">
    <mergeCell ref="Y44:Z44"/>
    <mergeCell ref="AA44:AB44"/>
    <mergeCell ref="AC44:AD44"/>
    <mergeCell ref="AE44:AF44"/>
    <mergeCell ref="AC43:AF43"/>
    <mergeCell ref="Y43:AB43"/>
    <mergeCell ref="Y6:Z6"/>
    <mergeCell ref="AA6:AB6"/>
    <mergeCell ref="AC6:AD6"/>
    <mergeCell ref="Y25:Z25"/>
    <mergeCell ref="AA25:AB25"/>
    <mergeCell ref="AC25:AD25"/>
    <mergeCell ref="R44:U44"/>
    <mergeCell ref="R46:S46"/>
    <mergeCell ref="T46:U46"/>
    <mergeCell ref="R27:S27"/>
    <mergeCell ref="R25:S25"/>
    <mergeCell ref="M25:P25"/>
    <mergeCell ref="M27:N27"/>
    <mergeCell ref="O27:P27"/>
    <mergeCell ref="M44:P44"/>
    <mergeCell ref="M46:N46"/>
    <mergeCell ref="O46:P46"/>
    <mergeCell ref="D44:G44"/>
    <mergeCell ref="H44:K44"/>
    <mergeCell ref="D46:E46"/>
    <mergeCell ref="F46:G46"/>
    <mergeCell ref="H46:I46"/>
    <mergeCell ref="J46:K46"/>
    <mergeCell ref="D25:G25"/>
    <mergeCell ref="H25:K25"/>
    <mergeCell ref="D27:E27"/>
    <mergeCell ref="F27:G27"/>
    <mergeCell ref="H27:I27"/>
    <mergeCell ref="J27:K27"/>
    <mergeCell ref="D6:G6"/>
    <mergeCell ref="H6:K6"/>
    <mergeCell ref="D8:E8"/>
    <mergeCell ref="F8:G8"/>
    <mergeCell ref="H8:I8"/>
    <mergeCell ref="J8:K8"/>
  </mergeCells>
  <conditionalFormatting sqref="H10:K13 H15:K22 I14 K14">
    <cfRule type="cellIs" dxfId="30" priority="40" operator="lessThanOrEqual">
      <formula>1</formula>
    </cfRule>
  </conditionalFormatting>
  <conditionalFormatting sqref="H29:K32 H34:K41 I33 K33">
    <cfRule type="cellIs" dxfId="29" priority="33" operator="lessThanOrEqual">
      <formula>1</formula>
    </cfRule>
  </conditionalFormatting>
  <conditionalFormatting sqref="H48:K51 H53:K60 I52 K52">
    <cfRule type="cellIs" dxfId="28" priority="32" operator="lessThanOrEqual">
      <formula>1</formula>
    </cfRule>
  </conditionalFormatting>
  <conditionalFormatting sqref="AD8:AD11 AD13:AD20">
    <cfRule type="cellIs" dxfId="27" priority="27" operator="greaterThan">
      <formula>1000</formula>
    </cfRule>
    <cfRule type="cellIs" dxfId="26" priority="28" operator="lessThanOrEqual">
      <formula>1</formula>
    </cfRule>
  </conditionalFormatting>
  <conditionalFormatting sqref="Z27:Z39">
    <cfRule type="cellIs" dxfId="25" priority="17" operator="greaterThan">
      <formula>1000</formula>
    </cfRule>
    <cfRule type="cellIs" dxfId="24" priority="18" operator="lessThanOrEqual">
      <formula>1</formula>
    </cfRule>
  </conditionalFormatting>
  <conditionalFormatting sqref="AB8:AB11 AB13:AB20">
    <cfRule type="cellIs" dxfId="23" priority="25" operator="greaterThan">
      <formula>1000</formula>
    </cfRule>
    <cfRule type="cellIs" dxfId="22" priority="26" operator="lessThanOrEqual">
      <formula>1</formula>
    </cfRule>
  </conditionalFormatting>
  <conditionalFormatting sqref="Z8:Z11 Z13:Z20">
    <cfRule type="cellIs" dxfId="21" priority="23" operator="greaterThan">
      <formula>1000</formula>
    </cfRule>
    <cfRule type="cellIs" dxfId="20" priority="24" operator="lessThanOrEqual">
      <formula>1</formula>
    </cfRule>
  </conditionalFormatting>
  <conditionalFormatting sqref="AD27:AD30 AD32:AD39">
    <cfRule type="cellIs" dxfId="19" priority="21" operator="greaterThan">
      <formula>1000</formula>
    </cfRule>
    <cfRule type="cellIs" dxfId="18" priority="22" operator="lessThanOrEqual">
      <formula>1</formula>
    </cfRule>
  </conditionalFormatting>
  <conditionalFormatting sqref="AB27:AB30 AB32:AB39">
    <cfRule type="cellIs" dxfId="17" priority="19" operator="greaterThan">
      <formula>1000</formula>
    </cfRule>
    <cfRule type="cellIs" dxfId="16" priority="20" operator="lessThanOrEqual">
      <formula>1</formula>
    </cfRule>
  </conditionalFormatting>
  <conditionalFormatting sqref="Z8:Z20 AB8:AB20 AD8:AD20">
    <cfRule type="cellIs" dxfId="15" priority="16" operator="lessThan">
      <formula>0.1</formula>
    </cfRule>
  </conditionalFormatting>
  <conditionalFormatting sqref="Z27:Z39 AB27:AB39 AD27:AD39">
    <cfRule type="cellIs" dxfId="14" priority="15" operator="lessThan">
      <formula>0.01</formula>
    </cfRule>
  </conditionalFormatting>
  <conditionalFormatting sqref="Z46:Z49 Z51:Z58">
    <cfRule type="cellIs" dxfId="13" priority="9" operator="greaterThan">
      <formula>1000</formula>
    </cfRule>
    <cfRule type="cellIs" dxfId="12" priority="10" operator="lessThanOrEqual">
      <formula>1</formula>
    </cfRule>
  </conditionalFormatting>
  <conditionalFormatting sqref="AD46:AD58">
    <cfRule type="cellIs" dxfId="11" priority="13" operator="greaterThan">
      <formula>1000</formula>
    </cfRule>
    <cfRule type="cellIs" dxfId="10" priority="14" operator="lessThanOrEqual">
      <formula>1</formula>
    </cfRule>
  </conditionalFormatting>
  <conditionalFormatting sqref="AB46:AB49 AB51:AB58">
    <cfRule type="cellIs" dxfId="9" priority="11" operator="greaterThan">
      <formula>1000</formula>
    </cfRule>
    <cfRule type="cellIs" dxfId="8" priority="12" operator="lessThanOrEqual">
      <formula>1</formula>
    </cfRule>
  </conditionalFormatting>
  <conditionalFormatting sqref="Z46:Z49 AB46:AB49 AD46:AD58 AB51:AB58 Z51:Z58">
    <cfRule type="cellIs" dxfId="7" priority="8" operator="lessThan">
      <formula>0.01</formula>
    </cfRule>
  </conditionalFormatting>
  <conditionalFormatting sqref="AF46:AF58">
    <cfRule type="cellIs" dxfId="6" priority="6" operator="greaterThan">
      <formula>1000</formula>
    </cfRule>
    <cfRule type="cellIs" dxfId="5" priority="7" operator="lessThanOrEqual">
      <formula>1</formula>
    </cfRule>
  </conditionalFormatting>
  <conditionalFormatting sqref="AF46:AF58">
    <cfRule type="cellIs" dxfId="4" priority="5" operator="lessThan">
      <formula>0.01</formula>
    </cfRule>
  </conditionalFormatting>
  <conditionalFormatting sqref="AB27:AB39">
    <cfRule type="cellIs" dxfId="3" priority="3" operator="greaterThan">
      <formula>1000</formula>
    </cfRule>
    <cfRule type="cellIs" dxfId="2" priority="4" operator="lessThanOrEqual">
      <formula>1</formula>
    </cfRule>
  </conditionalFormatting>
  <conditionalFormatting sqref="AD27:AD39">
    <cfRule type="cellIs" dxfId="1" priority="1" operator="greaterThan">
      <formula>1000</formula>
    </cfRule>
    <cfRule type="cellIs" dxfId="0" priority="2" operator="lessThanOrEqual">
      <formula>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7"/>
  <sheetViews>
    <sheetView topLeftCell="A31" workbookViewId="0">
      <selection activeCell="X5" sqref="X5"/>
    </sheetView>
  </sheetViews>
  <sheetFormatPr defaultRowHeight="15" x14ac:dyDescent="0.25"/>
  <sheetData>
    <row r="1" spans="1:29" x14ac:dyDescent="0.25">
      <c r="A1" s="64" t="s">
        <v>221</v>
      </c>
      <c r="G1" s="6" t="s">
        <v>271</v>
      </c>
      <c r="AC1" s="6" t="s">
        <v>271</v>
      </c>
    </row>
    <row r="2" spans="1:29" x14ac:dyDescent="0.25">
      <c r="A2" s="6" t="s">
        <v>151</v>
      </c>
      <c r="G2" t="s">
        <v>127</v>
      </c>
      <c r="AC2" t="s">
        <v>122</v>
      </c>
    </row>
    <row r="3" spans="1:29" x14ac:dyDescent="0.25">
      <c r="A3" s="6" t="s">
        <v>150</v>
      </c>
      <c r="G3" t="s">
        <v>286</v>
      </c>
      <c r="AC3" t="s">
        <v>123</v>
      </c>
    </row>
    <row r="4" spans="1:29" x14ac:dyDescent="0.25">
      <c r="A4" s="5" t="s">
        <v>144</v>
      </c>
      <c r="B4" t="s">
        <v>215</v>
      </c>
      <c r="AC4" t="s">
        <v>124</v>
      </c>
    </row>
    <row r="5" spans="1:29" x14ac:dyDescent="0.25">
      <c r="A5" s="5" t="s">
        <v>174</v>
      </c>
      <c r="B5" t="s">
        <v>147</v>
      </c>
      <c r="AC5" t="s">
        <v>125</v>
      </c>
    </row>
    <row r="6" spans="1:29" x14ac:dyDescent="0.25">
      <c r="A6" s="5"/>
    </row>
    <row r="7" spans="1:29" x14ac:dyDescent="0.25">
      <c r="B7" s="9" t="s">
        <v>213</v>
      </c>
      <c r="AA7" s="9" t="s">
        <v>126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151439F3F9241A342D9235B2D138D" ma:contentTypeVersion="34" ma:contentTypeDescription="Create a new document." ma:contentTypeScope="" ma:versionID="9e41e9c91f7178972a281b1857a49353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c8c97ba-4872-40ff-87b7-27a4b973bfc4" xmlns:ns7="3e43e464-2394-41bc-8e81-7a8078f4958e" targetNamespace="http://schemas.microsoft.com/office/2006/metadata/properties" ma:root="true" ma:fieldsID="8f0d281d396f243cf59b9621cc91f3e7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c8c97ba-4872-40ff-87b7-27a4b973bfc4"/>
    <xsd:import namespace="3e43e464-2394-41bc-8e81-7a8078f4958e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7:MediaServiceLocation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609a4c80-2216-4e8d-b2a5-e374089b5f3e}" ma:internalName="TaxCatchAllLabel" ma:readOnly="true" ma:showField="CatchAllDataLabel" ma:web="0c8c97ba-4872-40ff-87b7-27a4b973bf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609a4c80-2216-4e8d-b2a5-e374089b5f3e}" ma:internalName="TaxCatchAll" ma:showField="CatchAllData" ma:web="0c8c97ba-4872-40ff-87b7-27a4b973bf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c97ba-4872-40ff-87b7-27a4b973bfc4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3e464-2394-41bc-8e81-7a8078f495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Records_x0020_Date xmlns="0c8c97ba-4872-40ff-87b7-27a4b973bfc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Status xmlns="0c8c97ba-4872-40ff-87b7-27a4b973bfc4">Pending</Records_x0020_Status>
    <Rights xmlns="4ffa91fb-a0ff-4ac5-b2db-65c790d184a4" xsi:nil="true"/>
    <Document_x0020_Creation_x0020_Date xmlns="4ffa91fb-a0ff-4ac5-b2db-65c790d184a4">2020-08-13T17:07:01+00:00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E4174831-DCA5-4339-B2C5-6CE342936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c8c97ba-4872-40ff-87b7-27a4b973bfc4"/>
    <ds:schemaRef ds:uri="3e43e464-2394-41bc-8e81-7a8078f49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9EDDC9-DF78-4BFA-B1ED-14952E48BF2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5E5B8A8-B0ED-4F29-930F-ACF6D46B19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056E2D7-E007-442A-8BA2-31DB08B0A0F5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0c8c97ba-4872-40ff-87b7-27a4b973bfc4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 Dictionary</vt:lpstr>
      <vt:lpstr>Scenario_Info</vt:lpstr>
      <vt:lpstr>Screening_Assessment</vt:lpstr>
      <vt:lpstr>Screening_Tables</vt:lpstr>
      <vt:lpstr>Percolation</vt:lpstr>
      <vt:lpstr>Mass Transport</vt:lpstr>
      <vt:lpstr>Scenario_Tables</vt:lpstr>
      <vt:lpstr>Scenario_Graphs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Garrabrants</dc:creator>
  <cp:lastModifiedBy>Thorneloe, Susan</cp:lastModifiedBy>
  <dcterms:created xsi:type="dcterms:W3CDTF">2018-02-12T19:37:52Z</dcterms:created>
  <dcterms:modified xsi:type="dcterms:W3CDTF">2020-08-14T00:01:46Z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0x0101005A1151439F3F9241A342D9235B2D138D</vt:lpwstr>
  </property>
</Properties>
</file>