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ericvangenderen/Desktop/SETAC/NA/BLM TWS/WG5/Manuscript/response/"/>
    </mc:Choice>
  </mc:AlternateContent>
  <xr:revisionPtr revIDLastSave="0" documentId="13_ncr:1_{4D211F94-434B-DC49-A8B7-281D5439DF3A}" xr6:coauthVersionLast="43" xr6:coauthVersionMax="43" xr10:uidLastSave="{00000000-0000-0000-0000-000000000000}"/>
  <bookViews>
    <workbookView xWindow="0" yWindow="460" windowWidth="25600" windowHeight="15540" tabRatio="500" activeTab="6" xr2:uid="{00000000-000D-0000-FFFF-FFFF00000000}"/>
  </bookViews>
  <sheets>
    <sheet name="Hard Performance" sheetId="6" r:id="rId1"/>
    <sheet name="Hard RF Plot" sheetId="7" r:id="rId2"/>
    <sheet name="MLR Performance" sheetId="11" r:id="rId3"/>
    <sheet name="MLR RF Plots" sheetId="14" r:id="rId4"/>
    <sheet name="BLM Performance" sheetId="8" r:id="rId5"/>
    <sheet name="BLM RF Plot" sheetId="10" r:id="rId6"/>
    <sheet name="Ecotox data" sheetId="2" r:id="rId7"/>
    <sheet name="Model info" sheetId="16" r:id="rId8"/>
    <sheet name="Scoring" sheetId="13" r:id="rId9"/>
    <sheet name="Summary" sheetId="15" r:id="rId10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" i="13" l="1"/>
  <c r="X1" i="13"/>
  <c r="D20" i="15"/>
  <c r="D19" i="15"/>
  <c r="R181" i="8" l="1"/>
  <c r="R180" i="8"/>
  <c r="R179" i="8"/>
  <c r="R178" i="8"/>
  <c r="R177" i="8"/>
  <c r="R176" i="8"/>
  <c r="R175" i="8"/>
  <c r="R174" i="8"/>
  <c r="R173" i="8"/>
  <c r="R172" i="8"/>
  <c r="R171" i="8"/>
  <c r="R170" i="8"/>
  <c r="R169" i="8"/>
  <c r="R168" i="8"/>
  <c r="R167" i="8"/>
  <c r="R166" i="8"/>
  <c r="R165" i="8"/>
  <c r="R164" i="8"/>
  <c r="R163" i="8"/>
  <c r="R162" i="8"/>
  <c r="R161" i="8"/>
  <c r="R160" i="8"/>
  <c r="R159" i="8"/>
  <c r="R158" i="8"/>
  <c r="R157" i="8"/>
  <c r="R156" i="8"/>
  <c r="R155" i="8"/>
  <c r="R154" i="8"/>
  <c r="R153" i="8"/>
  <c r="R152" i="8"/>
  <c r="R151" i="8"/>
  <c r="R150" i="8"/>
  <c r="R149" i="8"/>
  <c r="R148" i="8"/>
  <c r="R147" i="8"/>
  <c r="R146" i="8"/>
  <c r="R145" i="8"/>
  <c r="R144" i="8"/>
  <c r="R143" i="8"/>
  <c r="R142" i="8"/>
  <c r="R141" i="8"/>
  <c r="R140" i="8"/>
  <c r="R139" i="8"/>
  <c r="R138" i="8"/>
  <c r="R137" i="8"/>
  <c r="R136" i="8"/>
  <c r="R135" i="8"/>
  <c r="R134" i="8"/>
  <c r="R133" i="8"/>
  <c r="R132" i="8"/>
  <c r="R131" i="8"/>
  <c r="R130" i="8"/>
  <c r="R129" i="8"/>
  <c r="R128" i="8"/>
  <c r="R127" i="8"/>
  <c r="R126" i="8"/>
  <c r="R125" i="8"/>
  <c r="R124" i="8"/>
  <c r="R123" i="8"/>
  <c r="R122" i="8"/>
  <c r="R121" i="8"/>
  <c r="R120" i="8"/>
  <c r="R119" i="8"/>
  <c r="R118" i="8"/>
  <c r="R117" i="8"/>
  <c r="R115" i="8"/>
  <c r="R114" i="8"/>
  <c r="R116" i="8"/>
  <c r="R2" i="8"/>
  <c r="R100" i="8"/>
  <c r="D2" i="6" l="1"/>
  <c r="D16" i="15" l="1"/>
  <c r="D12" i="15"/>
  <c r="D8" i="15"/>
  <c r="D4" i="15"/>
  <c r="F76" i="11" l="1"/>
  <c r="F77" i="11"/>
  <c r="F75" i="11"/>
  <c r="F73" i="11"/>
  <c r="F74" i="11"/>
  <c r="F72" i="11"/>
  <c r="F71" i="11"/>
  <c r="F70" i="11"/>
  <c r="F69" i="11"/>
  <c r="F68" i="11"/>
  <c r="F67" i="11"/>
  <c r="F66" i="11"/>
  <c r="F62" i="11"/>
  <c r="F64" i="11"/>
  <c r="F63" i="11"/>
  <c r="F56" i="11"/>
  <c r="F60" i="11"/>
  <c r="F54" i="11"/>
  <c r="F61" i="11"/>
  <c r="F59" i="11"/>
  <c r="F58" i="11"/>
  <c r="F55" i="11"/>
  <c r="F57" i="11"/>
  <c r="F53" i="11"/>
  <c r="F65" i="11"/>
  <c r="F78" i="11"/>
  <c r="F31" i="11"/>
  <c r="F20" i="11"/>
  <c r="F12" i="11"/>
  <c r="F13" i="11"/>
  <c r="F32" i="11"/>
  <c r="F11" i="11"/>
  <c r="F7" i="11"/>
  <c r="G7" i="11" s="1"/>
  <c r="F14" i="11"/>
  <c r="F19" i="11"/>
  <c r="F9" i="11"/>
  <c r="F3" i="11"/>
  <c r="F4" i="11"/>
  <c r="F15" i="11"/>
  <c r="F21" i="11"/>
  <c r="F17" i="11"/>
  <c r="F16" i="11"/>
  <c r="F10" i="11"/>
  <c r="F8" i="11"/>
  <c r="F6" i="11"/>
  <c r="F22" i="11"/>
  <c r="F23" i="11"/>
  <c r="F24" i="11"/>
  <c r="F25" i="11"/>
  <c r="F26" i="11"/>
  <c r="F27" i="11"/>
  <c r="F28" i="11"/>
  <c r="F29" i="11"/>
  <c r="F30" i="11"/>
  <c r="F5" i="11"/>
  <c r="F2" i="11"/>
  <c r="F18" i="11"/>
  <c r="F33" i="11"/>
  <c r="F43" i="11"/>
  <c r="F41" i="11"/>
  <c r="F37" i="11"/>
  <c r="F52" i="11"/>
  <c r="F45" i="11"/>
  <c r="F46" i="11"/>
  <c r="F47" i="11"/>
  <c r="F44" i="11"/>
  <c r="F39" i="11"/>
  <c r="F38" i="11"/>
  <c r="F36" i="11"/>
  <c r="F49" i="11"/>
  <c r="F48" i="11"/>
  <c r="F40" i="11"/>
  <c r="F35" i="11"/>
  <c r="F34" i="11"/>
  <c r="F42" i="11"/>
  <c r="F51" i="11"/>
  <c r="F50" i="11"/>
  <c r="J76" i="11" l="1"/>
  <c r="J77" i="11"/>
  <c r="J75" i="11"/>
  <c r="J73" i="11"/>
  <c r="J74" i="11"/>
  <c r="J72" i="11"/>
  <c r="J71" i="11"/>
  <c r="J70" i="11"/>
  <c r="J69" i="11"/>
  <c r="J68" i="11"/>
  <c r="J67" i="11"/>
  <c r="J66" i="11"/>
  <c r="J62" i="11"/>
  <c r="J64" i="11"/>
  <c r="J63" i="11"/>
  <c r="J33" i="11"/>
  <c r="J56" i="11"/>
  <c r="J50" i="11"/>
  <c r="J31" i="11"/>
  <c r="J43" i="11"/>
  <c r="J20" i="11"/>
  <c r="J60" i="11"/>
  <c r="J54" i="11"/>
  <c r="J41" i="11"/>
  <c r="J12" i="11"/>
  <c r="J13" i="11"/>
  <c r="J32" i="11"/>
  <c r="J11" i="11"/>
  <c r="J61" i="11"/>
  <c r="J37" i="11"/>
  <c r="J7" i="11"/>
  <c r="J52" i="11"/>
  <c r="J59" i="11"/>
  <c r="J58" i="11"/>
  <c r="J14" i="11"/>
  <c r="J55" i="11"/>
  <c r="J19" i="11"/>
  <c r="J9" i="11"/>
  <c r="J57" i="11"/>
  <c r="J45" i="11"/>
  <c r="J3" i="11"/>
  <c r="J4" i="11"/>
  <c r="J15" i="11"/>
  <c r="J21" i="11"/>
  <c r="J17" i="11"/>
  <c r="J46" i="11"/>
  <c r="J16" i="11"/>
  <c r="J53" i="11"/>
  <c r="J47" i="11"/>
  <c r="J44" i="11"/>
  <c r="J39" i="11"/>
  <c r="J10" i="11"/>
  <c r="J65" i="11"/>
  <c r="J8" i="11"/>
  <c r="J6" i="11"/>
  <c r="J22" i="11"/>
  <c r="J38" i="11"/>
  <c r="J23" i="11"/>
  <c r="J24" i="11"/>
  <c r="J25" i="11"/>
  <c r="J26" i="11"/>
  <c r="J27" i="11"/>
  <c r="J28" i="11"/>
  <c r="J29" i="11"/>
  <c r="J36" i="11"/>
  <c r="J30" i="11"/>
  <c r="J49" i="11"/>
  <c r="J5" i="11"/>
  <c r="J2" i="11"/>
  <c r="J48" i="11"/>
  <c r="J40" i="11"/>
  <c r="J35" i="11"/>
  <c r="J18" i="11"/>
  <c r="J34" i="11"/>
  <c r="J42" i="11"/>
  <c r="J51" i="11"/>
  <c r="J78" i="11"/>
  <c r="G60" i="11"/>
  <c r="G65" i="11"/>
  <c r="H76" i="11"/>
  <c r="H77" i="11"/>
  <c r="H75" i="11"/>
  <c r="H73" i="11"/>
  <c r="H74" i="11"/>
  <c r="H72" i="11"/>
  <c r="H71" i="11"/>
  <c r="H70" i="11"/>
  <c r="H69" i="11"/>
  <c r="H68" i="11"/>
  <c r="H67" i="11"/>
  <c r="H66" i="11"/>
  <c r="H62" i="11"/>
  <c r="H64" i="11"/>
  <c r="H63" i="11"/>
  <c r="H56" i="11"/>
  <c r="H60" i="11"/>
  <c r="H54" i="11"/>
  <c r="H61" i="11"/>
  <c r="H59" i="11"/>
  <c r="H58" i="11"/>
  <c r="H55" i="11"/>
  <c r="H57" i="11"/>
  <c r="H53" i="11"/>
  <c r="H65" i="11"/>
  <c r="H78" i="11"/>
  <c r="H31" i="11"/>
  <c r="H20" i="11"/>
  <c r="H12" i="11"/>
  <c r="H13" i="11"/>
  <c r="H32" i="11"/>
  <c r="H11" i="11"/>
  <c r="H7" i="11"/>
  <c r="H14" i="11"/>
  <c r="H19" i="11"/>
  <c r="H9" i="11"/>
  <c r="H3" i="11"/>
  <c r="H4" i="11"/>
  <c r="H15" i="11"/>
  <c r="H21" i="11"/>
  <c r="H17" i="11"/>
  <c r="H16" i="11"/>
  <c r="H10" i="11"/>
  <c r="H8" i="11"/>
  <c r="H6" i="11"/>
  <c r="H22" i="11"/>
  <c r="H23" i="11"/>
  <c r="H24" i="11"/>
  <c r="H25" i="11"/>
  <c r="H26" i="11"/>
  <c r="H27" i="11"/>
  <c r="H28" i="11"/>
  <c r="H29" i="11"/>
  <c r="H30" i="11"/>
  <c r="H5" i="11"/>
  <c r="H2" i="11"/>
  <c r="H18" i="11"/>
  <c r="H33" i="11"/>
  <c r="G58" i="11"/>
  <c r="R113" i="8" l="1"/>
  <c r="R112" i="8"/>
  <c r="R111" i="8"/>
  <c r="R110" i="8"/>
  <c r="R109" i="8"/>
  <c r="R108" i="8"/>
  <c r="R107" i="8"/>
  <c r="R106" i="8"/>
  <c r="R105" i="8"/>
  <c r="R104" i="8"/>
  <c r="R103" i="8"/>
  <c r="R102" i="8"/>
  <c r="R101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R5" i="8"/>
  <c r="R4" i="8"/>
  <c r="R3" i="8"/>
  <c r="S71" i="8"/>
  <c r="S96" i="8"/>
  <c r="S97" i="8"/>
  <c r="S114" i="8"/>
  <c r="S2" i="8"/>
  <c r="S120" i="8"/>
  <c r="S147" i="8"/>
  <c r="S3" i="8"/>
  <c r="S12" i="8"/>
  <c r="S13" i="8"/>
  <c r="S153" i="8"/>
  <c r="S72" i="8"/>
  <c r="S14" i="8"/>
  <c r="S15" i="8"/>
  <c r="S16" i="8"/>
  <c r="S154" i="8"/>
  <c r="S155" i="8"/>
  <c r="S17" i="8"/>
  <c r="S18" i="8"/>
  <c r="S19" i="8"/>
  <c r="S20" i="8"/>
  <c r="S121" i="8"/>
  <c r="S21" i="8"/>
  <c r="S148" i="8"/>
  <c r="S22" i="8"/>
  <c r="S23" i="8"/>
  <c r="S24" i="8"/>
  <c r="S73" i="8"/>
  <c r="S98" i="8"/>
  <c r="S115" i="8"/>
  <c r="S149" i="8"/>
  <c r="S122" i="8"/>
  <c r="S25" i="8"/>
  <c r="S26" i="8"/>
  <c r="S123" i="8"/>
  <c r="S27" i="8"/>
  <c r="S28" i="8"/>
  <c r="S74" i="8"/>
  <c r="S156" i="8"/>
  <c r="S75" i="8"/>
  <c r="S124" i="8"/>
  <c r="S29" i="8"/>
  <c r="S30" i="8"/>
  <c r="S76" i="8"/>
  <c r="S31" i="8"/>
  <c r="S77" i="8"/>
  <c r="S32" i="8"/>
  <c r="S150" i="8"/>
  <c r="S78" i="8"/>
  <c r="S79" i="8"/>
  <c r="S33" i="8"/>
  <c r="S157" i="8"/>
  <c r="S158" i="8"/>
  <c r="S34" i="8"/>
  <c r="S80" i="8"/>
  <c r="S81" i="8"/>
  <c r="S116" i="8"/>
  <c r="S159" i="8"/>
  <c r="S125" i="8"/>
  <c r="S126" i="8"/>
  <c r="S35" i="8"/>
  <c r="S36" i="8"/>
  <c r="S37" i="8"/>
  <c r="S38" i="8"/>
  <c r="S160" i="8"/>
  <c r="S39" i="8"/>
  <c r="S82" i="8"/>
  <c r="S40" i="8"/>
  <c r="S127" i="8"/>
  <c r="S128" i="8"/>
  <c r="S161" i="8"/>
  <c r="S41" i="8"/>
  <c r="S4" i="8"/>
  <c r="S162" i="8"/>
  <c r="S129" i="8"/>
  <c r="S42" i="8"/>
  <c r="S163" i="8"/>
  <c r="S43" i="8"/>
  <c r="S44" i="8"/>
  <c r="S99" i="8"/>
  <c r="S100" i="8"/>
  <c r="S45" i="8"/>
  <c r="S164" i="8"/>
  <c r="S83" i="8"/>
  <c r="S46" i="8"/>
  <c r="S101" i="8"/>
  <c r="S84" i="8"/>
  <c r="S102" i="8"/>
  <c r="S47" i="8"/>
  <c r="S165" i="8"/>
  <c r="S48" i="8"/>
  <c r="S130" i="8"/>
  <c r="S166" i="8"/>
  <c r="S117" i="8"/>
  <c r="S103" i="8"/>
  <c r="S5" i="8"/>
  <c r="S85" i="8"/>
  <c r="S49" i="8"/>
  <c r="S50" i="8"/>
  <c r="S51" i="8"/>
  <c r="S167" i="8"/>
  <c r="S86" i="8"/>
  <c r="S131" i="8"/>
  <c r="S52" i="8"/>
  <c r="S151" i="8"/>
  <c r="S104" i="8"/>
  <c r="S53" i="8"/>
  <c r="S132" i="8"/>
  <c r="S133" i="8"/>
  <c r="S87" i="8"/>
  <c r="S134" i="8"/>
  <c r="S54" i="8"/>
  <c r="S55" i="8"/>
  <c r="S152" i="8"/>
  <c r="S168" i="8"/>
  <c r="S118" i="8"/>
  <c r="S135" i="8"/>
  <c r="S88" i="8"/>
  <c r="S105" i="8"/>
  <c r="S106" i="8"/>
  <c r="S136" i="8"/>
  <c r="S169" i="8"/>
  <c r="S56" i="8"/>
  <c r="S137" i="8"/>
  <c r="S107" i="8"/>
  <c r="S89" i="8"/>
  <c r="S138" i="8"/>
  <c r="S108" i="8"/>
  <c r="S90" i="8"/>
  <c r="S139" i="8"/>
  <c r="S57" i="8"/>
  <c r="S91" i="8"/>
  <c r="S140" i="8"/>
  <c r="S141" i="8"/>
  <c r="S109" i="8"/>
  <c r="S58" i="8"/>
  <c r="S142" i="8"/>
  <c r="S110" i="8"/>
  <c r="S6" i="8"/>
  <c r="S170" i="8"/>
  <c r="S143" i="8"/>
  <c r="S111" i="8"/>
  <c r="S171" i="8"/>
  <c r="S59" i="8"/>
  <c r="S92" i="8"/>
  <c r="S7" i="8"/>
  <c r="S172" i="8"/>
  <c r="S60" i="8"/>
  <c r="S8" i="8"/>
  <c r="S173" i="8"/>
  <c r="S174" i="8"/>
  <c r="S144" i="8"/>
  <c r="S61" i="8"/>
  <c r="S112" i="8"/>
  <c r="S175" i="8"/>
  <c r="S9" i="8"/>
  <c r="S145" i="8"/>
  <c r="S62" i="8"/>
  <c r="S176" i="8"/>
  <c r="S177" i="8"/>
  <c r="S146" i="8"/>
  <c r="S63" i="8"/>
  <c r="S64" i="8"/>
  <c r="S93" i="8"/>
  <c r="S178" i="8"/>
  <c r="S179" i="8"/>
  <c r="S94" i="8"/>
  <c r="S10" i="8"/>
  <c r="S65" i="8"/>
  <c r="S113" i="8"/>
  <c r="S66" i="8"/>
  <c r="S95" i="8"/>
  <c r="S67" i="8"/>
  <c r="S68" i="8"/>
  <c r="S180" i="8"/>
  <c r="S11" i="8"/>
  <c r="S69" i="8"/>
  <c r="S181" i="8"/>
  <c r="S70" i="8"/>
  <c r="S119" i="8"/>
  <c r="X5" i="13"/>
  <c r="X6" i="13"/>
  <c r="X7" i="13"/>
  <c r="X8" i="13"/>
  <c r="X9" i="13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8" i="13"/>
  <c r="X49" i="13"/>
  <c r="X50" i="13"/>
  <c r="X51" i="13"/>
  <c r="X52" i="13"/>
  <c r="X53" i="13"/>
  <c r="X54" i="13"/>
  <c r="X55" i="13"/>
  <c r="X56" i="13"/>
  <c r="X57" i="13"/>
  <c r="X58" i="13"/>
  <c r="X59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X72" i="13"/>
  <c r="X73" i="13"/>
  <c r="X74" i="13"/>
  <c r="X75" i="13"/>
  <c r="X76" i="13"/>
  <c r="X77" i="13"/>
  <c r="X78" i="13"/>
  <c r="X79" i="13"/>
  <c r="X80" i="13"/>
  <c r="X81" i="13"/>
  <c r="X82" i="13"/>
  <c r="X83" i="13"/>
  <c r="X84" i="13"/>
  <c r="X85" i="13"/>
  <c r="X86" i="13"/>
  <c r="X87" i="13"/>
  <c r="X88" i="13"/>
  <c r="X89" i="13"/>
  <c r="X90" i="13"/>
  <c r="X91" i="13"/>
  <c r="X92" i="13"/>
  <c r="X93" i="13"/>
  <c r="X94" i="13"/>
  <c r="X95" i="13"/>
  <c r="X96" i="13"/>
  <c r="X97" i="13"/>
  <c r="X98" i="13"/>
  <c r="X99" i="13"/>
  <c r="X100" i="13"/>
  <c r="X101" i="13"/>
  <c r="X102" i="13"/>
  <c r="X103" i="13"/>
  <c r="X104" i="13"/>
  <c r="X105" i="13"/>
  <c r="X106" i="13"/>
  <c r="X107" i="13"/>
  <c r="X108" i="13"/>
  <c r="X116" i="13"/>
  <c r="X117" i="13"/>
  <c r="X118" i="13"/>
  <c r="X119" i="13"/>
  <c r="X120" i="13"/>
  <c r="X121" i="13"/>
  <c r="X122" i="13"/>
  <c r="X123" i="13"/>
  <c r="X124" i="13"/>
  <c r="X125" i="13"/>
  <c r="X126" i="13"/>
  <c r="X127" i="13"/>
  <c r="X128" i="13"/>
  <c r="X129" i="13"/>
  <c r="X130" i="13"/>
  <c r="X131" i="13"/>
  <c r="X132" i="13"/>
  <c r="X133" i="13"/>
  <c r="X134" i="13"/>
  <c r="X135" i="13"/>
  <c r="X136" i="13"/>
  <c r="X137" i="13"/>
  <c r="X138" i="13"/>
  <c r="X139" i="13"/>
  <c r="X140" i="13"/>
  <c r="X141" i="13"/>
  <c r="X142" i="13"/>
  <c r="X143" i="13"/>
  <c r="X144" i="13"/>
  <c r="X145" i="13"/>
  <c r="X146" i="13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T80" i="13"/>
  <c r="T81" i="13"/>
  <c r="T82" i="13"/>
  <c r="T83" i="13"/>
  <c r="T84" i="13"/>
  <c r="T85" i="13"/>
  <c r="T86" i="13"/>
  <c r="T87" i="13"/>
  <c r="T88" i="13"/>
  <c r="T89" i="13"/>
  <c r="T90" i="13"/>
  <c r="T91" i="13"/>
  <c r="T92" i="13"/>
  <c r="T93" i="13"/>
  <c r="T94" i="13"/>
  <c r="T95" i="13"/>
  <c r="T96" i="13"/>
  <c r="T97" i="13"/>
  <c r="T98" i="13"/>
  <c r="T99" i="13"/>
  <c r="T100" i="13"/>
  <c r="T101" i="13"/>
  <c r="T102" i="13"/>
  <c r="T103" i="13"/>
  <c r="T104" i="13"/>
  <c r="T105" i="13"/>
  <c r="T106" i="13"/>
  <c r="T107" i="13"/>
  <c r="T108" i="13"/>
  <c r="T116" i="13"/>
  <c r="T117" i="13"/>
  <c r="T118" i="13"/>
  <c r="T119" i="13"/>
  <c r="T120" i="13"/>
  <c r="T121" i="13"/>
  <c r="T122" i="13"/>
  <c r="T123" i="13"/>
  <c r="T124" i="13"/>
  <c r="T125" i="13"/>
  <c r="T126" i="13"/>
  <c r="T127" i="13"/>
  <c r="T128" i="13"/>
  <c r="T129" i="13"/>
  <c r="T130" i="13"/>
  <c r="T131" i="13"/>
  <c r="T132" i="13"/>
  <c r="T133" i="13"/>
  <c r="T134" i="13"/>
  <c r="T135" i="13"/>
  <c r="T136" i="13"/>
  <c r="T137" i="13"/>
  <c r="T138" i="13"/>
  <c r="T139" i="13"/>
  <c r="T140" i="13"/>
  <c r="T141" i="13"/>
  <c r="T142" i="13"/>
  <c r="T143" i="13"/>
  <c r="T144" i="13"/>
  <c r="T145" i="13"/>
  <c r="T146" i="13"/>
  <c r="T1" i="13"/>
  <c r="T2" i="13"/>
  <c r="K5" i="13"/>
  <c r="L5" i="13"/>
  <c r="K6" i="13"/>
  <c r="L6" i="13"/>
  <c r="K7" i="13"/>
  <c r="L7" i="13"/>
  <c r="K8" i="13"/>
  <c r="L8" i="13"/>
  <c r="K9" i="13"/>
  <c r="L9" i="13"/>
  <c r="K10" i="13"/>
  <c r="L10" i="13"/>
  <c r="K11" i="13"/>
  <c r="L11" i="13"/>
  <c r="K12" i="13"/>
  <c r="L12" i="13"/>
  <c r="K13" i="13"/>
  <c r="L13" i="13"/>
  <c r="K14" i="13"/>
  <c r="L14" i="13"/>
  <c r="K15" i="13"/>
  <c r="L15" i="13"/>
  <c r="K16" i="13"/>
  <c r="L16" i="13"/>
  <c r="K17" i="13"/>
  <c r="L17" i="13"/>
  <c r="K18" i="13"/>
  <c r="L18" i="13"/>
  <c r="K19" i="13"/>
  <c r="L19" i="13"/>
  <c r="K20" i="13"/>
  <c r="L20" i="13"/>
  <c r="K21" i="13"/>
  <c r="L21" i="13"/>
  <c r="K22" i="13"/>
  <c r="L22" i="13"/>
  <c r="K23" i="13"/>
  <c r="L23" i="13"/>
  <c r="K24" i="13"/>
  <c r="L24" i="13"/>
  <c r="K25" i="13"/>
  <c r="L25" i="13"/>
  <c r="K26" i="13"/>
  <c r="L26" i="13"/>
  <c r="K27" i="13"/>
  <c r="L27" i="13"/>
  <c r="K28" i="13"/>
  <c r="L28" i="13"/>
  <c r="K29" i="13"/>
  <c r="L29" i="13"/>
  <c r="K30" i="13"/>
  <c r="L30" i="13"/>
  <c r="K31" i="13"/>
  <c r="L31" i="13"/>
  <c r="K32" i="13"/>
  <c r="L32" i="13"/>
  <c r="K33" i="13"/>
  <c r="L33" i="13"/>
  <c r="K34" i="13"/>
  <c r="L34" i="13"/>
  <c r="K35" i="13"/>
  <c r="L35" i="13"/>
  <c r="K36" i="13"/>
  <c r="L36" i="13"/>
  <c r="K37" i="13"/>
  <c r="L37" i="13"/>
  <c r="K38" i="13"/>
  <c r="L38" i="13"/>
  <c r="K39" i="13"/>
  <c r="L39" i="13"/>
  <c r="K40" i="13"/>
  <c r="L40" i="13"/>
  <c r="K48" i="13"/>
  <c r="L48" i="13"/>
  <c r="K49" i="13"/>
  <c r="L49" i="13"/>
  <c r="K50" i="13"/>
  <c r="L50" i="13"/>
  <c r="K51" i="13"/>
  <c r="L51" i="13"/>
  <c r="K52" i="13"/>
  <c r="L52" i="13"/>
  <c r="K53" i="13"/>
  <c r="L53" i="13"/>
  <c r="K54" i="13"/>
  <c r="L54" i="13"/>
  <c r="K55" i="13"/>
  <c r="L55" i="13"/>
  <c r="K56" i="13"/>
  <c r="L56" i="13"/>
  <c r="K57" i="13"/>
  <c r="L57" i="13"/>
  <c r="K58" i="13"/>
  <c r="L58" i="13"/>
  <c r="K59" i="13"/>
  <c r="L59" i="13"/>
  <c r="K60" i="13"/>
  <c r="L60" i="13"/>
  <c r="K61" i="13"/>
  <c r="L61" i="13"/>
  <c r="K62" i="13"/>
  <c r="L62" i="13"/>
  <c r="K63" i="13"/>
  <c r="L63" i="13"/>
  <c r="K64" i="13"/>
  <c r="L64" i="13"/>
  <c r="K65" i="13"/>
  <c r="L65" i="13"/>
  <c r="K66" i="13"/>
  <c r="L66" i="13"/>
  <c r="K67" i="13"/>
  <c r="L67" i="13"/>
  <c r="K68" i="13"/>
  <c r="L68" i="13"/>
  <c r="K69" i="13"/>
  <c r="L69" i="13"/>
  <c r="K70" i="13"/>
  <c r="L70" i="13"/>
  <c r="K71" i="13"/>
  <c r="L71" i="13"/>
  <c r="K72" i="13"/>
  <c r="L72" i="13"/>
  <c r="K73" i="13"/>
  <c r="L73" i="13"/>
  <c r="K74" i="13"/>
  <c r="L74" i="13"/>
  <c r="K75" i="13"/>
  <c r="L75" i="13"/>
  <c r="K76" i="13"/>
  <c r="L76" i="13"/>
  <c r="K77" i="13"/>
  <c r="L77" i="13"/>
  <c r="K78" i="13"/>
  <c r="L78" i="13"/>
  <c r="K79" i="13"/>
  <c r="L79" i="13"/>
  <c r="K80" i="13"/>
  <c r="L80" i="13"/>
  <c r="K81" i="13"/>
  <c r="L81" i="13"/>
  <c r="K82" i="13"/>
  <c r="L82" i="13"/>
  <c r="K83" i="13"/>
  <c r="L83" i="13"/>
  <c r="K84" i="13"/>
  <c r="L84" i="13"/>
  <c r="K85" i="13"/>
  <c r="L85" i="13"/>
  <c r="K86" i="13"/>
  <c r="L86" i="13"/>
  <c r="K87" i="13"/>
  <c r="L87" i="13"/>
  <c r="K88" i="13"/>
  <c r="L88" i="13"/>
  <c r="K89" i="13"/>
  <c r="L89" i="13"/>
  <c r="K90" i="13"/>
  <c r="L90" i="13"/>
  <c r="K91" i="13"/>
  <c r="L91" i="13"/>
  <c r="K92" i="13"/>
  <c r="L92" i="13"/>
  <c r="K93" i="13"/>
  <c r="L93" i="13"/>
  <c r="K94" i="13"/>
  <c r="L94" i="13"/>
  <c r="K95" i="13"/>
  <c r="L95" i="13"/>
  <c r="K96" i="13"/>
  <c r="L96" i="13"/>
  <c r="K97" i="13"/>
  <c r="L97" i="13"/>
  <c r="K98" i="13"/>
  <c r="L98" i="13"/>
  <c r="K99" i="13"/>
  <c r="L99" i="13"/>
  <c r="K100" i="13"/>
  <c r="L100" i="13"/>
  <c r="K101" i="13"/>
  <c r="L101" i="13"/>
  <c r="K102" i="13"/>
  <c r="L102" i="13"/>
  <c r="K103" i="13"/>
  <c r="L103" i="13"/>
  <c r="K104" i="13"/>
  <c r="L104" i="13"/>
  <c r="K105" i="13"/>
  <c r="L105" i="13"/>
  <c r="K106" i="13"/>
  <c r="L106" i="13"/>
  <c r="K107" i="13"/>
  <c r="L107" i="13"/>
  <c r="K108" i="13"/>
  <c r="L108" i="13"/>
  <c r="K116" i="13"/>
  <c r="L116" i="13"/>
  <c r="K117" i="13"/>
  <c r="L117" i="13"/>
  <c r="K118" i="13"/>
  <c r="L118" i="13"/>
  <c r="K119" i="13"/>
  <c r="L119" i="13"/>
  <c r="K120" i="13"/>
  <c r="L120" i="13"/>
  <c r="K121" i="13"/>
  <c r="L121" i="13"/>
  <c r="K122" i="13"/>
  <c r="L122" i="13"/>
  <c r="K123" i="13"/>
  <c r="L123" i="13"/>
  <c r="K124" i="13"/>
  <c r="L124" i="13"/>
  <c r="K125" i="13"/>
  <c r="L125" i="13"/>
  <c r="K126" i="13"/>
  <c r="L126" i="13"/>
  <c r="K127" i="13"/>
  <c r="L127" i="13"/>
  <c r="K128" i="13"/>
  <c r="L128" i="13"/>
  <c r="K129" i="13"/>
  <c r="L129" i="13"/>
  <c r="K130" i="13"/>
  <c r="L130" i="13"/>
  <c r="K131" i="13"/>
  <c r="L131" i="13"/>
  <c r="K132" i="13"/>
  <c r="L132" i="13"/>
  <c r="K133" i="13"/>
  <c r="L133" i="13"/>
  <c r="K134" i="13"/>
  <c r="L134" i="13"/>
  <c r="K135" i="13"/>
  <c r="L135" i="13"/>
  <c r="K136" i="13"/>
  <c r="L136" i="13"/>
  <c r="K137" i="13"/>
  <c r="L137" i="13"/>
  <c r="K138" i="13"/>
  <c r="L138" i="13"/>
  <c r="K139" i="13"/>
  <c r="L139" i="13"/>
  <c r="K140" i="13"/>
  <c r="L140" i="13"/>
  <c r="K141" i="13"/>
  <c r="L141" i="13"/>
  <c r="K142" i="13"/>
  <c r="L142" i="13"/>
  <c r="K143" i="13"/>
  <c r="L143" i="13"/>
  <c r="K144" i="13"/>
  <c r="L144" i="13"/>
  <c r="K145" i="13"/>
  <c r="L145" i="13"/>
  <c r="K146" i="13"/>
  <c r="L146" i="13"/>
  <c r="L1" i="13"/>
  <c r="L2" i="13"/>
  <c r="O5" i="13"/>
  <c r="P5" i="13"/>
  <c r="O6" i="13"/>
  <c r="P6" i="13"/>
  <c r="O7" i="13"/>
  <c r="P7" i="13"/>
  <c r="O8" i="13"/>
  <c r="P8" i="13"/>
  <c r="O9" i="13"/>
  <c r="P9" i="13"/>
  <c r="O10" i="13"/>
  <c r="P10" i="13"/>
  <c r="O11" i="13"/>
  <c r="P11" i="13"/>
  <c r="Q11" i="13" s="1"/>
  <c r="O12" i="13"/>
  <c r="P12" i="13"/>
  <c r="O13" i="13"/>
  <c r="P13" i="13"/>
  <c r="O14" i="13"/>
  <c r="P14" i="13"/>
  <c r="O15" i="13"/>
  <c r="P15" i="13"/>
  <c r="O16" i="13"/>
  <c r="P16" i="13"/>
  <c r="O17" i="13"/>
  <c r="P17" i="13"/>
  <c r="O18" i="13"/>
  <c r="P18" i="13"/>
  <c r="O19" i="13"/>
  <c r="P19" i="13"/>
  <c r="O20" i="13"/>
  <c r="P20" i="13"/>
  <c r="O21" i="13"/>
  <c r="P21" i="13"/>
  <c r="O22" i="13"/>
  <c r="P22" i="13"/>
  <c r="O23" i="13"/>
  <c r="P23" i="13"/>
  <c r="Q23" i="13" s="1"/>
  <c r="O24" i="13"/>
  <c r="P24" i="13"/>
  <c r="O25" i="13"/>
  <c r="P25" i="13"/>
  <c r="O26" i="13"/>
  <c r="P26" i="13"/>
  <c r="O27" i="13"/>
  <c r="P27" i="13"/>
  <c r="O28" i="13"/>
  <c r="P28" i="13"/>
  <c r="O29" i="13"/>
  <c r="P29" i="13"/>
  <c r="O30" i="13"/>
  <c r="P30" i="13"/>
  <c r="O31" i="13"/>
  <c r="P31" i="13"/>
  <c r="O32" i="13"/>
  <c r="P32" i="13"/>
  <c r="O33" i="13"/>
  <c r="P33" i="13"/>
  <c r="O34" i="13"/>
  <c r="P34" i="13"/>
  <c r="O35" i="13"/>
  <c r="P35" i="13"/>
  <c r="O36" i="13"/>
  <c r="P36" i="13"/>
  <c r="O37" i="13"/>
  <c r="P37" i="13"/>
  <c r="O38" i="13"/>
  <c r="P38" i="13"/>
  <c r="O39" i="13"/>
  <c r="P39" i="13"/>
  <c r="O40" i="13"/>
  <c r="P40" i="13"/>
  <c r="O48" i="13"/>
  <c r="P48" i="13"/>
  <c r="O49" i="13"/>
  <c r="P49" i="13"/>
  <c r="O50" i="13"/>
  <c r="P50" i="13"/>
  <c r="O51" i="13"/>
  <c r="P51" i="13"/>
  <c r="O52" i="13"/>
  <c r="P52" i="13"/>
  <c r="O53" i="13"/>
  <c r="P53" i="13"/>
  <c r="O54" i="13"/>
  <c r="P54" i="13"/>
  <c r="O55" i="13"/>
  <c r="P55" i="13"/>
  <c r="O56" i="13"/>
  <c r="P56" i="13"/>
  <c r="O57" i="13"/>
  <c r="P57" i="13"/>
  <c r="O58" i="13"/>
  <c r="P58" i="13"/>
  <c r="O59" i="13"/>
  <c r="P59" i="13"/>
  <c r="O60" i="13"/>
  <c r="P60" i="13"/>
  <c r="O61" i="13"/>
  <c r="P61" i="13"/>
  <c r="O62" i="13"/>
  <c r="P62" i="13"/>
  <c r="O63" i="13"/>
  <c r="P63" i="13"/>
  <c r="O64" i="13"/>
  <c r="P64" i="13"/>
  <c r="O65" i="13"/>
  <c r="P65" i="13"/>
  <c r="O66" i="13"/>
  <c r="P66" i="13"/>
  <c r="O67" i="13"/>
  <c r="P67" i="13"/>
  <c r="O68" i="13"/>
  <c r="P68" i="13"/>
  <c r="O69" i="13"/>
  <c r="P69" i="13"/>
  <c r="O70" i="13"/>
  <c r="P70" i="13"/>
  <c r="O71" i="13"/>
  <c r="P71" i="13"/>
  <c r="O72" i="13"/>
  <c r="P72" i="13"/>
  <c r="O73" i="13"/>
  <c r="P73" i="13"/>
  <c r="O74" i="13"/>
  <c r="P74" i="13"/>
  <c r="O75" i="13"/>
  <c r="P75" i="13"/>
  <c r="O76" i="13"/>
  <c r="P76" i="13"/>
  <c r="O77" i="13"/>
  <c r="P77" i="13"/>
  <c r="O78" i="13"/>
  <c r="P78" i="13"/>
  <c r="O79" i="13"/>
  <c r="P79" i="13"/>
  <c r="O80" i="13"/>
  <c r="P80" i="13"/>
  <c r="O81" i="13"/>
  <c r="P81" i="13"/>
  <c r="O82" i="13"/>
  <c r="P82" i="13"/>
  <c r="O83" i="13"/>
  <c r="P83" i="13"/>
  <c r="O84" i="13"/>
  <c r="P84" i="13"/>
  <c r="O85" i="13"/>
  <c r="P85" i="13"/>
  <c r="O86" i="13"/>
  <c r="P86" i="13"/>
  <c r="O87" i="13"/>
  <c r="P87" i="13"/>
  <c r="O88" i="13"/>
  <c r="P88" i="13"/>
  <c r="O89" i="13"/>
  <c r="P89" i="13"/>
  <c r="O90" i="13"/>
  <c r="P90" i="13"/>
  <c r="O91" i="13"/>
  <c r="P91" i="13"/>
  <c r="O92" i="13"/>
  <c r="P92" i="13"/>
  <c r="O93" i="13"/>
  <c r="P93" i="13"/>
  <c r="O94" i="13"/>
  <c r="P94" i="13"/>
  <c r="O95" i="13"/>
  <c r="P95" i="13"/>
  <c r="O96" i="13"/>
  <c r="P96" i="13"/>
  <c r="O97" i="13"/>
  <c r="P97" i="13"/>
  <c r="O98" i="13"/>
  <c r="P98" i="13"/>
  <c r="O99" i="13"/>
  <c r="P99" i="13"/>
  <c r="O100" i="13"/>
  <c r="P100" i="13"/>
  <c r="O101" i="13"/>
  <c r="P101" i="13"/>
  <c r="O102" i="13"/>
  <c r="P102" i="13"/>
  <c r="O103" i="13"/>
  <c r="P103" i="13"/>
  <c r="O104" i="13"/>
  <c r="P104" i="13"/>
  <c r="O105" i="13"/>
  <c r="P105" i="13"/>
  <c r="O106" i="13"/>
  <c r="P106" i="13"/>
  <c r="O107" i="13"/>
  <c r="P107" i="13"/>
  <c r="O108" i="13"/>
  <c r="P108" i="13"/>
  <c r="O116" i="13"/>
  <c r="P116" i="13"/>
  <c r="O117" i="13"/>
  <c r="P117" i="13"/>
  <c r="O118" i="13"/>
  <c r="P118" i="13"/>
  <c r="O119" i="13"/>
  <c r="P119" i="13"/>
  <c r="O120" i="13"/>
  <c r="P120" i="13"/>
  <c r="O121" i="13"/>
  <c r="P121" i="13"/>
  <c r="O122" i="13"/>
  <c r="P122" i="13"/>
  <c r="O123" i="13"/>
  <c r="P123" i="13"/>
  <c r="O124" i="13"/>
  <c r="P124" i="13"/>
  <c r="O125" i="13"/>
  <c r="P125" i="13"/>
  <c r="O126" i="13"/>
  <c r="P126" i="13"/>
  <c r="O127" i="13"/>
  <c r="P127" i="13"/>
  <c r="O128" i="13"/>
  <c r="P128" i="13"/>
  <c r="O129" i="13"/>
  <c r="P129" i="13"/>
  <c r="O130" i="13"/>
  <c r="P130" i="13"/>
  <c r="O131" i="13"/>
  <c r="P131" i="13"/>
  <c r="O132" i="13"/>
  <c r="P132" i="13"/>
  <c r="O133" i="13"/>
  <c r="P133" i="13"/>
  <c r="O134" i="13"/>
  <c r="P134" i="13"/>
  <c r="O135" i="13"/>
  <c r="P135" i="13"/>
  <c r="O136" i="13"/>
  <c r="P136" i="13"/>
  <c r="O137" i="13"/>
  <c r="P137" i="13"/>
  <c r="O138" i="13"/>
  <c r="P138" i="13"/>
  <c r="O139" i="13"/>
  <c r="P139" i="13"/>
  <c r="O140" i="13"/>
  <c r="P140" i="13"/>
  <c r="O141" i="13"/>
  <c r="P141" i="13"/>
  <c r="O142" i="13"/>
  <c r="P142" i="13"/>
  <c r="O143" i="13"/>
  <c r="P143" i="13"/>
  <c r="O144" i="13"/>
  <c r="P144" i="13"/>
  <c r="O145" i="13"/>
  <c r="P145" i="13"/>
  <c r="O146" i="13"/>
  <c r="P146" i="13"/>
  <c r="P1" i="13"/>
  <c r="P2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" i="13"/>
  <c r="H2" i="13"/>
  <c r="D15" i="15"/>
  <c r="D11" i="15"/>
  <c r="D3" i="15"/>
  <c r="D7" i="15"/>
  <c r="E2" i="6"/>
  <c r="H51" i="11"/>
  <c r="H42" i="11"/>
  <c r="H50" i="11"/>
  <c r="H43" i="11"/>
  <c r="H41" i="11"/>
  <c r="H37" i="11"/>
  <c r="H52" i="11"/>
  <c r="H45" i="11"/>
  <c r="H46" i="11"/>
  <c r="H47" i="11"/>
  <c r="H44" i="11"/>
  <c r="H39" i="11"/>
  <c r="H38" i="11"/>
  <c r="H36" i="11"/>
  <c r="H49" i="11"/>
  <c r="H48" i="11"/>
  <c r="H40" i="11"/>
  <c r="H35" i="11"/>
  <c r="H34" i="11"/>
  <c r="G50" i="11"/>
  <c r="G44" i="11"/>
  <c r="G45" i="11"/>
  <c r="G37" i="11"/>
  <c r="G43" i="11"/>
  <c r="G47" i="11"/>
  <c r="G52" i="11"/>
  <c r="G5" i="11"/>
  <c r="G40" i="11"/>
  <c r="G34" i="11"/>
  <c r="G48" i="11"/>
  <c r="G49" i="11"/>
  <c r="G39" i="11"/>
  <c r="G38" i="11"/>
  <c r="G51" i="11"/>
  <c r="G2" i="11"/>
  <c r="G42" i="11"/>
  <c r="G46" i="11"/>
  <c r="G41" i="11"/>
  <c r="G73" i="11"/>
  <c r="G74" i="11"/>
  <c r="G69" i="11"/>
  <c r="G54" i="11"/>
  <c r="G55" i="11"/>
  <c r="G71" i="11"/>
  <c r="G78" i="11"/>
  <c r="G72" i="11"/>
  <c r="G75" i="11"/>
  <c r="G66" i="11"/>
  <c r="G61" i="11"/>
  <c r="G57" i="11"/>
  <c r="G62" i="11"/>
  <c r="G64" i="11"/>
  <c r="G63" i="11"/>
  <c r="G56" i="11"/>
  <c r="G76" i="11"/>
  <c r="G70" i="11"/>
  <c r="G68" i="11"/>
  <c r="G67" i="11"/>
  <c r="G53" i="11"/>
  <c r="G36" i="11"/>
  <c r="G59" i="11"/>
  <c r="G77" i="11"/>
  <c r="G35" i="11"/>
  <c r="G8" i="11"/>
  <c r="G10" i="11"/>
  <c r="G6" i="11"/>
  <c r="G21" i="11"/>
  <c r="G24" i="11"/>
  <c r="G9" i="11"/>
  <c r="G20" i="11"/>
  <c r="G3" i="11"/>
  <c r="G26" i="11"/>
  <c r="G16" i="11"/>
  <c r="G13" i="11"/>
  <c r="G17" i="11"/>
  <c r="G28" i="11"/>
  <c r="G33" i="11"/>
  <c r="G18" i="11"/>
  <c r="G30" i="11"/>
  <c r="G25" i="11"/>
  <c r="G29" i="11"/>
  <c r="G27" i="11"/>
  <c r="G23" i="11"/>
  <c r="G22" i="11"/>
  <c r="G12" i="11"/>
  <c r="G15" i="11"/>
  <c r="G4" i="11"/>
  <c r="G31" i="11"/>
  <c r="G32" i="11"/>
  <c r="G11" i="11"/>
  <c r="G14" i="11"/>
  <c r="G19" i="11"/>
  <c r="D26" i="6"/>
  <c r="E26" i="6" s="1"/>
  <c r="D27" i="6"/>
  <c r="E27" i="6" s="1"/>
  <c r="D28" i="6"/>
  <c r="E28" i="6" s="1"/>
  <c r="D29" i="6"/>
  <c r="E29" i="6" s="1"/>
  <c r="D30" i="6"/>
  <c r="E30" i="6" s="1"/>
  <c r="D31" i="6"/>
  <c r="E31" i="6" s="1"/>
  <c r="D32" i="6"/>
  <c r="E32" i="6" s="1"/>
  <c r="D33" i="6"/>
  <c r="E33" i="6" s="1"/>
  <c r="D34" i="6"/>
  <c r="E34" i="6" s="1"/>
  <c r="D35" i="6"/>
  <c r="E35" i="6" s="1"/>
  <c r="D36" i="6"/>
  <c r="E36" i="6" s="1"/>
  <c r="D37" i="6"/>
  <c r="E37" i="6" s="1"/>
  <c r="D38" i="6"/>
  <c r="E38" i="6" s="1"/>
  <c r="D39" i="6"/>
  <c r="E39" i="6" s="1"/>
  <c r="D40" i="6"/>
  <c r="E40" i="6" s="1"/>
  <c r="D41" i="6"/>
  <c r="E41" i="6" s="1"/>
  <c r="D42" i="6"/>
  <c r="E42" i="6" s="1"/>
  <c r="D43" i="6"/>
  <c r="E43" i="6" s="1"/>
  <c r="D44" i="6"/>
  <c r="E44" i="6" s="1"/>
  <c r="D45" i="6"/>
  <c r="E45" i="6" s="1"/>
  <c r="D46" i="6"/>
  <c r="E46" i="6" s="1"/>
  <c r="D47" i="6"/>
  <c r="E47" i="6" s="1"/>
  <c r="D48" i="6"/>
  <c r="E48" i="6" s="1"/>
  <c r="D49" i="6"/>
  <c r="E49" i="6" s="1"/>
  <c r="D50" i="6"/>
  <c r="E50" i="6" s="1"/>
  <c r="D51" i="6"/>
  <c r="E51" i="6" s="1"/>
  <c r="D52" i="6"/>
  <c r="E52" i="6" s="1"/>
  <c r="D53" i="6"/>
  <c r="E53" i="6" s="1"/>
  <c r="D54" i="6"/>
  <c r="E54" i="6" s="1"/>
  <c r="D55" i="6"/>
  <c r="E55" i="6" s="1"/>
  <c r="D56" i="6"/>
  <c r="E56" i="6" s="1"/>
  <c r="D57" i="6"/>
  <c r="E57" i="6" s="1"/>
  <c r="D58" i="6"/>
  <c r="E58" i="6" s="1"/>
  <c r="D59" i="6"/>
  <c r="E59" i="6" s="1"/>
  <c r="D60" i="6"/>
  <c r="E60" i="6" s="1"/>
  <c r="D61" i="6"/>
  <c r="E61" i="6" s="1"/>
  <c r="D62" i="6"/>
  <c r="E62" i="6" s="1"/>
  <c r="D63" i="6"/>
  <c r="E63" i="6" s="1"/>
  <c r="D64" i="6"/>
  <c r="E64" i="6" s="1"/>
  <c r="D65" i="6"/>
  <c r="E65" i="6" s="1"/>
  <c r="D66" i="6"/>
  <c r="E66" i="6" s="1"/>
  <c r="D67" i="6"/>
  <c r="E67" i="6" s="1"/>
  <c r="D68" i="6"/>
  <c r="E68" i="6" s="1"/>
  <c r="D69" i="6"/>
  <c r="E69" i="6" s="1"/>
  <c r="D70" i="6"/>
  <c r="E70" i="6" s="1"/>
  <c r="D71" i="6"/>
  <c r="E71" i="6" s="1"/>
  <c r="D72" i="6"/>
  <c r="E72" i="6" s="1"/>
  <c r="D73" i="6"/>
  <c r="E73" i="6" s="1"/>
  <c r="D74" i="6"/>
  <c r="E74" i="6" s="1"/>
  <c r="D75" i="6"/>
  <c r="E75" i="6" s="1"/>
  <c r="D76" i="6"/>
  <c r="E76" i="6" s="1"/>
  <c r="D77" i="6"/>
  <c r="E77" i="6" s="1"/>
  <c r="D78" i="6"/>
  <c r="E78" i="6" s="1"/>
  <c r="D79" i="6"/>
  <c r="E79" i="6" s="1"/>
  <c r="D80" i="6"/>
  <c r="E80" i="6" s="1"/>
  <c r="D81" i="6"/>
  <c r="E81" i="6" s="1"/>
  <c r="D82" i="6"/>
  <c r="E82" i="6" s="1"/>
  <c r="D83" i="6"/>
  <c r="E83" i="6" s="1"/>
  <c r="D84" i="6"/>
  <c r="E84" i="6" s="1"/>
  <c r="D85" i="6"/>
  <c r="E85" i="6" s="1"/>
  <c r="D86" i="6"/>
  <c r="E86" i="6" s="1"/>
  <c r="D87" i="6"/>
  <c r="E87" i="6" s="1"/>
  <c r="D88" i="6"/>
  <c r="E88" i="6" s="1"/>
  <c r="D89" i="6"/>
  <c r="E89" i="6" s="1"/>
  <c r="D90" i="6"/>
  <c r="E90" i="6" s="1"/>
  <c r="D91" i="6"/>
  <c r="E91" i="6" s="1"/>
  <c r="D92" i="6"/>
  <c r="E92" i="6" s="1"/>
  <c r="D93" i="6"/>
  <c r="E93" i="6" s="1"/>
  <c r="D94" i="6"/>
  <c r="E94" i="6" s="1"/>
  <c r="D95" i="6"/>
  <c r="E95" i="6" s="1"/>
  <c r="D96" i="6"/>
  <c r="E96" i="6" s="1"/>
  <c r="D97" i="6"/>
  <c r="E97" i="6" s="1"/>
  <c r="D98" i="6"/>
  <c r="E98" i="6" s="1"/>
  <c r="D99" i="6"/>
  <c r="E99" i="6" s="1"/>
  <c r="D100" i="6"/>
  <c r="E100" i="6" s="1"/>
  <c r="D101" i="6"/>
  <c r="E101" i="6" s="1"/>
  <c r="D102" i="6"/>
  <c r="E102" i="6" s="1"/>
  <c r="D103" i="6"/>
  <c r="E103" i="6" s="1"/>
  <c r="D104" i="6"/>
  <c r="E104" i="6" s="1"/>
  <c r="D105" i="6"/>
  <c r="E105" i="6" s="1"/>
  <c r="D106" i="6"/>
  <c r="E106" i="6" s="1"/>
  <c r="D107" i="6"/>
  <c r="E107" i="6" s="1"/>
  <c r="D108" i="6"/>
  <c r="E108" i="6" s="1"/>
  <c r="D109" i="6"/>
  <c r="E109" i="6" s="1"/>
  <c r="D110" i="6"/>
  <c r="E110" i="6" s="1"/>
  <c r="D111" i="6"/>
  <c r="E111" i="6" s="1"/>
  <c r="D112" i="6"/>
  <c r="E112" i="6" s="1"/>
  <c r="D113" i="6"/>
  <c r="E113" i="6" s="1"/>
  <c r="D114" i="6"/>
  <c r="E114" i="6" s="1"/>
  <c r="D115" i="6"/>
  <c r="E115" i="6" s="1"/>
  <c r="D116" i="6"/>
  <c r="E116" i="6" s="1"/>
  <c r="D117" i="6"/>
  <c r="E117" i="6" s="1"/>
  <c r="D118" i="6"/>
  <c r="E118" i="6" s="1"/>
  <c r="D119" i="6"/>
  <c r="E119" i="6" s="1"/>
  <c r="D120" i="6"/>
  <c r="E120" i="6" s="1"/>
  <c r="D121" i="6"/>
  <c r="E121" i="6" s="1"/>
  <c r="D122" i="6"/>
  <c r="E122" i="6" s="1"/>
  <c r="D123" i="6"/>
  <c r="E123" i="6" s="1"/>
  <c r="D124" i="6"/>
  <c r="E124" i="6" s="1"/>
  <c r="D125" i="6"/>
  <c r="E125" i="6" s="1"/>
  <c r="D126" i="6"/>
  <c r="E126" i="6" s="1"/>
  <c r="D127" i="6"/>
  <c r="E127" i="6" s="1"/>
  <c r="D128" i="6"/>
  <c r="E128" i="6" s="1"/>
  <c r="D129" i="6"/>
  <c r="E129" i="6" s="1"/>
  <c r="D130" i="6"/>
  <c r="E130" i="6" s="1"/>
  <c r="D131" i="6"/>
  <c r="E131" i="6" s="1"/>
  <c r="D132" i="6"/>
  <c r="E132" i="6" s="1"/>
  <c r="D133" i="6"/>
  <c r="E133" i="6" s="1"/>
  <c r="D134" i="6"/>
  <c r="E134" i="6" s="1"/>
  <c r="D135" i="6"/>
  <c r="E135" i="6" s="1"/>
  <c r="D136" i="6"/>
  <c r="E136" i="6" s="1"/>
  <c r="D137" i="6"/>
  <c r="E137" i="6" s="1"/>
  <c r="D138" i="6"/>
  <c r="E138" i="6" s="1"/>
  <c r="D139" i="6"/>
  <c r="E139" i="6" s="1"/>
  <c r="D140" i="6"/>
  <c r="E140" i="6" s="1"/>
  <c r="D141" i="6"/>
  <c r="E141" i="6" s="1"/>
  <c r="D142" i="6"/>
  <c r="E142" i="6" s="1"/>
  <c r="D143" i="6"/>
  <c r="E143" i="6" s="1"/>
  <c r="D144" i="6"/>
  <c r="E144" i="6" s="1"/>
  <c r="D145" i="6"/>
  <c r="E145" i="6" s="1"/>
  <c r="D146" i="6"/>
  <c r="E146" i="6" s="1"/>
  <c r="D147" i="6"/>
  <c r="E147" i="6" s="1"/>
  <c r="D148" i="6"/>
  <c r="E148" i="6" s="1"/>
  <c r="D149" i="6"/>
  <c r="E149" i="6" s="1"/>
  <c r="D150" i="6"/>
  <c r="E150" i="6" s="1"/>
  <c r="D151" i="6"/>
  <c r="E151" i="6" s="1"/>
  <c r="D152" i="6"/>
  <c r="E152" i="6" s="1"/>
  <c r="D153" i="6"/>
  <c r="E153" i="6" s="1"/>
  <c r="D154" i="6"/>
  <c r="E154" i="6" s="1"/>
  <c r="D155" i="6"/>
  <c r="E155" i="6" s="1"/>
  <c r="D156" i="6"/>
  <c r="E156" i="6" s="1"/>
  <c r="D157" i="6"/>
  <c r="E157" i="6" s="1"/>
  <c r="D158" i="6"/>
  <c r="E158" i="6" s="1"/>
  <c r="D159" i="6"/>
  <c r="E159" i="6" s="1"/>
  <c r="D160" i="6"/>
  <c r="E160" i="6" s="1"/>
  <c r="D161" i="6"/>
  <c r="E161" i="6" s="1"/>
  <c r="D162" i="6"/>
  <c r="E162" i="6" s="1"/>
  <c r="D163" i="6"/>
  <c r="E163" i="6" s="1"/>
  <c r="D164" i="6"/>
  <c r="E164" i="6" s="1"/>
  <c r="D165" i="6"/>
  <c r="E165" i="6" s="1"/>
  <c r="D166" i="6"/>
  <c r="E166" i="6" s="1"/>
  <c r="D167" i="6"/>
  <c r="E167" i="6" s="1"/>
  <c r="D168" i="6"/>
  <c r="E168" i="6" s="1"/>
  <c r="D169" i="6"/>
  <c r="E169" i="6" s="1"/>
  <c r="D170" i="6"/>
  <c r="E170" i="6" s="1"/>
  <c r="D171" i="6"/>
  <c r="E171" i="6" s="1"/>
  <c r="D172" i="6"/>
  <c r="E172" i="6" s="1"/>
  <c r="D173" i="6"/>
  <c r="E173" i="6" s="1"/>
  <c r="D174" i="6"/>
  <c r="E174" i="6" s="1"/>
  <c r="D175" i="6"/>
  <c r="E175" i="6" s="1"/>
  <c r="D176" i="6"/>
  <c r="E176" i="6" s="1"/>
  <c r="D177" i="6"/>
  <c r="E177" i="6" s="1"/>
  <c r="D178" i="6"/>
  <c r="E178" i="6" s="1"/>
  <c r="D179" i="6"/>
  <c r="E179" i="6" s="1"/>
  <c r="D180" i="6"/>
  <c r="E180" i="6" s="1"/>
  <c r="D181" i="6"/>
  <c r="E181" i="6" s="1"/>
  <c r="D182" i="6"/>
  <c r="E182" i="6" s="1"/>
  <c r="D183" i="6"/>
  <c r="E183" i="6" s="1"/>
  <c r="D184" i="6"/>
  <c r="E184" i="6" s="1"/>
  <c r="D185" i="6"/>
  <c r="E185" i="6" s="1"/>
  <c r="D186" i="6"/>
  <c r="E186" i="6" s="1"/>
  <c r="D187" i="6"/>
  <c r="E187" i="6" s="1"/>
  <c r="D188" i="6"/>
  <c r="E188" i="6" s="1"/>
  <c r="D189" i="6"/>
  <c r="E189" i="6" s="1"/>
  <c r="D190" i="6"/>
  <c r="E190" i="6" s="1"/>
  <c r="D191" i="6"/>
  <c r="E191" i="6" s="1"/>
  <c r="D192" i="6"/>
  <c r="E192" i="6" s="1"/>
  <c r="D193" i="6"/>
  <c r="E193" i="6" s="1"/>
  <c r="D194" i="6"/>
  <c r="E194" i="6" s="1"/>
  <c r="D195" i="6"/>
  <c r="E195" i="6" s="1"/>
  <c r="D196" i="6"/>
  <c r="E196" i="6" s="1"/>
  <c r="D197" i="6"/>
  <c r="E197" i="6" s="1"/>
  <c r="D198" i="6"/>
  <c r="E198" i="6" s="1"/>
  <c r="D199" i="6"/>
  <c r="E199" i="6" s="1"/>
  <c r="D200" i="6"/>
  <c r="E200" i="6" s="1"/>
  <c r="D201" i="6"/>
  <c r="E201" i="6" s="1"/>
  <c r="D202" i="6"/>
  <c r="E202" i="6" s="1"/>
  <c r="D203" i="6"/>
  <c r="E203" i="6" s="1"/>
  <c r="D204" i="6"/>
  <c r="E204" i="6" s="1"/>
  <c r="D205" i="6"/>
  <c r="E205" i="6" s="1"/>
  <c r="D206" i="6"/>
  <c r="E206" i="6" s="1"/>
  <c r="D207" i="6"/>
  <c r="E207" i="6" s="1"/>
  <c r="D208" i="6"/>
  <c r="E208" i="6" s="1"/>
  <c r="D209" i="6"/>
  <c r="E209" i="6" s="1"/>
  <c r="D210" i="6"/>
  <c r="E210" i="6" s="1"/>
  <c r="D211" i="6"/>
  <c r="E211" i="6" s="1"/>
  <c r="D212" i="6"/>
  <c r="E212" i="6" s="1"/>
  <c r="D213" i="6"/>
  <c r="E213" i="6" s="1"/>
  <c r="D214" i="6"/>
  <c r="E214" i="6" s="1"/>
  <c r="D215" i="6"/>
  <c r="E215" i="6" s="1"/>
  <c r="D216" i="6"/>
  <c r="E216" i="6" s="1"/>
  <c r="D217" i="6"/>
  <c r="E217" i="6" s="1"/>
  <c r="D218" i="6"/>
  <c r="E218" i="6" s="1"/>
  <c r="D219" i="6"/>
  <c r="E219" i="6" s="1"/>
  <c r="D220" i="6"/>
  <c r="E220" i="6" s="1"/>
  <c r="D221" i="6"/>
  <c r="E221" i="6" s="1"/>
  <c r="D222" i="6"/>
  <c r="E222" i="6" s="1"/>
  <c r="D223" i="6"/>
  <c r="E223" i="6" s="1"/>
  <c r="D224" i="6"/>
  <c r="E224" i="6" s="1"/>
  <c r="D225" i="6"/>
  <c r="E225" i="6" s="1"/>
  <c r="D226" i="6"/>
  <c r="E226" i="6" s="1"/>
  <c r="D227" i="6"/>
  <c r="E227" i="6" s="1"/>
  <c r="D228" i="6"/>
  <c r="E228" i="6" s="1"/>
  <c r="D229" i="6"/>
  <c r="E229" i="6" s="1"/>
  <c r="D230" i="6"/>
  <c r="E230" i="6" s="1"/>
  <c r="D231" i="6"/>
  <c r="E231" i="6" s="1"/>
  <c r="D232" i="6"/>
  <c r="E232" i="6" s="1"/>
  <c r="D233" i="6"/>
  <c r="E233" i="6" s="1"/>
  <c r="D234" i="6"/>
  <c r="E234" i="6" s="1"/>
  <c r="D235" i="6"/>
  <c r="E235" i="6" s="1"/>
  <c r="D236" i="6"/>
  <c r="E236" i="6" s="1"/>
  <c r="D237" i="6"/>
  <c r="E237" i="6" s="1"/>
  <c r="D238" i="6"/>
  <c r="E238" i="6" s="1"/>
  <c r="D239" i="6"/>
  <c r="E239" i="6" s="1"/>
  <c r="D240" i="6"/>
  <c r="E240" i="6" s="1"/>
  <c r="D241" i="6"/>
  <c r="E241" i="6" s="1"/>
  <c r="D242" i="6"/>
  <c r="E242" i="6" s="1"/>
  <c r="D243" i="6"/>
  <c r="E243" i="6" s="1"/>
  <c r="D244" i="6"/>
  <c r="E244" i="6" s="1"/>
  <c r="D245" i="6"/>
  <c r="E245" i="6" s="1"/>
  <c r="D246" i="6"/>
  <c r="E246" i="6" s="1"/>
  <c r="D247" i="6"/>
  <c r="E247" i="6" s="1"/>
  <c r="D248" i="6"/>
  <c r="E248" i="6" s="1"/>
  <c r="D249" i="6"/>
  <c r="E249" i="6" s="1"/>
  <c r="D250" i="6"/>
  <c r="E250" i="6" s="1"/>
  <c r="D251" i="6"/>
  <c r="E251" i="6" s="1"/>
  <c r="D252" i="6"/>
  <c r="E252" i="6" s="1"/>
  <c r="D3" i="6"/>
  <c r="E3" i="6" s="1"/>
  <c r="D4" i="6"/>
  <c r="E4" i="6" s="1"/>
  <c r="D5" i="6"/>
  <c r="E5" i="6" s="1"/>
  <c r="D6" i="6"/>
  <c r="E6" i="6" s="1"/>
  <c r="D7" i="6"/>
  <c r="E7" i="6" s="1"/>
  <c r="D8" i="6"/>
  <c r="E8" i="6" s="1"/>
  <c r="D9" i="6"/>
  <c r="E9" i="6" s="1"/>
  <c r="D10" i="6"/>
  <c r="E10" i="6" s="1"/>
  <c r="D11" i="6"/>
  <c r="E11" i="6" s="1"/>
  <c r="D12" i="6"/>
  <c r="E12" i="6" s="1"/>
  <c r="D13" i="6"/>
  <c r="E13" i="6" s="1"/>
  <c r="D14" i="6"/>
  <c r="E14" i="6" s="1"/>
  <c r="D15" i="6"/>
  <c r="E15" i="6" s="1"/>
  <c r="D16" i="6"/>
  <c r="E16" i="6" s="1"/>
  <c r="D17" i="6"/>
  <c r="E17" i="6" s="1"/>
  <c r="D18" i="6"/>
  <c r="E18" i="6" s="1"/>
  <c r="D19" i="6"/>
  <c r="E19" i="6" s="1"/>
  <c r="D20" i="6"/>
  <c r="E20" i="6" s="1"/>
  <c r="D21" i="6"/>
  <c r="E21" i="6" s="1"/>
  <c r="D22" i="6"/>
  <c r="E22" i="6" s="1"/>
  <c r="D23" i="6"/>
  <c r="E23" i="6" s="1"/>
  <c r="D24" i="6"/>
  <c r="E24" i="6" s="1"/>
  <c r="D25" i="6"/>
  <c r="E25" i="6" s="1"/>
  <c r="F2" i="6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S37" i="13" s="1"/>
  <c r="U37" i="13" s="1"/>
  <c r="P38" i="2"/>
  <c r="P39" i="2"/>
  <c r="P40" i="2"/>
  <c r="P43" i="2"/>
  <c r="P44" i="2"/>
  <c r="W49" i="13" s="1"/>
  <c r="P45" i="2"/>
  <c r="P46" i="2"/>
  <c r="P47" i="2"/>
  <c r="P48" i="2"/>
  <c r="P49" i="2"/>
  <c r="P50" i="2"/>
  <c r="P51" i="2"/>
  <c r="P52" i="2"/>
  <c r="G57" i="13" s="1"/>
  <c r="P53" i="2"/>
  <c r="P54" i="2"/>
  <c r="P55" i="2"/>
  <c r="P56" i="2"/>
  <c r="P57" i="2"/>
  <c r="P58" i="2"/>
  <c r="P59" i="2"/>
  <c r="P60" i="2"/>
  <c r="W65" i="13" s="1"/>
  <c r="P61" i="2"/>
  <c r="P62" i="2"/>
  <c r="P63" i="2"/>
  <c r="P64" i="2"/>
  <c r="P65" i="2"/>
  <c r="P66" i="2"/>
  <c r="P67" i="2"/>
  <c r="P68" i="2"/>
  <c r="G73" i="13" s="1"/>
  <c r="P69" i="2"/>
  <c r="P70" i="2"/>
  <c r="P71" i="2"/>
  <c r="P72" i="2"/>
  <c r="P73" i="2"/>
  <c r="P74" i="2"/>
  <c r="P75" i="2"/>
  <c r="P76" i="2"/>
  <c r="W81" i="13" s="1"/>
  <c r="P77" i="2"/>
  <c r="P78" i="2"/>
  <c r="P79" i="2"/>
  <c r="P80" i="2"/>
  <c r="P81" i="2"/>
  <c r="P82" i="2"/>
  <c r="P83" i="2"/>
  <c r="P84" i="2"/>
  <c r="G89" i="13" s="1"/>
  <c r="P85" i="2"/>
  <c r="P86" i="2"/>
  <c r="P87" i="2"/>
  <c r="P88" i="2"/>
  <c r="P89" i="2"/>
  <c r="P90" i="2"/>
  <c r="P91" i="2"/>
  <c r="P92" i="2"/>
  <c r="W97" i="13" s="1"/>
  <c r="P93" i="2"/>
  <c r="P94" i="2"/>
  <c r="P95" i="2"/>
  <c r="P96" i="2"/>
  <c r="P97" i="2"/>
  <c r="P98" i="2"/>
  <c r="P99" i="2"/>
  <c r="P100" i="2"/>
  <c r="G105" i="13" s="1"/>
  <c r="P101" i="2"/>
  <c r="P102" i="2"/>
  <c r="P103" i="2"/>
  <c r="P106" i="2"/>
  <c r="G116" i="13" s="1"/>
  <c r="P107" i="2"/>
  <c r="P108" i="2"/>
  <c r="P109" i="2"/>
  <c r="P110" i="2"/>
  <c r="G120" i="13" s="1"/>
  <c r="P111" i="2"/>
  <c r="P112" i="2"/>
  <c r="P113" i="2"/>
  <c r="P114" i="2"/>
  <c r="G124" i="13" s="1"/>
  <c r="P115" i="2"/>
  <c r="P116" i="2"/>
  <c r="P117" i="2"/>
  <c r="P118" i="2"/>
  <c r="G128" i="13" s="1"/>
  <c r="P119" i="2"/>
  <c r="P120" i="2"/>
  <c r="P121" i="2"/>
  <c r="P122" i="2"/>
  <c r="G132" i="13" s="1"/>
  <c r="P123" i="2"/>
  <c r="P124" i="2"/>
  <c r="P125" i="2"/>
  <c r="P126" i="2"/>
  <c r="G136" i="13" s="1"/>
  <c r="P127" i="2"/>
  <c r="P128" i="2"/>
  <c r="P129" i="2"/>
  <c r="P130" i="2"/>
  <c r="G140" i="13" s="1"/>
  <c r="P131" i="2"/>
  <c r="P132" i="2"/>
  <c r="P133" i="2"/>
  <c r="P134" i="2"/>
  <c r="G144" i="13" s="1"/>
  <c r="P135" i="2"/>
  <c r="P136" i="2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142" i="6"/>
  <c r="F131" i="6"/>
  <c r="F113" i="6"/>
  <c r="F52" i="6"/>
  <c r="F53" i="6"/>
  <c r="F54" i="6"/>
  <c r="F252" i="6"/>
  <c r="F55" i="6"/>
  <c r="F210" i="6"/>
  <c r="F56" i="6"/>
  <c r="F199" i="6"/>
  <c r="F57" i="6"/>
  <c r="F58" i="6"/>
  <c r="F59" i="6"/>
  <c r="F60" i="6"/>
  <c r="F143" i="6"/>
  <c r="F61" i="6"/>
  <c r="F62" i="6"/>
  <c r="F144" i="6"/>
  <c r="F132" i="6"/>
  <c r="F63" i="6"/>
  <c r="F83" i="6"/>
  <c r="F64" i="6"/>
  <c r="F133" i="6"/>
  <c r="F114" i="6"/>
  <c r="F65" i="6"/>
  <c r="F89" i="6"/>
  <c r="F66" i="6"/>
  <c r="F115" i="6"/>
  <c r="F67" i="6"/>
  <c r="F68" i="6"/>
  <c r="F116" i="6"/>
  <c r="F69" i="6"/>
  <c r="F70" i="6"/>
  <c r="F71" i="6"/>
  <c r="F109" i="6"/>
  <c r="F72" i="6"/>
  <c r="F73" i="6"/>
  <c r="F117" i="6"/>
  <c r="F101" i="6"/>
  <c r="F74" i="6"/>
  <c r="F75" i="6"/>
  <c r="F94" i="6"/>
  <c r="F145" i="6"/>
  <c r="F235" i="6"/>
  <c r="F146" i="6"/>
  <c r="F76" i="6"/>
  <c r="F118" i="6"/>
  <c r="F176" i="6"/>
  <c r="F147" i="6"/>
  <c r="F248" i="6"/>
  <c r="F148" i="6"/>
  <c r="F84" i="6"/>
  <c r="F149" i="6"/>
  <c r="F150" i="6"/>
  <c r="F77" i="6"/>
  <c r="F104" i="6"/>
  <c r="F85" i="6"/>
  <c r="F187" i="6"/>
  <c r="F151" i="6"/>
  <c r="F186" i="6"/>
  <c r="F152" i="6"/>
  <c r="F188" i="6"/>
  <c r="F153" i="6"/>
  <c r="F78" i="6"/>
  <c r="F90" i="6"/>
  <c r="F123" i="6"/>
  <c r="F119" i="6"/>
  <c r="F241" i="6"/>
  <c r="F154" i="6"/>
  <c r="F240" i="6"/>
  <c r="F155" i="6"/>
  <c r="F203" i="6"/>
  <c r="F79" i="6"/>
  <c r="F156" i="6"/>
  <c r="F157" i="6"/>
  <c r="F80" i="6"/>
  <c r="F158" i="6"/>
  <c r="F180" i="6"/>
  <c r="F189" i="6"/>
  <c r="F195" i="6"/>
  <c r="F190" i="6"/>
  <c r="F134" i="6"/>
  <c r="F102" i="6"/>
  <c r="F242" i="6"/>
  <c r="F159" i="6"/>
  <c r="F244" i="6"/>
  <c r="F160" i="6"/>
  <c r="F204" i="6"/>
  <c r="F191" i="6"/>
  <c r="F196" i="6"/>
  <c r="F209" i="6"/>
  <c r="F246" i="6"/>
  <c r="F87" i="6"/>
  <c r="F103" i="6"/>
  <c r="F161" i="6"/>
  <c r="F105" i="6"/>
  <c r="F127" i="6"/>
  <c r="F162" i="6"/>
  <c r="F249" i="6"/>
  <c r="F182" i="6"/>
  <c r="F198" i="6"/>
  <c r="F107" i="6"/>
  <c r="F124" i="6"/>
  <c r="F205" i="6"/>
  <c r="F163" i="6"/>
  <c r="F110" i="6"/>
  <c r="F88" i="6"/>
  <c r="F177" i="6"/>
  <c r="F250" i="6"/>
  <c r="F206" i="6"/>
  <c r="F111" i="6"/>
  <c r="F211" i="6"/>
  <c r="F214" i="6"/>
  <c r="F164" i="6"/>
  <c r="F165" i="6"/>
  <c r="F201" i="6"/>
  <c r="F215" i="6"/>
  <c r="F212" i="6"/>
  <c r="F247" i="6"/>
  <c r="F128" i="6"/>
  <c r="F194" i="6"/>
  <c r="F207" i="6"/>
  <c r="F239" i="6"/>
  <c r="F216" i="6"/>
  <c r="F197" i="6"/>
  <c r="F183" i="6"/>
  <c r="F129" i="6"/>
  <c r="F166" i="6"/>
  <c r="F213" i="6"/>
  <c r="F192" i="6"/>
  <c r="F193" i="6"/>
  <c r="F130" i="6"/>
  <c r="F106" i="6"/>
  <c r="F99" i="6"/>
  <c r="F167" i="6"/>
  <c r="F208" i="6"/>
  <c r="F168" i="6"/>
  <c r="F178" i="6"/>
  <c r="F169" i="6"/>
  <c r="F245" i="6"/>
  <c r="F170" i="6"/>
  <c r="F171" i="6"/>
  <c r="F251" i="6"/>
  <c r="F185" i="6"/>
  <c r="F172" i="6"/>
  <c r="F108" i="6"/>
  <c r="F184" i="6"/>
  <c r="F173" i="6"/>
  <c r="F112" i="6"/>
  <c r="F179" i="6"/>
  <c r="F174" i="6"/>
  <c r="F237" i="6"/>
  <c r="F125" i="6"/>
  <c r="F175" i="6"/>
  <c r="F12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95" i="6"/>
  <c r="F96" i="6"/>
  <c r="F97" i="6"/>
  <c r="F120" i="6"/>
  <c r="F238" i="6"/>
  <c r="F121" i="6"/>
  <c r="F135" i="6"/>
  <c r="F236" i="6"/>
  <c r="F136" i="6"/>
  <c r="F81" i="6"/>
  <c r="F86" i="6"/>
  <c r="F98" i="6"/>
  <c r="F91" i="6"/>
  <c r="F234" i="6"/>
  <c r="F181" i="6"/>
  <c r="F137" i="6"/>
  <c r="F200" i="6"/>
  <c r="F138" i="6"/>
  <c r="F92" i="6"/>
  <c r="F139" i="6"/>
  <c r="F140" i="6"/>
  <c r="F82" i="6"/>
  <c r="F243" i="6"/>
  <c r="F93" i="6"/>
  <c r="F100" i="6"/>
  <c r="F141" i="6"/>
  <c r="F202" i="6"/>
  <c r="F122" i="6"/>
  <c r="Q30" i="13" l="1"/>
  <c r="Q10" i="13"/>
  <c r="Q6" i="13"/>
  <c r="M121" i="13"/>
  <c r="M117" i="13"/>
  <c r="M108" i="13"/>
  <c r="M100" i="13"/>
  <c r="M96" i="13"/>
  <c r="M92" i="13"/>
  <c r="M84" i="13"/>
  <c r="M80" i="13"/>
  <c r="M76" i="13"/>
  <c r="I144" i="13"/>
  <c r="I136" i="13"/>
  <c r="I128" i="13"/>
  <c r="I116" i="13"/>
  <c r="M57" i="13"/>
  <c r="M53" i="13"/>
  <c r="Q79" i="13"/>
  <c r="I140" i="13"/>
  <c r="I132" i="13"/>
  <c r="I124" i="13"/>
  <c r="I120" i="13"/>
  <c r="I105" i="13"/>
  <c r="I89" i="13"/>
  <c r="I73" i="13"/>
  <c r="I57" i="13"/>
  <c r="Q102" i="13"/>
  <c r="Q75" i="13"/>
  <c r="Q73" i="13"/>
  <c r="Q71" i="13"/>
  <c r="Q63" i="13"/>
  <c r="Q59" i="13"/>
  <c r="Q51" i="13"/>
  <c r="M85" i="13"/>
  <c r="M54" i="13"/>
  <c r="M37" i="13"/>
  <c r="Q87" i="13"/>
  <c r="Q70" i="13"/>
  <c r="Q54" i="13"/>
  <c r="Q39" i="13"/>
  <c r="M20" i="13"/>
  <c r="M16" i="13"/>
  <c r="M12" i="13"/>
  <c r="Q134" i="13"/>
  <c r="Q130" i="13"/>
  <c r="Q100" i="13"/>
  <c r="M145" i="13"/>
  <c r="M137" i="13"/>
  <c r="M133" i="13"/>
  <c r="M129" i="13"/>
  <c r="M86" i="13"/>
  <c r="M52" i="13"/>
  <c r="M48" i="13"/>
  <c r="Q123" i="13"/>
  <c r="Q95" i="13"/>
  <c r="Q67" i="13"/>
  <c r="Q38" i="13"/>
  <c r="M89" i="13"/>
  <c r="M25" i="13"/>
  <c r="M9" i="13"/>
  <c r="M5" i="13"/>
  <c r="Y97" i="13"/>
  <c r="Y81" i="13"/>
  <c r="Y65" i="13"/>
  <c r="Y49" i="13"/>
  <c r="Q137" i="13"/>
  <c r="Q131" i="13"/>
  <c r="Q127" i="13"/>
  <c r="Q68" i="13"/>
  <c r="Q57" i="13"/>
  <c r="Q35" i="13"/>
  <c r="Q22" i="13"/>
  <c r="Q16" i="13"/>
  <c r="Q14" i="13"/>
  <c r="M116" i="13"/>
  <c r="M101" i="13"/>
  <c r="M58" i="13"/>
  <c r="M51" i="13"/>
  <c r="M49" i="13"/>
  <c r="M38" i="13"/>
  <c r="M21" i="13"/>
  <c r="M17" i="13"/>
  <c r="M15" i="13"/>
  <c r="M13" i="13"/>
  <c r="Q146" i="13"/>
  <c r="Q140" i="13"/>
  <c r="Q124" i="13"/>
  <c r="Q122" i="13"/>
  <c r="Q120" i="13"/>
  <c r="Q107" i="13"/>
  <c r="Q105" i="13"/>
  <c r="Q103" i="13"/>
  <c r="Q99" i="13"/>
  <c r="Q88" i="13"/>
  <c r="Q86" i="13"/>
  <c r="Q84" i="13"/>
  <c r="Q50" i="13"/>
  <c r="Q26" i="13"/>
  <c r="Q7" i="13"/>
  <c r="M144" i="13"/>
  <c r="M136" i="13"/>
  <c r="M128" i="13"/>
  <c r="M104" i="13"/>
  <c r="M102" i="13"/>
  <c r="M77" i="13"/>
  <c r="M73" i="13"/>
  <c r="M69" i="13"/>
  <c r="M6" i="13"/>
  <c r="S117" i="13"/>
  <c r="U117" i="13" s="1"/>
  <c r="Q138" i="13"/>
  <c r="Q136" i="13"/>
  <c r="Q78" i="13"/>
  <c r="Q56" i="13"/>
  <c r="Q27" i="13"/>
  <c r="Q12" i="13"/>
  <c r="M140" i="13"/>
  <c r="M125" i="13"/>
  <c r="M99" i="13"/>
  <c r="M97" i="13"/>
  <c r="M95" i="13"/>
  <c r="M93" i="13"/>
  <c r="M74" i="13"/>
  <c r="M67" i="13"/>
  <c r="M65" i="13"/>
  <c r="M63" i="13"/>
  <c r="M61" i="13"/>
  <c r="M22" i="13"/>
  <c r="Q143" i="13"/>
  <c r="Q139" i="13"/>
  <c r="Q135" i="13"/>
  <c r="Q119" i="13"/>
  <c r="Q104" i="13"/>
  <c r="Q98" i="13"/>
  <c r="Q91" i="13"/>
  <c r="Q89" i="13"/>
  <c r="Q83" i="13"/>
  <c r="Q72" i="13"/>
  <c r="Q66" i="13"/>
  <c r="Q55" i="13"/>
  <c r="Q52" i="13"/>
  <c r="Q32" i="13"/>
  <c r="Q19" i="13"/>
  <c r="Q15" i="13"/>
  <c r="M132" i="13"/>
  <c r="M70" i="13"/>
  <c r="M68" i="13"/>
  <c r="M64" i="13"/>
  <c r="M60" i="13"/>
  <c r="M33" i="13"/>
  <c r="M31" i="13"/>
  <c r="M29" i="13"/>
  <c r="Q118" i="13"/>
  <c r="Q94" i="13"/>
  <c r="Q82" i="13"/>
  <c r="Q62" i="13"/>
  <c r="Q31" i="13"/>
  <c r="Q28" i="13"/>
  <c r="Q13" i="13"/>
  <c r="M141" i="13"/>
  <c r="M124" i="13"/>
  <c r="M120" i="13"/>
  <c r="M105" i="13"/>
  <c r="M90" i="13"/>
  <c r="M83" i="13"/>
  <c r="M81" i="13"/>
  <c r="M79" i="13"/>
  <c r="M36" i="13"/>
  <c r="M32" i="13"/>
  <c r="M28" i="13"/>
  <c r="G97" i="13"/>
  <c r="I97" i="13" s="1"/>
  <c r="G65" i="13"/>
  <c r="I65" i="13" s="1"/>
  <c r="Q144" i="13"/>
  <c r="Q142" i="13"/>
  <c r="Q132" i="13"/>
  <c r="Q108" i="13"/>
  <c r="Q106" i="13"/>
  <c r="Q96" i="13"/>
  <c r="Q81" i="13"/>
  <c r="Q76" i="13"/>
  <c r="Q74" i="13"/>
  <c r="Q64" i="13"/>
  <c r="Q49" i="13"/>
  <c r="Q40" i="13"/>
  <c r="Q20" i="13"/>
  <c r="Q18" i="13"/>
  <c r="Q8" i="13"/>
  <c r="Q5" i="13"/>
  <c r="M146" i="13"/>
  <c r="M138" i="13"/>
  <c r="M130" i="13"/>
  <c r="M122" i="13"/>
  <c r="M98" i="13"/>
  <c r="M91" i="13"/>
  <c r="M82" i="13"/>
  <c r="M75" i="13"/>
  <c r="M66" i="13"/>
  <c r="M59" i="13"/>
  <c r="M50" i="13"/>
  <c r="M34" i="13"/>
  <c r="M27" i="13"/>
  <c r="M18" i="13"/>
  <c r="M11" i="13"/>
  <c r="G81" i="13"/>
  <c r="I81" i="13" s="1"/>
  <c r="G49" i="13"/>
  <c r="I49" i="13" s="1"/>
  <c r="Q145" i="13"/>
  <c r="Q128" i="13"/>
  <c r="Q126" i="13"/>
  <c r="Q116" i="13"/>
  <c r="Q97" i="13"/>
  <c r="Q92" i="13"/>
  <c r="Q90" i="13"/>
  <c r="Q80" i="13"/>
  <c r="Q65" i="13"/>
  <c r="Q60" i="13"/>
  <c r="Q58" i="13"/>
  <c r="Q48" i="13"/>
  <c r="Q36" i="13"/>
  <c r="Q34" i="13"/>
  <c r="Q24" i="13"/>
  <c r="Q21" i="13"/>
  <c r="M142" i="13"/>
  <c r="M139" i="13"/>
  <c r="M134" i="13"/>
  <c r="M131" i="13"/>
  <c r="M126" i="13"/>
  <c r="M123" i="13"/>
  <c r="M118" i="13"/>
  <c r="M106" i="13"/>
  <c r="M94" i="13"/>
  <c r="M87" i="13"/>
  <c r="M78" i="13"/>
  <c r="M71" i="13"/>
  <c r="M62" i="13"/>
  <c r="M55" i="13"/>
  <c r="M39" i="13"/>
  <c r="M30" i="13"/>
  <c r="M23" i="13"/>
  <c r="M14" i="13"/>
  <c r="M7" i="13"/>
  <c r="S81" i="13"/>
  <c r="U81" i="13" s="1"/>
  <c r="M88" i="13"/>
  <c r="M72" i="13"/>
  <c r="M56" i="13"/>
  <c r="M40" i="13"/>
  <c r="M35" i="13"/>
  <c r="M26" i="13"/>
  <c r="M24" i="13"/>
  <c r="M19" i="13"/>
  <c r="M10" i="13"/>
  <c r="M8" i="13"/>
  <c r="S49" i="13"/>
  <c r="U49" i="13" s="1"/>
  <c r="W143" i="13"/>
  <c r="Y143" i="13" s="1"/>
  <c r="S143" i="13"/>
  <c r="U143" i="13" s="1"/>
  <c r="G143" i="13"/>
  <c r="I143" i="13" s="1"/>
  <c r="W135" i="13"/>
  <c r="Y135" i="13" s="1"/>
  <c r="S135" i="13"/>
  <c r="U135" i="13" s="1"/>
  <c r="G135" i="13"/>
  <c r="I135" i="13" s="1"/>
  <c r="W127" i="13"/>
  <c r="Y127" i="13" s="1"/>
  <c r="S127" i="13"/>
  <c r="U127" i="13" s="1"/>
  <c r="G127" i="13"/>
  <c r="I127" i="13" s="1"/>
  <c r="W108" i="13"/>
  <c r="Y108" i="13" s="1"/>
  <c r="S108" i="13"/>
  <c r="U108" i="13" s="1"/>
  <c r="G108" i="13"/>
  <c r="I108" i="13" s="1"/>
  <c r="W100" i="13"/>
  <c r="Y100" i="13" s="1"/>
  <c r="S100" i="13"/>
  <c r="U100" i="13" s="1"/>
  <c r="G100" i="13"/>
  <c r="I100" i="13" s="1"/>
  <c r="W88" i="13"/>
  <c r="Y88" i="13" s="1"/>
  <c r="S88" i="13"/>
  <c r="U88" i="13" s="1"/>
  <c r="G88" i="13"/>
  <c r="I88" i="13" s="1"/>
  <c r="W76" i="13"/>
  <c r="Y76" i="13" s="1"/>
  <c r="S76" i="13"/>
  <c r="U76" i="13" s="1"/>
  <c r="G76" i="13"/>
  <c r="I76" i="13" s="1"/>
  <c r="W68" i="13"/>
  <c r="Y68" i="13" s="1"/>
  <c r="S68" i="13"/>
  <c r="U68" i="13" s="1"/>
  <c r="G68" i="13"/>
  <c r="I68" i="13" s="1"/>
  <c r="W56" i="13"/>
  <c r="Y56" i="13" s="1"/>
  <c r="S56" i="13"/>
  <c r="U56" i="13" s="1"/>
  <c r="G56" i="13"/>
  <c r="I56" i="13" s="1"/>
  <c r="W33" i="13"/>
  <c r="Y33" i="13" s="1"/>
  <c r="S33" i="13"/>
  <c r="U33" i="13" s="1"/>
  <c r="G33" i="13"/>
  <c r="I33" i="13" s="1"/>
  <c r="W29" i="13"/>
  <c r="Y29" i="13" s="1"/>
  <c r="S29" i="13"/>
  <c r="U29" i="13" s="1"/>
  <c r="G29" i="13"/>
  <c r="I29" i="13" s="1"/>
  <c r="W17" i="13"/>
  <c r="Y17" i="13" s="1"/>
  <c r="S17" i="13"/>
  <c r="U17" i="13" s="1"/>
  <c r="G17" i="13"/>
  <c r="I17" i="13" s="1"/>
  <c r="W9" i="13"/>
  <c r="Y9" i="13" s="1"/>
  <c r="S9" i="13"/>
  <c r="U9" i="13" s="1"/>
  <c r="G9" i="13"/>
  <c r="I9" i="13" s="1"/>
  <c r="W146" i="13"/>
  <c r="Y146" i="13" s="1"/>
  <c r="S146" i="13"/>
  <c r="U146" i="13" s="1"/>
  <c r="G146" i="13"/>
  <c r="I146" i="13" s="1"/>
  <c r="W142" i="13"/>
  <c r="Y142" i="13" s="1"/>
  <c r="S142" i="13"/>
  <c r="U142" i="13" s="1"/>
  <c r="G142" i="13"/>
  <c r="I142" i="13" s="1"/>
  <c r="W138" i="13"/>
  <c r="Y138" i="13" s="1"/>
  <c r="S138" i="13"/>
  <c r="U138" i="13" s="1"/>
  <c r="G138" i="13"/>
  <c r="I138" i="13" s="1"/>
  <c r="W134" i="13"/>
  <c r="Y134" i="13" s="1"/>
  <c r="S134" i="13"/>
  <c r="U134" i="13" s="1"/>
  <c r="G134" i="13"/>
  <c r="I134" i="13" s="1"/>
  <c r="W130" i="13"/>
  <c r="Y130" i="13" s="1"/>
  <c r="S130" i="13"/>
  <c r="U130" i="13" s="1"/>
  <c r="G130" i="13"/>
  <c r="I130" i="13" s="1"/>
  <c r="W126" i="13"/>
  <c r="Y126" i="13" s="1"/>
  <c r="S126" i="13"/>
  <c r="U126" i="13" s="1"/>
  <c r="G126" i="13"/>
  <c r="I126" i="13" s="1"/>
  <c r="W122" i="13"/>
  <c r="Y122" i="13" s="1"/>
  <c r="S122" i="13"/>
  <c r="U122" i="13" s="1"/>
  <c r="G122" i="13"/>
  <c r="I122" i="13" s="1"/>
  <c r="W118" i="13"/>
  <c r="Y118" i="13" s="1"/>
  <c r="S118" i="13"/>
  <c r="U118" i="13" s="1"/>
  <c r="G118" i="13"/>
  <c r="I118" i="13" s="1"/>
  <c r="W107" i="13"/>
  <c r="Y107" i="13" s="1"/>
  <c r="S107" i="13"/>
  <c r="U107" i="13" s="1"/>
  <c r="G107" i="13"/>
  <c r="I107" i="13" s="1"/>
  <c r="W103" i="13"/>
  <c r="Y103" i="13" s="1"/>
  <c r="S103" i="13"/>
  <c r="U103" i="13" s="1"/>
  <c r="G103" i="13"/>
  <c r="I103" i="13" s="1"/>
  <c r="W99" i="13"/>
  <c r="Y99" i="13" s="1"/>
  <c r="S99" i="13"/>
  <c r="U99" i="13" s="1"/>
  <c r="G99" i="13"/>
  <c r="I99" i="13" s="1"/>
  <c r="W95" i="13"/>
  <c r="Y95" i="13" s="1"/>
  <c r="S95" i="13"/>
  <c r="U95" i="13" s="1"/>
  <c r="G95" i="13"/>
  <c r="I95" i="13" s="1"/>
  <c r="W91" i="13"/>
  <c r="Y91" i="13" s="1"/>
  <c r="S91" i="13"/>
  <c r="U91" i="13" s="1"/>
  <c r="G91" i="13"/>
  <c r="I91" i="13" s="1"/>
  <c r="W87" i="13"/>
  <c r="Y87" i="13" s="1"/>
  <c r="S87" i="13"/>
  <c r="U87" i="13" s="1"/>
  <c r="G87" i="13"/>
  <c r="I87" i="13" s="1"/>
  <c r="W83" i="13"/>
  <c r="Y83" i="13" s="1"/>
  <c r="S83" i="13"/>
  <c r="U83" i="13" s="1"/>
  <c r="G83" i="13"/>
  <c r="I83" i="13" s="1"/>
  <c r="W79" i="13"/>
  <c r="Y79" i="13" s="1"/>
  <c r="S79" i="13"/>
  <c r="U79" i="13" s="1"/>
  <c r="G79" i="13"/>
  <c r="I79" i="13" s="1"/>
  <c r="W75" i="13"/>
  <c r="Y75" i="13" s="1"/>
  <c r="S75" i="13"/>
  <c r="U75" i="13" s="1"/>
  <c r="G75" i="13"/>
  <c r="I75" i="13" s="1"/>
  <c r="W71" i="13"/>
  <c r="Y71" i="13" s="1"/>
  <c r="S71" i="13"/>
  <c r="U71" i="13" s="1"/>
  <c r="G71" i="13"/>
  <c r="I71" i="13" s="1"/>
  <c r="W67" i="13"/>
  <c r="Y67" i="13" s="1"/>
  <c r="S67" i="13"/>
  <c r="U67" i="13" s="1"/>
  <c r="G67" i="13"/>
  <c r="I67" i="13" s="1"/>
  <c r="W63" i="13"/>
  <c r="Y63" i="13" s="1"/>
  <c r="S63" i="13"/>
  <c r="U63" i="13" s="1"/>
  <c r="G63" i="13"/>
  <c r="I63" i="13" s="1"/>
  <c r="W59" i="13"/>
  <c r="Y59" i="13" s="1"/>
  <c r="S59" i="13"/>
  <c r="U59" i="13" s="1"/>
  <c r="G59" i="13"/>
  <c r="I59" i="13" s="1"/>
  <c r="W55" i="13"/>
  <c r="Y55" i="13" s="1"/>
  <c r="S55" i="13"/>
  <c r="U55" i="13" s="1"/>
  <c r="G55" i="13"/>
  <c r="I55" i="13" s="1"/>
  <c r="W51" i="13"/>
  <c r="Y51" i="13" s="1"/>
  <c r="S51" i="13"/>
  <c r="U51" i="13" s="1"/>
  <c r="G51" i="13"/>
  <c r="I51" i="13" s="1"/>
  <c r="W40" i="13"/>
  <c r="Y40" i="13" s="1"/>
  <c r="S40" i="13"/>
  <c r="U40" i="13" s="1"/>
  <c r="W36" i="13"/>
  <c r="Y36" i="13" s="1"/>
  <c r="S36" i="13"/>
  <c r="U36" i="13" s="1"/>
  <c r="G36" i="13"/>
  <c r="I36" i="13" s="1"/>
  <c r="S32" i="13"/>
  <c r="U32" i="13" s="1"/>
  <c r="W32" i="13"/>
  <c r="Y32" i="13" s="1"/>
  <c r="S28" i="13"/>
  <c r="U28" i="13" s="1"/>
  <c r="W28" i="13"/>
  <c r="Y28" i="13" s="1"/>
  <c r="G28" i="13"/>
  <c r="I28" i="13" s="1"/>
  <c r="S24" i="13"/>
  <c r="U24" i="13" s="1"/>
  <c r="W24" i="13"/>
  <c r="Y24" i="13" s="1"/>
  <c r="S20" i="13"/>
  <c r="U20" i="13" s="1"/>
  <c r="W20" i="13"/>
  <c r="Y20" i="13" s="1"/>
  <c r="G20" i="13"/>
  <c r="I20" i="13" s="1"/>
  <c r="S16" i="13"/>
  <c r="U16" i="13" s="1"/>
  <c r="W16" i="13"/>
  <c r="Y16" i="13" s="1"/>
  <c r="S12" i="13"/>
  <c r="U12" i="13" s="1"/>
  <c r="W12" i="13"/>
  <c r="Y12" i="13" s="1"/>
  <c r="G12" i="13"/>
  <c r="I12" i="13" s="1"/>
  <c r="S8" i="13"/>
  <c r="U8" i="13" s="1"/>
  <c r="W8" i="13"/>
  <c r="Y8" i="13" s="1"/>
  <c r="G40" i="13"/>
  <c r="I40" i="13" s="1"/>
  <c r="G24" i="13"/>
  <c r="I24" i="13" s="1"/>
  <c r="G8" i="13"/>
  <c r="I8" i="13" s="1"/>
  <c r="W131" i="13"/>
  <c r="Y131" i="13" s="1"/>
  <c r="S131" i="13"/>
  <c r="U131" i="13" s="1"/>
  <c r="G131" i="13"/>
  <c r="I131" i="13" s="1"/>
  <c r="W119" i="13"/>
  <c r="Y119" i="13" s="1"/>
  <c r="S119" i="13"/>
  <c r="U119" i="13" s="1"/>
  <c r="G119" i="13"/>
  <c r="I119" i="13" s="1"/>
  <c r="W96" i="13"/>
  <c r="Y96" i="13" s="1"/>
  <c r="S96" i="13"/>
  <c r="U96" i="13" s="1"/>
  <c r="G96" i="13"/>
  <c r="I96" i="13" s="1"/>
  <c r="W80" i="13"/>
  <c r="Y80" i="13" s="1"/>
  <c r="S80" i="13"/>
  <c r="U80" i="13" s="1"/>
  <c r="G80" i="13"/>
  <c r="I80" i="13" s="1"/>
  <c r="W64" i="13"/>
  <c r="Y64" i="13" s="1"/>
  <c r="S64" i="13"/>
  <c r="U64" i="13" s="1"/>
  <c r="G64" i="13"/>
  <c r="I64" i="13" s="1"/>
  <c r="W48" i="13"/>
  <c r="Y48" i="13" s="1"/>
  <c r="S48" i="13"/>
  <c r="U48" i="13" s="1"/>
  <c r="G48" i="13"/>
  <c r="I48" i="13" s="1"/>
  <c r="W21" i="13"/>
  <c r="Y21" i="13" s="1"/>
  <c r="S21" i="13"/>
  <c r="U21" i="13" s="1"/>
  <c r="G21" i="13"/>
  <c r="I21" i="13" s="1"/>
  <c r="W145" i="13"/>
  <c r="Y145" i="13" s="1"/>
  <c r="S145" i="13"/>
  <c r="U145" i="13" s="1"/>
  <c r="G145" i="13"/>
  <c r="I145" i="13" s="1"/>
  <c r="W141" i="13"/>
  <c r="Y141" i="13" s="1"/>
  <c r="S141" i="13"/>
  <c r="U141" i="13" s="1"/>
  <c r="G141" i="13"/>
  <c r="I141" i="13" s="1"/>
  <c r="W137" i="13"/>
  <c r="Y137" i="13" s="1"/>
  <c r="S137" i="13"/>
  <c r="U137" i="13" s="1"/>
  <c r="G137" i="13"/>
  <c r="I137" i="13" s="1"/>
  <c r="W133" i="13"/>
  <c r="Y133" i="13" s="1"/>
  <c r="S133" i="13"/>
  <c r="U133" i="13" s="1"/>
  <c r="G133" i="13"/>
  <c r="I133" i="13" s="1"/>
  <c r="W129" i="13"/>
  <c r="Y129" i="13" s="1"/>
  <c r="S129" i="13"/>
  <c r="U129" i="13" s="1"/>
  <c r="G129" i="13"/>
  <c r="I129" i="13" s="1"/>
  <c r="W125" i="13"/>
  <c r="Y125" i="13" s="1"/>
  <c r="S125" i="13"/>
  <c r="U125" i="13" s="1"/>
  <c r="G125" i="13"/>
  <c r="I125" i="13" s="1"/>
  <c r="W121" i="13"/>
  <c r="Y121" i="13" s="1"/>
  <c r="S121" i="13"/>
  <c r="U121" i="13" s="1"/>
  <c r="G121" i="13"/>
  <c r="I121" i="13" s="1"/>
  <c r="W117" i="13"/>
  <c r="Y117" i="13" s="1"/>
  <c r="G117" i="13"/>
  <c r="I117" i="13" s="1"/>
  <c r="W106" i="13"/>
  <c r="Y106" i="13" s="1"/>
  <c r="S106" i="13"/>
  <c r="U106" i="13" s="1"/>
  <c r="G106" i="13"/>
  <c r="I106" i="13" s="1"/>
  <c r="W102" i="13"/>
  <c r="Y102" i="13" s="1"/>
  <c r="S102" i="13"/>
  <c r="U102" i="13" s="1"/>
  <c r="G102" i="13"/>
  <c r="I102" i="13" s="1"/>
  <c r="W98" i="13"/>
  <c r="Y98" i="13" s="1"/>
  <c r="S98" i="13"/>
  <c r="U98" i="13" s="1"/>
  <c r="G98" i="13"/>
  <c r="I98" i="13" s="1"/>
  <c r="W94" i="13"/>
  <c r="Y94" i="13" s="1"/>
  <c r="S94" i="13"/>
  <c r="U94" i="13" s="1"/>
  <c r="G94" i="13"/>
  <c r="I94" i="13" s="1"/>
  <c r="W90" i="13"/>
  <c r="Y90" i="13" s="1"/>
  <c r="S90" i="13"/>
  <c r="U90" i="13" s="1"/>
  <c r="G90" i="13"/>
  <c r="I90" i="13" s="1"/>
  <c r="W86" i="13"/>
  <c r="Y86" i="13" s="1"/>
  <c r="S86" i="13"/>
  <c r="U86" i="13" s="1"/>
  <c r="G86" i="13"/>
  <c r="I86" i="13" s="1"/>
  <c r="W82" i="13"/>
  <c r="Y82" i="13" s="1"/>
  <c r="S82" i="13"/>
  <c r="U82" i="13" s="1"/>
  <c r="G82" i="13"/>
  <c r="I82" i="13" s="1"/>
  <c r="W78" i="13"/>
  <c r="Y78" i="13" s="1"/>
  <c r="S78" i="13"/>
  <c r="U78" i="13" s="1"/>
  <c r="G78" i="13"/>
  <c r="I78" i="13" s="1"/>
  <c r="W74" i="13"/>
  <c r="Y74" i="13" s="1"/>
  <c r="S74" i="13"/>
  <c r="U74" i="13" s="1"/>
  <c r="G74" i="13"/>
  <c r="I74" i="13" s="1"/>
  <c r="W70" i="13"/>
  <c r="Y70" i="13" s="1"/>
  <c r="S70" i="13"/>
  <c r="U70" i="13" s="1"/>
  <c r="G70" i="13"/>
  <c r="I70" i="13" s="1"/>
  <c r="W66" i="13"/>
  <c r="Y66" i="13" s="1"/>
  <c r="S66" i="13"/>
  <c r="U66" i="13" s="1"/>
  <c r="G66" i="13"/>
  <c r="I66" i="13" s="1"/>
  <c r="W62" i="13"/>
  <c r="Y62" i="13" s="1"/>
  <c r="S62" i="13"/>
  <c r="U62" i="13" s="1"/>
  <c r="G62" i="13"/>
  <c r="I62" i="13" s="1"/>
  <c r="W58" i="13"/>
  <c r="Y58" i="13" s="1"/>
  <c r="S58" i="13"/>
  <c r="U58" i="13" s="1"/>
  <c r="G58" i="13"/>
  <c r="I58" i="13" s="1"/>
  <c r="W54" i="13"/>
  <c r="Y54" i="13" s="1"/>
  <c r="S54" i="13"/>
  <c r="U54" i="13" s="1"/>
  <c r="G54" i="13"/>
  <c r="I54" i="13" s="1"/>
  <c r="W50" i="13"/>
  <c r="Y50" i="13" s="1"/>
  <c r="S50" i="13"/>
  <c r="U50" i="13" s="1"/>
  <c r="G50" i="13"/>
  <c r="I50" i="13" s="1"/>
  <c r="W39" i="13"/>
  <c r="Y39" i="13" s="1"/>
  <c r="S39" i="13"/>
  <c r="U39" i="13" s="1"/>
  <c r="G39" i="13"/>
  <c r="I39" i="13" s="1"/>
  <c r="S35" i="13"/>
  <c r="U35" i="13" s="1"/>
  <c r="W35" i="13"/>
  <c r="Y35" i="13" s="1"/>
  <c r="G35" i="13"/>
  <c r="I35" i="13" s="1"/>
  <c r="S31" i="13"/>
  <c r="U31" i="13" s="1"/>
  <c r="W31" i="13"/>
  <c r="Y31" i="13" s="1"/>
  <c r="G31" i="13"/>
  <c r="I31" i="13" s="1"/>
  <c r="S27" i="13"/>
  <c r="U27" i="13" s="1"/>
  <c r="W27" i="13"/>
  <c r="Y27" i="13" s="1"/>
  <c r="G27" i="13"/>
  <c r="I27" i="13" s="1"/>
  <c r="S23" i="13"/>
  <c r="U23" i="13" s="1"/>
  <c r="W23" i="13"/>
  <c r="Y23" i="13" s="1"/>
  <c r="G23" i="13"/>
  <c r="I23" i="13" s="1"/>
  <c r="S19" i="13"/>
  <c r="U19" i="13" s="1"/>
  <c r="W19" i="13"/>
  <c r="Y19" i="13" s="1"/>
  <c r="G19" i="13"/>
  <c r="I19" i="13" s="1"/>
  <c r="S15" i="13"/>
  <c r="U15" i="13" s="1"/>
  <c r="W15" i="13"/>
  <c r="Y15" i="13" s="1"/>
  <c r="G15" i="13"/>
  <c r="I15" i="13" s="1"/>
  <c r="S11" i="13"/>
  <c r="U11" i="13" s="1"/>
  <c r="W11" i="13"/>
  <c r="Y11" i="13" s="1"/>
  <c r="G11" i="13"/>
  <c r="I11" i="13" s="1"/>
  <c r="S7" i="13"/>
  <c r="U7" i="13" s="1"/>
  <c r="W7" i="13"/>
  <c r="Y7" i="13" s="1"/>
  <c r="G7" i="13"/>
  <c r="I7" i="13" s="1"/>
  <c r="W139" i="13"/>
  <c r="Y139" i="13" s="1"/>
  <c r="S139" i="13"/>
  <c r="U139" i="13" s="1"/>
  <c r="G139" i="13"/>
  <c r="I139" i="13" s="1"/>
  <c r="W123" i="13"/>
  <c r="Y123" i="13" s="1"/>
  <c r="S123" i="13"/>
  <c r="U123" i="13" s="1"/>
  <c r="G123" i="13"/>
  <c r="I123" i="13" s="1"/>
  <c r="W104" i="13"/>
  <c r="Y104" i="13" s="1"/>
  <c r="S104" i="13"/>
  <c r="U104" i="13" s="1"/>
  <c r="G104" i="13"/>
  <c r="I104" i="13" s="1"/>
  <c r="W92" i="13"/>
  <c r="Y92" i="13" s="1"/>
  <c r="S92" i="13"/>
  <c r="U92" i="13" s="1"/>
  <c r="G92" i="13"/>
  <c r="I92" i="13" s="1"/>
  <c r="W84" i="13"/>
  <c r="Y84" i="13" s="1"/>
  <c r="S84" i="13"/>
  <c r="U84" i="13" s="1"/>
  <c r="G84" i="13"/>
  <c r="I84" i="13" s="1"/>
  <c r="W72" i="13"/>
  <c r="Y72" i="13" s="1"/>
  <c r="S72" i="13"/>
  <c r="U72" i="13" s="1"/>
  <c r="G72" i="13"/>
  <c r="I72" i="13" s="1"/>
  <c r="W60" i="13"/>
  <c r="Y60" i="13" s="1"/>
  <c r="S60" i="13"/>
  <c r="U60" i="13" s="1"/>
  <c r="G60" i="13"/>
  <c r="I60" i="13" s="1"/>
  <c r="W52" i="13"/>
  <c r="Y52" i="13" s="1"/>
  <c r="S52" i="13"/>
  <c r="U52" i="13" s="1"/>
  <c r="G52" i="13"/>
  <c r="I52" i="13" s="1"/>
  <c r="W37" i="13"/>
  <c r="Y37" i="13" s="1"/>
  <c r="G37" i="13"/>
  <c r="I37" i="13" s="1"/>
  <c r="W25" i="13"/>
  <c r="Y25" i="13" s="1"/>
  <c r="S25" i="13"/>
  <c r="U25" i="13" s="1"/>
  <c r="G25" i="13"/>
  <c r="I25" i="13" s="1"/>
  <c r="W13" i="13"/>
  <c r="Y13" i="13" s="1"/>
  <c r="S13" i="13"/>
  <c r="U13" i="13" s="1"/>
  <c r="G13" i="13"/>
  <c r="I13" i="13" s="1"/>
  <c r="W5" i="13"/>
  <c r="Y5" i="13" s="1"/>
  <c r="S5" i="13"/>
  <c r="U5" i="13" s="1"/>
  <c r="G5" i="13"/>
  <c r="I5" i="13" s="1"/>
  <c r="G32" i="13"/>
  <c r="I32" i="13" s="1"/>
  <c r="G16" i="13"/>
  <c r="I16" i="13" s="1"/>
  <c r="W144" i="13"/>
  <c r="Y144" i="13" s="1"/>
  <c r="S144" i="13"/>
  <c r="U144" i="13" s="1"/>
  <c r="W140" i="13"/>
  <c r="Y140" i="13" s="1"/>
  <c r="S140" i="13"/>
  <c r="U140" i="13" s="1"/>
  <c r="W136" i="13"/>
  <c r="Y136" i="13" s="1"/>
  <c r="S136" i="13"/>
  <c r="U136" i="13" s="1"/>
  <c r="W132" i="13"/>
  <c r="Y132" i="13" s="1"/>
  <c r="S132" i="13"/>
  <c r="U132" i="13" s="1"/>
  <c r="W128" i="13"/>
  <c r="Y128" i="13" s="1"/>
  <c r="S128" i="13"/>
  <c r="U128" i="13" s="1"/>
  <c r="W124" i="13"/>
  <c r="Y124" i="13" s="1"/>
  <c r="S124" i="13"/>
  <c r="U124" i="13" s="1"/>
  <c r="W120" i="13"/>
  <c r="Y120" i="13" s="1"/>
  <c r="S120" i="13"/>
  <c r="U120" i="13" s="1"/>
  <c r="W116" i="13"/>
  <c r="Y116" i="13" s="1"/>
  <c r="S116" i="13"/>
  <c r="U116" i="13" s="1"/>
  <c r="W105" i="13"/>
  <c r="Y105" i="13" s="1"/>
  <c r="S105" i="13"/>
  <c r="U105" i="13" s="1"/>
  <c r="W101" i="13"/>
  <c r="Y101" i="13" s="1"/>
  <c r="S101" i="13"/>
  <c r="U101" i="13" s="1"/>
  <c r="W93" i="13"/>
  <c r="Y93" i="13" s="1"/>
  <c r="S93" i="13"/>
  <c r="U93" i="13" s="1"/>
  <c r="W89" i="13"/>
  <c r="Y89" i="13" s="1"/>
  <c r="S89" i="13"/>
  <c r="U89" i="13" s="1"/>
  <c r="W85" i="13"/>
  <c r="Y85" i="13" s="1"/>
  <c r="S85" i="13"/>
  <c r="U85" i="13" s="1"/>
  <c r="W77" i="13"/>
  <c r="Y77" i="13" s="1"/>
  <c r="S77" i="13"/>
  <c r="U77" i="13" s="1"/>
  <c r="W73" i="13"/>
  <c r="Y73" i="13" s="1"/>
  <c r="S73" i="13"/>
  <c r="U73" i="13" s="1"/>
  <c r="W69" i="13"/>
  <c r="Y69" i="13" s="1"/>
  <c r="S69" i="13"/>
  <c r="U69" i="13" s="1"/>
  <c r="W61" i="13"/>
  <c r="Y61" i="13" s="1"/>
  <c r="S61" i="13"/>
  <c r="U61" i="13" s="1"/>
  <c r="W57" i="13"/>
  <c r="Y57" i="13" s="1"/>
  <c r="S57" i="13"/>
  <c r="U57" i="13" s="1"/>
  <c r="W53" i="13"/>
  <c r="Y53" i="13" s="1"/>
  <c r="S53" i="13"/>
  <c r="U53" i="13" s="1"/>
  <c r="W38" i="13"/>
  <c r="Y38" i="13" s="1"/>
  <c r="S38" i="13"/>
  <c r="U38" i="13" s="1"/>
  <c r="G38" i="13"/>
  <c r="I38" i="13" s="1"/>
  <c r="W34" i="13"/>
  <c r="Y34" i="13" s="1"/>
  <c r="S34" i="13"/>
  <c r="U34" i="13" s="1"/>
  <c r="G34" i="13"/>
  <c r="I34" i="13" s="1"/>
  <c r="W30" i="13"/>
  <c r="Y30" i="13" s="1"/>
  <c r="S30" i="13"/>
  <c r="U30" i="13" s="1"/>
  <c r="G30" i="13"/>
  <c r="I30" i="13" s="1"/>
  <c r="W26" i="13"/>
  <c r="Y26" i="13" s="1"/>
  <c r="S26" i="13"/>
  <c r="U26" i="13" s="1"/>
  <c r="G26" i="13"/>
  <c r="I26" i="13" s="1"/>
  <c r="W22" i="13"/>
  <c r="Y22" i="13" s="1"/>
  <c r="S22" i="13"/>
  <c r="U22" i="13" s="1"/>
  <c r="G22" i="13"/>
  <c r="I22" i="13" s="1"/>
  <c r="W18" i="13"/>
  <c r="Y18" i="13" s="1"/>
  <c r="S18" i="13"/>
  <c r="U18" i="13" s="1"/>
  <c r="G18" i="13"/>
  <c r="I18" i="13" s="1"/>
  <c r="W14" i="13"/>
  <c r="Y14" i="13" s="1"/>
  <c r="S14" i="13"/>
  <c r="U14" i="13" s="1"/>
  <c r="G14" i="13"/>
  <c r="I14" i="13" s="1"/>
  <c r="W10" i="13"/>
  <c r="Y10" i="13" s="1"/>
  <c r="S10" i="13"/>
  <c r="U10" i="13" s="1"/>
  <c r="G10" i="13"/>
  <c r="I10" i="13" s="1"/>
  <c r="W6" i="13"/>
  <c r="Y6" i="13" s="1"/>
  <c r="S6" i="13"/>
  <c r="U6" i="13" s="1"/>
  <c r="G6" i="13"/>
  <c r="I6" i="13" s="1"/>
  <c r="Q121" i="13"/>
  <c r="Q29" i="13"/>
  <c r="M103" i="13"/>
  <c r="G101" i="13"/>
  <c r="I101" i="13" s="1"/>
  <c r="G93" i="13"/>
  <c r="I93" i="13" s="1"/>
  <c r="G85" i="13"/>
  <c r="I85" i="13" s="1"/>
  <c r="G77" i="13"/>
  <c r="I77" i="13" s="1"/>
  <c r="G69" i="13"/>
  <c r="I69" i="13" s="1"/>
  <c r="G61" i="13"/>
  <c r="I61" i="13" s="1"/>
  <c r="G53" i="13"/>
  <c r="I53" i="13" s="1"/>
  <c r="Q129" i="13"/>
  <c r="Q37" i="13"/>
  <c r="S97" i="13"/>
  <c r="U97" i="13" s="1"/>
  <c r="S65" i="13"/>
  <c r="U65" i="13" s="1"/>
  <c r="Q101" i="13"/>
  <c r="Q93" i="13"/>
  <c r="Q85" i="13"/>
  <c r="Q77" i="13"/>
  <c r="Q69" i="13"/>
  <c r="Q61" i="13"/>
  <c r="Q53" i="13"/>
  <c r="Q141" i="13"/>
  <c r="Q133" i="13"/>
  <c r="Q125" i="13"/>
  <c r="Q117" i="13"/>
  <c r="Q33" i="13"/>
  <c r="Q25" i="13"/>
  <c r="Q17" i="13"/>
  <c r="Q9" i="13"/>
  <c r="M143" i="13"/>
  <c r="M135" i="13"/>
  <c r="M127" i="13"/>
  <c r="M119" i="13"/>
  <c r="M107" i="13"/>
  <c r="M44" i="13" l="1"/>
  <c r="Q112" i="13"/>
  <c r="Q114" i="13" s="1"/>
  <c r="K15" i="15" s="1"/>
  <c r="I147" i="13"/>
  <c r="M112" i="13"/>
  <c r="M114" i="13" s="1"/>
  <c r="K14" i="15" s="1"/>
  <c r="Q148" i="13"/>
  <c r="M41" i="13"/>
  <c r="M43" i="13"/>
  <c r="M42" i="13"/>
  <c r="Q109" i="13"/>
  <c r="Q149" i="13"/>
  <c r="U44" i="13"/>
  <c r="U43" i="13"/>
  <c r="U42" i="13"/>
  <c r="U154" i="13"/>
  <c r="U41" i="13"/>
  <c r="I111" i="13"/>
  <c r="I110" i="13"/>
  <c r="I112" i="13"/>
  <c r="I109" i="13"/>
  <c r="Q147" i="13"/>
  <c r="Q150" i="13"/>
  <c r="Q151" i="13" s="1"/>
  <c r="I5" i="15" s="1"/>
  <c r="Q110" i="13"/>
  <c r="I44" i="13"/>
  <c r="I45" i="13" s="1"/>
  <c r="I8" i="15" s="1"/>
  <c r="I154" i="13"/>
  <c r="I41" i="13"/>
  <c r="I42" i="13"/>
  <c r="I43" i="13"/>
  <c r="M111" i="13"/>
  <c r="M110" i="13"/>
  <c r="M154" i="13"/>
  <c r="U150" i="13"/>
  <c r="U147" i="13"/>
  <c r="U148" i="13"/>
  <c r="U149" i="13"/>
  <c r="M45" i="13"/>
  <c r="I9" i="15" s="1"/>
  <c r="C7" i="15"/>
  <c r="M46" i="13"/>
  <c r="K9" i="15" s="1"/>
  <c r="Y44" i="13"/>
  <c r="Y41" i="13"/>
  <c r="Y43" i="13"/>
  <c r="Y154" i="13"/>
  <c r="Y42" i="13"/>
  <c r="Q111" i="13"/>
  <c r="U112" i="13"/>
  <c r="U110" i="13"/>
  <c r="U109" i="13"/>
  <c r="U111" i="13"/>
  <c r="M113" i="13"/>
  <c r="I14" i="15" s="1"/>
  <c r="M150" i="13"/>
  <c r="M149" i="13"/>
  <c r="M148" i="13"/>
  <c r="M147" i="13"/>
  <c r="Q41" i="13"/>
  <c r="Q43" i="13"/>
  <c r="Q154" i="13"/>
  <c r="Q42" i="13"/>
  <c r="Q44" i="13"/>
  <c r="Y150" i="13"/>
  <c r="Y147" i="13"/>
  <c r="Y149" i="13"/>
  <c r="Y148" i="13"/>
  <c r="M109" i="13"/>
  <c r="I148" i="13"/>
  <c r="I149" i="13"/>
  <c r="Y112" i="13"/>
  <c r="Y111" i="13"/>
  <c r="Y110" i="13"/>
  <c r="Y109" i="13"/>
  <c r="I150" i="13"/>
  <c r="C8" i="15" l="1"/>
  <c r="Q113" i="13"/>
  <c r="I15" i="15" s="1"/>
  <c r="C12" i="15"/>
  <c r="Q156" i="13"/>
  <c r="Q155" i="13"/>
  <c r="I156" i="13"/>
  <c r="E8" i="15"/>
  <c r="I151" i="13"/>
  <c r="I3" i="15" s="1"/>
  <c r="I152" i="13"/>
  <c r="K3" i="15" s="1"/>
  <c r="C5" i="15"/>
  <c r="M151" i="13"/>
  <c r="M152" i="13"/>
  <c r="K4" i="15" s="1"/>
  <c r="C9" i="15"/>
  <c r="Q152" i="13"/>
  <c r="K5" i="15" s="1"/>
  <c r="C13" i="15"/>
  <c r="I155" i="13"/>
  <c r="U155" i="13"/>
  <c r="Y113" i="13"/>
  <c r="I17" i="15" s="1"/>
  <c r="Y114" i="13"/>
  <c r="K17" i="15" s="1"/>
  <c r="C20" i="15"/>
  <c r="Y157" i="13"/>
  <c r="Y45" i="13"/>
  <c r="I12" i="15" s="1"/>
  <c r="Y46" i="13"/>
  <c r="K12" i="15" s="1"/>
  <c r="C19" i="15"/>
  <c r="M157" i="13"/>
  <c r="U151" i="13"/>
  <c r="I6" i="15" s="1"/>
  <c r="U152" i="13"/>
  <c r="K6" i="15" s="1"/>
  <c r="C17" i="15"/>
  <c r="I46" i="13"/>
  <c r="K8" i="15" s="1"/>
  <c r="I157" i="13"/>
  <c r="C3" i="15"/>
  <c r="U114" i="13"/>
  <c r="K16" i="15" s="1"/>
  <c r="U113" i="13"/>
  <c r="I16" i="15" s="1"/>
  <c r="C16" i="15"/>
  <c r="Y156" i="13"/>
  <c r="M155" i="13"/>
  <c r="U156" i="13"/>
  <c r="Q157" i="13"/>
  <c r="C11" i="15"/>
  <c r="Q46" i="13"/>
  <c r="K10" i="15" s="1"/>
  <c r="Q45" i="13"/>
  <c r="Y155" i="13"/>
  <c r="I113" i="13"/>
  <c r="I13" i="15" s="1"/>
  <c r="I114" i="13"/>
  <c r="K13" i="15" s="1"/>
  <c r="L14" i="15" s="1"/>
  <c r="C4" i="15"/>
  <c r="Y151" i="13"/>
  <c r="I7" i="15" s="1"/>
  <c r="Y152" i="13"/>
  <c r="K7" i="15" s="1"/>
  <c r="C21" i="15"/>
  <c r="E7" i="15"/>
  <c r="M156" i="13"/>
  <c r="U157" i="13"/>
  <c r="U45" i="13"/>
  <c r="I11" i="15" s="1"/>
  <c r="U46" i="13"/>
  <c r="K11" i="15" s="1"/>
  <c r="C15" i="15"/>
  <c r="J15" i="15" l="1"/>
  <c r="L16" i="15"/>
  <c r="L17" i="15"/>
  <c r="I4" i="15"/>
  <c r="J3" i="15" s="1"/>
  <c r="E9" i="15"/>
  <c r="L15" i="15"/>
  <c r="E12" i="15"/>
  <c r="L13" i="15"/>
  <c r="L5" i="15"/>
  <c r="L6" i="15"/>
  <c r="L7" i="15"/>
  <c r="L4" i="15"/>
  <c r="L3" i="15"/>
  <c r="L11" i="15"/>
  <c r="L12" i="15"/>
  <c r="L9" i="15"/>
  <c r="L8" i="15"/>
  <c r="L10" i="15"/>
  <c r="J14" i="15"/>
  <c r="M14" i="15" s="1"/>
  <c r="E11" i="15"/>
  <c r="I10" i="15"/>
  <c r="J16" i="15"/>
  <c r="M16" i="15" s="1"/>
  <c r="J17" i="15"/>
  <c r="J13" i="15"/>
  <c r="M13" i="15" s="1"/>
  <c r="E3" i="15"/>
  <c r="E16" i="15"/>
  <c r="U158" i="13"/>
  <c r="I21" i="15" s="1"/>
  <c r="U159" i="13"/>
  <c r="K21" i="15" s="1"/>
  <c r="C18" i="15"/>
  <c r="E4" i="15"/>
  <c r="E17" i="15"/>
  <c r="E15" i="15"/>
  <c r="I159" i="13"/>
  <c r="K18" i="15" s="1"/>
  <c r="C6" i="15"/>
  <c r="I158" i="13"/>
  <c r="I18" i="15" s="1"/>
  <c r="E19" i="15"/>
  <c r="E20" i="15"/>
  <c r="E21" i="15"/>
  <c r="Q159" i="13"/>
  <c r="K20" i="15" s="1"/>
  <c r="Q158" i="13"/>
  <c r="C14" i="15"/>
  <c r="M158" i="13"/>
  <c r="M159" i="13"/>
  <c r="K19" i="15" s="1"/>
  <c r="C10" i="15"/>
  <c r="Y159" i="13"/>
  <c r="K22" i="15" s="1"/>
  <c r="Y158" i="13"/>
  <c r="C22" i="15"/>
  <c r="E13" i="15"/>
  <c r="E5" i="15"/>
  <c r="J4" i="15" l="1"/>
  <c r="M4" i="15" s="1"/>
  <c r="J7" i="15"/>
  <c r="M7" i="15" s="1"/>
  <c r="M15" i="15"/>
  <c r="J5" i="15"/>
  <c r="M5" i="15" s="1"/>
  <c r="M17" i="15"/>
  <c r="M3" i="15"/>
  <c r="E22" i="15"/>
  <c r="I22" i="15"/>
  <c r="I19" i="15"/>
  <c r="E10" i="15"/>
  <c r="J6" i="15"/>
  <c r="M6" i="15" s="1"/>
  <c r="L19" i="15"/>
  <c r="L18" i="15"/>
  <c r="L21" i="15"/>
  <c r="L20" i="15"/>
  <c r="L22" i="15"/>
  <c r="J8" i="15"/>
  <c r="M8" i="15" s="1"/>
  <c r="J10" i="15"/>
  <c r="M10" i="15" s="1"/>
  <c r="J9" i="15"/>
  <c r="M9" i="15" s="1"/>
  <c r="J11" i="15"/>
  <c r="M11" i="15" s="1"/>
  <c r="J12" i="15"/>
  <c r="M12" i="15" s="1"/>
  <c r="E14" i="15"/>
  <c r="I20" i="15"/>
  <c r="E6" i="15"/>
  <c r="E18" i="15"/>
  <c r="N13" i="15" l="1"/>
  <c r="F4" i="15" s="1"/>
  <c r="N14" i="15"/>
  <c r="F8" i="15" s="1"/>
  <c r="N15" i="15"/>
  <c r="F12" i="15" s="1"/>
  <c r="N17" i="15"/>
  <c r="F20" i="15" s="1"/>
  <c r="N16" i="15"/>
  <c r="F16" i="15" s="1"/>
  <c r="J20" i="15"/>
  <c r="M20" i="15" s="1"/>
  <c r="N7" i="15"/>
  <c r="F21" i="15" s="1"/>
  <c r="J21" i="15"/>
  <c r="M21" i="15" s="1"/>
  <c r="J19" i="15"/>
  <c r="M19" i="15" s="1"/>
  <c r="N3" i="15"/>
  <c r="F5" i="15" s="1"/>
  <c r="N4" i="15"/>
  <c r="F9" i="15" s="1"/>
  <c r="N5" i="15"/>
  <c r="F13" i="15" s="1"/>
  <c r="N6" i="15"/>
  <c r="F17" i="15" s="1"/>
  <c r="N11" i="15"/>
  <c r="F15" i="15" s="1"/>
  <c r="J18" i="15"/>
  <c r="M18" i="15" s="1"/>
  <c r="N9" i="15"/>
  <c r="F7" i="15" s="1"/>
  <c r="N10" i="15"/>
  <c r="F11" i="15" s="1"/>
  <c r="J22" i="15"/>
  <c r="M22" i="15" s="1"/>
  <c r="N12" i="15"/>
  <c r="F19" i="15" s="1"/>
  <c r="N8" i="15"/>
  <c r="F3" i="15" s="1"/>
  <c r="N18" i="15" l="1"/>
  <c r="F6" i="15" s="1"/>
  <c r="N22" i="15"/>
  <c r="F22" i="15" s="1"/>
  <c r="N21" i="15"/>
  <c r="F18" i="15" s="1"/>
  <c r="N20" i="15"/>
  <c r="F14" i="15" s="1"/>
  <c r="N19" i="15"/>
  <c r="F10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toxicologie</author>
  </authors>
  <commentList>
    <comment ref="T56" authorId="0" shapeId="0" xr:uid="{EBED2DF6-FC6A-6348-B93E-9110A893E6A4}">
      <text>
        <r>
          <rPr>
            <b/>
            <sz val="9"/>
            <color indexed="81"/>
            <rFont val="Tahoma"/>
            <family val="2"/>
          </rPr>
          <t>toxicologie:</t>
        </r>
        <r>
          <rPr>
            <sz val="9"/>
            <color indexed="81"/>
            <rFont val="Tahoma"/>
            <family val="2"/>
          </rPr>
          <t xml:space="preserve">
Deze waarde anders als in originele zinc file (27): zie referentie</t>
        </r>
      </text>
    </comment>
  </commentList>
</comments>
</file>

<file path=xl/sharedStrings.xml><?xml version="1.0" encoding="utf-8"?>
<sst xmlns="http://schemas.openxmlformats.org/spreadsheetml/2006/main" count="3552" uniqueCount="390">
  <si>
    <t>Species</t>
  </si>
  <si>
    <t>Endpoint</t>
  </si>
  <si>
    <t>NOEC</t>
  </si>
  <si>
    <t>EC10</t>
  </si>
  <si>
    <t>pH</t>
  </si>
  <si>
    <t>Hardness (mg/L)</t>
  </si>
  <si>
    <t>DOC</t>
  </si>
  <si>
    <t>Ca2+</t>
  </si>
  <si>
    <t>Mg2+</t>
  </si>
  <si>
    <t>Na+</t>
  </si>
  <si>
    <t>K+</t>
  </si>
  <si>
    <t>SO42-</t>
  </si>
  <si>
    <t>Cl-</t>
  </si>
  <si>
    <t>(mg metal/L)</t>
  </si>
  <si>
    <t>(mg/L)</t>
  </si>
  <si>
    <t>Fish</t>
  </si>
  <si>
    <t>Danio rerio</t>
  </si>
  <si>
    <t>Hatching</t>
  </si>
  <si>
    <t>/</t>
  </si>
  <si>
    <t>Jordanella floridae</t>
  </si>
  <si>
    <t>Growth</t>
  </si>
  <si>
    <t>Phoxinus phoxinus</t>
  </si>
  <si>
    <t>Survival, Growth</t>
  </si>
  <si>
    <t>Pimephales promelas</t>
  </si>
  <si>
    <t>Reproduction</t>
  </si>
  <si>
    <t>Salmonidae</t>
  </si>
  <si>
    <t>Oncorhynchus mykiss</t>
  </si>
  <si>
    <t>Survival</t>
  </si>
  <si>
    <t>Salvelinus fontinalis</t>
  </si>
  <si>
    <t>Salmo trutta</t>
  </si>
  <si>
    <t>Cottoidea</t>
  </si>
  <si>
    <t>Cottus bairdi</t>
  </si>
  <si>
    <t>Invertebrate</t>
  </si>
  <si>
    <t>Bivalvia</t>
  </si>
  <si>
    <t>Dreissena polymorpha</t>
  </si>
  <si>
    <t>Gastropoda</t>
  </si>
  <si>
    <t>Potamopyrgus jenkinsi</t>
  </si>
  <si>
    <t>Ceriodaphnia dubia</t>
  </si>
  <si>
    <t>Daphnia magna</t>
  </si>
  <si>
    <t>Daphnia longispina</t>
  </si>
  <si>
    <t>Hyalella azteca</t>
  </si>
  <si>
    <t>Reproduction, Survival</t>
  </si>
  <si>
    <t>Insecta</t>
  </si>
  <si>
    <t>Ephoron virgo</t>
  </si>
  <si>
    <t>Rotifera</t>
  </si>
  <si>
    <t>Anuraeopsis fissa</t>
  </si>
  <si>
    <t>Population Growth Rate</t>
  </si>
  <si>
    <t>Brachionus rubens</t>
  </si>
  <si>
    <t>Lymnaea stagnalis</t>
  </si>
  <si>
    <t>Growth Rate</t>
  </si>
  <si>
    <t>Lampsilis siliquoidea</t>
  </si>
  <si>
    <t>Survivial</t>
  </si>
  <si>
    <t>Brachionus calyciflorus</t>
  </si>
  <si>
    <t>Algae</t>
  </si>
  <si>
    <t>Pseudokirchneriella subcapitata</t>
  </si>
  <si>
    <t>Trebouxiophyceae</t>
  </si>
  <si>
    <t>Chlorella sp.</t>
  </si>
  <si>
    <t>BLM</t>
  </si>
  <si>
    <t>Hardness</t>
  </si>
  <si>
    <t>Ceriodaphnia dubia (cladoceran)</t>
  </si>
  <si>
    <t>Daphnia magna (cladoceran)</t>
  </si>
  <si>
    <t>Daphnia pulex (cladoceran)</t>
  </si>
  <si>
    <t>Oncorhynchus mykiss (rainbow trout)</t>
  </si>
  <si>
    <t>Brachionus calyciflorus (rotifer)</t>
  </si>
  <si>
    <t>Lymnaea stagnalis (snail)</t>
  </si>
  <si>
    <t>WQ</t>
  </si>
  <si>
    <t>y</t>
  </si>
  <si>
    <t>Reported EC50 (µg/L)</t>
  </si>
  <si>
    <t>Lepomis macrochirus (bluegill)</t>
  </si>
  <si>
    <t>Physa heterostropha (snail)</t>
  </si>
  <si>
    <t>Pimephales promelas (fathead minnow)</t>
  </si>
  <si>
    <t>Poecilla reticulata (guppy)</t>
  </si>
  <si>
    <t>Salvelinus fontinalis (brook trout)</t>
  </si>
  <si>
    <t>*RFx</t>
  </si>
  <si>
    <t>*Rfy</t>
  </si>
  <si>
    <t>Overall Sum</t>
  </si>
  <si>
    <t>Fish Sum</t>
  </si>
  <si>
    <t>Test Duration (days)</t>
  </si>
  <si>
    <t>Rank</t>
  </si>
  <si>
    <t>=EXP(1.2549*LN(H)+0.4026)*0.986</t>
  </si>
  <si>
    <t>=EXP(0.5603*LN(H)+0.1461)*0.986</t>
  </si>
  <si>
    <t>=EXP(0.8755*LN(H)+0.1152)*0.986</t>
  </si>
  <si>
    <t>=EXP(0.9296*LN(H)+0.259)*0.986</t>
  </si>
  <si>
    <t>=EXP(0.831*LN(H)+0.2217)*0.986</t>
  </si>
  <si>
    <t>=EXP(1.6441*LN(H)+0.4432)*0.986</t>
  </si>
  <si>
    <t>=EXP(0.8179*LN(H)+0.1243)*0.986</t>
  </si>
  <si>
    <t>Test ID</t>
  </si>
  <si>
    <t>Temp
(°C)</t>
  </si>
  <si>
    <t xml:space="preserve">pH </t>
  </si>
  <si>
    <t>DOC (mg/L)</t>
  </si>
  <si>
    <t>Ca
(mg/L)</t>
  </si>
  <si>
    <t>Mg
(mg/L)</t>
  </si>
  <si>
    <t>Na
(mg/L)</t>
  </si>
  <si>
    <t>K
(mg/L)</t>
  </si>
  <si>
    <t>SO4
(mg/L)</t>
  </si>
  <si>
    <t>Cl
(mg/L)</t>
  </si>
  <si>
    <t>Alkalinity
(mg/L)</t>
  </si>
  <si>
    <t>-</t>
  </si>
  <si>
    <t>Acute</t>
  </si>
  <si>
    <t>Chronic</t>
  </si>
  <si>
    <t>P/O Residual Factor</t>
  </si>
  <si>
    <t>CDF</t>
  </si>
  <si>
    <t>Tox Info (SSD)</t>
  </si>
  <si>
    <t>Water Quality Info (SSD)</t>
  </si>
  <si>
    <t>Water Quality Boundaries</t>
  </si>
  <si>
    <t>Maximum</t>
  </si>
  <si>
    <t>Minimum</t>
  </si>
  <si>
    <t>MLR1</t>
  </si>
  <si>
    <t>MLR2</t>
  </si>
  <si>
    <t>MLR3</t>
  </si>
  <si>
    <t>Model</t>
  </si>
  <si>
    <t>Model (USEPA 1987)</t>
  </si>
  <si>
    <t>Lepomis macrochirus</t>
  </si>
  <si>
    <t>Physa heterostropha</t>
  </si>
  <si>
    <t>Daphnia pulex</t>
  </si>
  <si>
    <t>Genus</t>
  </si>
  <si>
    <t>Family</t>
  </si>
  <si>
    <t>Order</t>
  </si>
  <si>
    <t>Class</t>
  </si>
  <si>
    <t>Phylum</t>
  </si>
  <si>
    <t>Kingdom</t>
  </si>
  <si>
    <t>Teleostei </t>
  </si>
  <si>
    <t>Danio </t>
  </si>
  <si>
    <t>Jordanella </t>
  </si>
  <si>
    <t>Phoxinus </t>
  </si>
  <si>
    <t>Cyprinidae</t>
  </si>
  <si>
    <t>Cyprinodontidae</t>
  </si>
  <si>
    <t>Cypriniformes</t>
  </si>
  <si>
    <t>Cyprinodontiformes</t>
  </si>
  <si>
    <t>Chordata</t>
  </si>
  <si>
    <t>Animalia</t>
  </si>
  <si>
    <t>Oncorhynchus </t>
  </si>
  <si>
    <t>Pimephales</t>
  </si>
  <si>
    <t>Salmoniformes </t>
  </si>
  <si>
    <t>Salvelinus</t>
  </si>
  <si>
    <t>Salmo</t>
  </si>
  <si>
    <t>Cottus</t>
  </si>
  <si>
    <t>Scorpaeniformes</t>
  </si>
  <si>
    <t>Lepomis</t>
  </si>
  <si>
    <t>Centrarchidae</t>
  </si>
  <si>
    <t>Perciformes</t>
  </si>
  <si>
    <t>Dreissena</t>
  </si>
  <si>
    <t>Dreissenidae</t>
  </si>
  <si>
    <t>Veneroida</t>
  </si>
  <si>
    <t>Mollusc</t>
  </si>
  <si>
    <t>Potamopygus</t>
  </si>
  <si>
    <t>Hydrobiidae</t>
  </si>
  <si>
    <t>Neotaenioglossa</t>
  </si>
  <si>
    <t>Ceriodaphnia</t>
  </si>
  <si>
    <t>Daphnidae</t>
  </si>
  <si>
    <t>Diplostraca</t>
  </si>
  <si>
    <t>Branchiopoda</t>
  </si>
  <si>
    <t>Arthropoda</t>
  </si>
  <si>
    <t>Daphnia</t>
  </si>
  <si>
    <t>Hyalella</t>
  </si>
  <si>
    <t>Hyalellidae</t>
  </si>
  <si>
    <t>Amphipoda</t>
  </si>
  <si>
    <t>Malacostraca</t>
  </si>
  <si>
    <t>Ephoron</t>
  </si>
  <si>
    <t>Polymitarcyidae</t>
  </si>
  <si>
    <t>Ephemeroptera</t>
  </si>
  <si>
    <t>Anuraeopsis</t>
  </si>
  <si>
    <t>Brachionidae</t>
  </si>
  <si>
    <t>Ploima</t>
  </si>
  <si>
    <t>Monogonta</t>
  </si>
  <si>
    <t>Brachionus</t>
  </si>
  <si>
    <t>Lymnaea</t>
  </si>
  <si>
    <t>Lymnaeidae</t>
  </si>
  <si>
    <t>Basommatophora</t>
  </si>
  <si>
    <t>Lampilis</t>
  </si>
  <si>
    <t>Unionidae</t>
  </si>
  <si>
    <t>Unionoida</t>
  </si>
  <si>
    <t>Psuedokirchneriella</t>
  </si>
  <si>
    <t>Seleastraceae</t>
  </si>
  <si>
    <t>Sphaeropleales</t>
  </si>
  <si>
    <t>Chlorophyyceae</t>
  </si>
  <si>
    <t>Chlorophyta</t>
  </si>
  <si>
    <t>Plantae</t>
  </si>
  <si>
    <t>Chloella</t>
  </si>
  <si>
    <t>Oocystaceae</t>
  </si>
  <si>
    <t>Chlorellales</t>
  </si>
  <si>
    <t>Physa</t>
  </si>
  <si>
    <t>Physidae</t>
  </si>
  <si>
    <t>Poecilla</t>
  </si>
  <si>
    <t>Poecillia reticulata</t>
  </si>
  <si>
    <t>Poecillidae</t>
  </si>
  <si>
    <t>Species Info (SSD)</t>
  </si>
  <si>
    <t>Legend</t>
  </si>
  <si>
    <t>Test #</t>
  </si>
  <si>
    <t xml:space="preserve">All parameters in = </t>
  </si>
  <si>
    <r>
      <rPr>
        <u/>
        <sz val="12"/>
        <color theme="1"/>
        <rFont val="Calibri (Body)"/>
      </rPr>
      <t>&gt;</t>
    </r>
    <r>
      <rPr>
        <sz val="12"/>
        <color theme="1"/>
        <rFont val="Calibri"/>
        <family val="2"/>
        <scheme val="minor"/>
      </rPr>
      <t xml:space="preserve">1 parameter out = </t>
    </r>
  </si>
  <si>
    <t>WQ = Water quality in SSD (by test), realtive to Model</t>
  </si>
  <si>
    <t>Taxa = Taxonomy in SSD (by species), relative to Model</t>
  </si>
  <si>
    <t xml:space="preserve">Species = </t>
  </si>
  <si>
    <t xml:space="preserve">Genus = </t>
  </si>
  <si>
    <t xml:space="preserve">Family = </t>
  </si>
  <si>
    <t xml:space="preserve">Kingdom = </t>
  </si>
  <si>
    <t xml:space="preserve">Outside Kindom = </t>
  </si>
  <si>
    <t xml:space="preserve">Phylum = </t>
  </si>
  <si>
    <t xml:space="preserve">Order = </t>
  </si>
  <si>
    <t xml:space="preserve">Class = </t>
  </si>
  <si>
    <t>Score = Sum of WQ and Taxa scores</t>
  </si>
  <si>
    <t>Taxa</t>
  </si>
  <si>
    <t>Score</t>
  </si>
  <si>
    <t>Genera</t>
  </si>
  <si>
    <t>Families</t>
  </si>
  <si>
    <t>Orders</t>
  </si>
  <si>
    <t>Classes</t>
  </si>
  <si>
    <t>Phyla</t>
  </si>
  <si>
    <t>Poor</t>
  </si>
  <si>
    <t>Fair</t>
  </si>
  <si>
    <t>Good</t>
  </si>
  <si>
    <t>N</t>
  </si>
  <si>
    <t>RF (x,2.0) =</t>
  </si>
  <si>
    <t>RF (y,0.84) =</t>
  </si>
  <si>
    <t>Predicted EC50 (µg/L)</t>
  </si>
  <si>
    <t>=0.391*ln(DOC) + 4.643</t>
  </si>
  <si>
    <t>=-1.122*pH + 11.8</t>
  </si>
  <si>
    <t>=0.947*ln(H) + 0.398*ln(DOC) - 0.815*pH + 7.3</t>
  </si>
  <si>
    <t>Species CDF</t>
  </si>
  <si>
    <t>Species Rank</t>
  </si>
  <si>
    <t>Overall CDF</t>
  </si>
  <si>
    <t>Overall Rank</t>
  </si>
  <si>
    <t>RFx,2.0</t>
  </si>
  <si>
    <t>RFy,0.84</t>
  </si>
  <si>
    <t>Pooled</t>
  </si>
  <si>
    <t>Algae (MLR1)</t>
  </si>
  <si>
    <t>D. magna (MLR2)</t>
  </si>
  <si>
    <t>Rainbow Trout (MLR3)</t>
  </si>
  <si>
    <t>Taxonomy Represented</t>
  </si>
  <si>
    <r>
      <t xml:space="preserve">Scoring </t>
    </r>
    <r>
      <rPr>
        <vertAlign val="superscript"/>
        <sz val="11"/>
        <color rgb="FF000000"/>
        <rFont val="Calibri"/>
        <family val="2"/>
        <scheme val="minor"/>
      </rPr>
      <t>a</t>
    </r>
  </si>
  <si>
    <r>
      <t xml:space="preserve">Relative Scores </t>
    </r>
    <r>
      <rPr>
        <vertAlign val="superscript"/>
        <sz val="11"/>
        <color rgb="FF000000"/>
        <rFont val="Calibri"/>
        <family val="2"/>
        <scheme val="minor"/>
      </rPr>
      <t>c</t>
    </r>
  </si>
  <si>
    <t>BLMs</t>
  </si>
  <si>
    <t>Type of Model</t>
  </si>
  <si>
    <r>
      <t xml:space="preserve">Model Performance </t>
    </r>
    <r>
      <rPr>
        <vertAlign val="superscript"/>
        <sz val="11"/>
        <color rgb="FF000000"/>
        <rFont val="Calibri (Body)"/>
      </rPr>
      <t>b</t>
    </r>
  </si>
  <si>
    <t>Model Rank</t>
  </si>
  <si>
    <t>x Score</t>
  </si>
  <si>
    <t>y Score</t>
  </si>
  <si>
    <t>Hardness (algae)</t>
  </si>
  <si>
    <t>MLR1 (algae)</t>
  </si>
  <si>
    <t>MLR2 (algae)</t>
  </si>
  <si>
    <t>MLR3 (algae)</t>
  </si>
  <si>
    <t>BLM (algae)</t>
  </si>
  <si>
    <t>Hardness (fish)</t>
  </si>
  <si>
    <t>MLR1 (fish)</t>
  </si>
  <si>
    <t>MLR2 (fish)</t>
  </si>
  <si>
    <t>MLR3 (fish)</t>
  </si>
  <si>
    <t>BLM  (fish)</t>
  </si>
  <si>
    <t>Hardness (invert)</t>
  </si>
  <si>
    <t>MLR1 (invert)</t>
  </si>
  <si>
    <t>MLR2 (invert)</t>
  </si>
  <si>
    <t>MLR3 (invert)</t>
  </si>
  <si>
    <t>BLM (invert)</t>
  </si>
  <si>
    <t>Hardness (overall)</t>
  </si>
  <si>
    <t>MLR1 (overall)</t>
  </si>
  <si>
    <t>MLR2 (overall)</t>
  </si>
  <si>
    <t>MLR3 (overall)</t>
  </si>
  <si>
    <t>BLM (overall)</t>
  </si>
  <si>
    <t>x Rank</t>
  </si>
  <si>
    <t>y Rank</t>
  </si>
  <si>
    <t>Rank Sum</t>
  </si>
  <si>
    <t>Voyon48h</t>
  </si>
  <si>
    <t>Brisy48h</t>
  </si>
  <si>
    <t>Brisy72h</t>
  </si>
  <si>
    <t>Bihain48h</t>
  </si>
  <si>
    <t>Voyon72h</t>
  </si>
  <si>
    <t>Loire48h</t>
  </si>
  <si>
    <t>Loire72h</t>
  </si>
  <si>
    <t>Loire8..6-48h</t>
  </si>
  <si>
    <t>Loire8..6-72h</t>
  </si>
  <si>
    <t>Bihain72h</t>
  </si>
  <si>
    <t>Madon48h</t>
  </si>
  <si>
    <t>Taurion48h</t>
  </si>
  <si>
    <t>Maulde48h</t>
  </si>
  <si>
    <t>Moselotte48h</t>
  </si>
  <si>
    <t>Taurion72h</t>
  </si>
  <si>
    <t>Maulde72h</t>
  </si>
  <si>
    <t>ankeveen</t>
  </si>
  <si>
    <t xml:space="preserve">bihain </t>
  </si>
  <si>
    <t>Brisy</t>
  </si>
  <si>
    <t>markermeer</t>
  </si>
  <si>
    <t>ossenkolk</t>
  </si>
  <si>
    <t>voyon</t>
  </si>
  <si>
    <t>bihain nat</t>
  </si>
  <si>
    <t>brisy nat</t>
  </si>
  <si>
    <t>Observed EC10/20/50 Diss Zn (µg/L)</t>
  </si>
  <si>
    <t>Reported EC10 (µg/L)</t>
  </si>
  <si>
    <t>Predicted EC10 (µg/L)</t>
  </si>
  <si>
    <t>Predicted EC20 (µg/L)</t>
  </si>
  <si>
    <t>Rainbow Trout (acute)</t>
  </si>
  <si>
    <t>Rotifer (chronic)</t>
  </si>
  <si>
    <t>Algae (chronic)</t>
  </si>
  <si>
    <r>
      <rPr>
        <i/>
        <sz val="12"/>
        <color theme="1"/>
        <rFont val="Calibri"/>
        <family val="2"/>
        <scheme val="minor"/>
      </rPr>
      <t>Ceriodaphnia dubia</t>
    </r>
    <r>
      <rPr>
        <sz val="12"/>
        <color theme="1"/>
        <rFont val="Calibri"/>
        <family val="2"/>
        <scheme val="minor"/>
      </rPr>
      <t xml:space="preserve"> (acute)</t>
    </r>
  </si>
  <si>
    <r>
      <rPr>
        <i/>
        <sz val="12"/>
        <color theme="1"/>
        <rFont val="Calibri"/>
        <family val="2"/>
        <scheme val="minor"/>
      </rPr>
      <t>Daphnia magna</t>
    </r>
    <r>
      <rPr>
        <sz val="12"/>
        <color theme="1"/>
        <rFont val="Calibri"/>
        <family val="2"/>
        <scheme val="minor"/>
      </rPr>
      <t xml:space="preserve"> (acute)</t>
    </r>
  </si>
  <si>
    <r>
      <rPr>
        <i/>
        <sz val="12"/>
        <color theme="1"/>
        <rFont val="Calibri"/>
        <family val="2"/>
        <scheme val="minor"/>
      </rPr>
      <t xml:space="preserve">Daphnia pulex </t>
    </r>
    <r>
      <rPr>
        <sz val="12"/>
        <color theme="1"/>
        <rFont val="Calibri"/>
        <family val="2"/>
        <scheme val="minor"/>
      </rPr>
      <t>(acute)</t>
    </r>
  </si>
  <si>
    <r>
      <rPr>
        <i/>
        <sz val="12"/>
        <color theme="1"/>
        <rFont val="Calibri"/>
        <family val="2"/>
        <scheme val="minor"/>
      </rPr>
      <t>D. magna</t>
    </r>
    <r>
      <rPr>
        <sz val="12"/>
        <color theme="1"/>
        <rFont val="Calibri"/>
        <family val="2"/>
        <scheme val="minor"/>
      </rPr>
      <t xml:space="preserve"> (chronic)</t>
    </r>
  </si>
  <si>
    <r>
      <rPr>
        <i/>
        <sz val="12"/>
        <color theme="1"/>
        <rFont val="Calibri"/>
        <family val="2"/>
        <scheme val="minor"/>
      </rPr>
      <t>Lymnaea sp.</t>
    </r>
    <r>
      <rPr>
        <sz val="12"/>
        <color theme="1"/>
        <rFont val="Calibri"/>
        <family val="2"/>
        <scheme val="minor"/>
      </rPr>
      <t xml:space="preserve"> (chronic)</t>
    </r>
  </si>
  <si>
    <t>Invert Sum</t>
  </si>
  <si>
    <t>Algae Sum</t>
  </si>
  <si>
    <t>Model (ECCC 2018)</t>
  </si>
  <si>
    <t>Trophic Levels</t>
  </si>
  <si>
    <t>Reference</t>
  </si>
  <si>
    <t>Van Woensel, 1994</t>
  </si>
  <si>
    <t>Van Ginneken, 1994</t>
  </si>
  <si>
    <t>De Schamphelaere et al., 2003</t>
  </si>
  <si>
    <t>De Schamphelaere et al., 2005</t>
  </si>
  <si>
    <t>Wilde et al., 2006</t>
  </si>
  <si>
    <t>Kraak et al, 1994</t>
  </si>
  <si>
    <t>Dorgelo et al., 1995</t>
  </si>
  <si>
    <t>Belanger and Cherry, 1990</t>
  </si>
  <si>
    <t>Masters et al., 1991</t>
  </si>
  <si>
    <t>Biesinger and Christensen, 1972</t>
  </si>
  <si>
    <t>Biesinger et al., 1986</t>
  </si>
  <si>
    <t>Münzinger and Monicelli, 1991</t>
  </si>
  <si>
    <t>Heijerick et al., 2005</t>
  </si>
  <si>
    <t>Muyssen et al., 2003</t>
  </si>
  <si>
    <t>Borgmann et al., 1993</t>
  </si>
  <si>
    <t>Van Der Geest, 2001</t>
  </si>
  <si>
    <t>Azuara-Garcia et al., 2006</t>
  </si>
  <si>
    <t>Dave et al., 1987</t>
  </si>
  <si>
    <t>Spehar, 1976</t>
  </si>
  <si>
    <t>Bengtsson, 1974</t>
  </si>
  <si>
    <t>Benoit and Holcombe, 1978</t>
  </si>
  <si>
    <t>Sinley et al., 1974</t>
  </si>
  <si>
    <t>De Schamphelaere and Janssen, 2004</t>
  </si>
  <si>
    <t>Holcombe et al., 1979</t>
  </si>
  <si>
    <t>Källqvist et al., 2003</t>
  </si>
  <si>
    <t>Woodling et al., 2002</t>
  </si>
  <si>
    <t>Brinkman and Woodling, 2005</t>
  </si>
  <si>
    <t>De Schamphelaere and Janssen, 2010</t>
  </si>
  <si>
    <t>Wang et al., 2010</t>
  </si>
  <si>
    <t>Hyne et al. 2005</t>
  </si>
  <si>
    <t>Heijerick et al. 2002</t>
  </si>
  <si>
    <t>De Schamphelaere et al. 2005</t>
  </si>
  <si>
    <t>Clifford and McGeer 2009</t>
  </si>
  <si>
    <t>De Schamphelaere and Janssen 2004</t>
  </si>
  <si>
    <t>De Schamphelaere and Janssen 2010</t>
  </si>
  <si>
    <t>De Schamphelaere et al. 2003; Heijerick et al. 2005</t>
  </si>
  <si>
    <t>Van Regenmortel et al., 2017</t>
  </si>
  <si>
    <t>Van Regenmortel &amp; De Schampheleare, 2018</t>
  </si>
  <si>
    <t>&lt;5</t>
  </si>
  <si>
    <t>Besser et al. 2007</t>
  </si>
  <si>
    <t>Brinkman and Hansen 2004</t>
  </si>
  <si>
    <t>Sinley et al. 1974</t>
  </si>
  <si>
    <t>Mebane et al. 2008</t>
  </si>
  <si>
    <t>Benoit and Holcombe 1978</t>
  </si>
  <si>
    <t>Pierson 1981</t>
  </si>
  <si>
    <t>Cairns et al. 1969</t>
  </si>
  <si>
    <t>Pickering and Henderson 1966</t>
  </si>
  <si>
    <t>Carlson et al. 1986</t>
  </si>
  <si>
    <t>Muyssen et al. 2005</t>
  </si>
  <si>
    <t>Carlson and Roush 1985</t>
  </si>
  <si>
    <t>Biesinger and Christensen 1972</t>
  </si>
  <si>
    <t>Cairns et al. 1978</t>
  </si>
  <si>
    <t>Chapman et al. 1980</t>
  </si>
  <si>
    <t>Attar and Maly 1982</t>
  </si>
  <si>
    <t>Hall et al. 1986</t>
  </si>
  <si>
    <t>Barata et al. 1998</t>
  </si>
  <si>
    <t>Muyssen and Janssen 2001</t>
  </si>
  <si>
    <t>Parketon et al. 1988</t>
  </si>
  <si>
    <t>Wurtz 1962</t>
  </si>
  <si>
    <t>Cairns and Sheier 1959; NAS 1960</t>
  </si>
  <si>
    <t>Cairns and Scheier 1959</t>
  </si>
  <si>
    <t>Cairns et al. 1971</t>
  </si>
  <si>
    <t>Thompson et al. 1980</t>
  </si>
  <si>
    <t>Schubauer-Berigan et al. 1993</t>
  </si>
  <si>
    <t>Chapman and Stevens 1978</t>
  </si>
  <si>
    <t>Chapman 1975, 1978b</t>
  </si>
  <si>
    <t>Goettl et al. 1972</t>
  </si>
  <si>
    <t>Goettl et al. 1976</t>
  </si>
  <si>
    <t>McLeay 1976</t>
  </si>
  <si>
    <t>Holcombe and Andrew 1978</t>
  </si>
  <si>
    <t>Davies 1980</t>
  </si>
  <si>
    <t>Spry and Wood 1984</t>
  </si>
  <si>
    <t>Cusimano et al. 1986</t>
  </si>
  <si>
    <t>Meisner and Hum 1987</t>
  </si>
  <si>
    <t>Anadu et al. 1989</t>
  </si>
  <si>
    <t>Kazlauskiene et al. 1994</t>
  </si>
  <si>
    <t>Alsop et al. 1999</t>
  </si>
  <si>
    <t>Todd et al. 2009</t>
  </si>
  <si>
    <t>Cairns and Scheier 1958b; ANS 1960</t>
  </si>
  <si>
    <t>Wurtz and Bridges 1961, Wurtz 1962</t>
  </si>
  <si>
    <t>Pickering and Vigor 1965</t>
  </si>
  <si>
    <t>Mount 1966</t>
  </si>
  <si>
    <t>Rachlin and Perlmutter 1968</t>
  </si>
  <si>
    <t>Brungs 1969</t>
  </si>
  <si>
    <t>Judy and Davies 1979</t>
  </si>
  <si>
    <t>Broderius and Smith 1979</t>
  </si>
  <si>
    <t>Sehgal and Saxena 1986</t>
  </si>
  <si>
    <t>Davies et al.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</si>
</sst>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"/>
    <numFmt numFmtId="167" formatCode="0.000000"/>
    <numFmt numFmtId="173" formatCode="\&gt;0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sz val="11"/>
      <color rgb="FF000000"/>
      <name val="Calibri"/>
      <family val="2"/>
    </font>
    <font>
      <sz val="8"/>
      <color theme="1"/>
      <name val="Helvetic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"/>
      <name val="Calibri (Body)"/>
    </font>
    <font>
      <vertAlign val="superscript"/>
      <sz val="11"/>
      <color rgb="FF000000"/>
      <name val="Calibri"/>
      <family val="2"/>
      <scheme val="minor"/>
    </font>
    <font>
      <vertAlign val="superscript"/>
      <sz val="11"/>
      <color rgb="FF000000"/>
      <name val="Calibri (Body)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</borders>
  <cellStyleXfs count="60">
    <xf numFmtId="0" fontId="0" fillId="0" borderId="0"/>
    <xf numFmtId="0" fontId="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/>
  </cellStyleXfs>
  <cellXfs count="362">
    <xf numFmtId="0" fontId="0" fillId="0" borderId="0" xfId="0"/>
    <xf numFmtId="0" fontId="2" fillId="0" borderId="0" xfId="0" applyFont="1"/>
    <xf numFmtId="2" fontId="2" fillId="0" borderId="0" xfId="0" applyNumberFormat="1" applyFont="1"/>
    <xf numFmtId="165" fontId="2" fillId="0" borderId="0" xfId="0" applyNumberFormat="1" applyFont="1"/>
    <xf numFmtId="0" fontId="2" fillId="0" borderId="0" xfId="0" applyFont="1" applyFill="1"/>
    <xf numFmtId="0" fontId="2" fillId="0" borderId="0" xfId="0" applyFont="1" applyFill="1" applyBorder="1"/>
    <xf numFmtId="165" fontId="4" fillId="5" borderId="2" xfId="0" applyNumberFormat="1" applyFont="1" applyFill="1" applyBorder="1" applyAlignment="1">
      <alignment horizontal="center" vertical="center" wrapText="1"/>
    </xf>
    <xf numFmtId="165" fontId="4" fillId="5" borderId="4" xfId="0" applyNumberFormat="1" applyFont="1" applyFill="1" applyBorder="1" applyAlignment="1">
      <alignment horizontal="center" vertical="center" wrapText="1"/>
    </xf>
    <xf numFmtId="2" fontId="4" fillId="6" borderId="2" xfId="0" applyNumberFormat="1" applyFont="1" applyFill="1" applyBorder="1" applyAlignment="1">
      <alignment horizontal="center" vertical="center" wrapText="1"/>
    </xf>
    <xf numFmtId="11" fontId="4" fillId="6" borderId="2" xfId="0" applyNumberFormat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11" fontId="4" fillId="6" borderId="4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1" fontId="5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1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/>
    <xf numFmtId="0" fontId="9" fillId="0" borderId="0" xfId="0" applyFont="1"/>
    <xf numFmtId="0" fontId="10" fillId="0" borderId="0" xfId="0" applyFont="1"/>
    <xf numFmtId="0" fontId="13" fillId="0" borderId="0" xfId="0" applyFont="1"/>
    <xf numFmtId="2" fontId="6" fillId="0" borderId="5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13" fillId="0" borderId="0" xfId="0" applyNumberFormat="1" applyFont="1"/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3" fillId="0" borderId="0" xfId="1" applyNumberFormat="1" applyFont="1" applyFill="1" applyBorder="1" applyAlignment="1">
      <alignment horizontal="center" vertical="center"/>
    </xf>
    <xf numFmtId="0" fontId="17" fillId="0" borderId="0" xfId="0" applyFont="1"/>
    <xf numFmtId="0" fontId="14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3" fillId="0" borderId="0" xfId="0" applyFont="1" applyAlignment="1">
      <alignment vertical="center"/>
    </xf>
    <xf numFmtId="164" fontId="5" fillId="0" borderId="21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7" fontId="5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1" fontId="7" fillId="2" borderId="6" xfId="0" applyNumberFormat="1" applyFont="1" applyFill="1" applyBorder="1" applyAlignment="1">
      <alignment horizontal="center" vertical="center"/>
    </xf>
    <xf numFmtId="11" fontId="5" fillId="2" borderId="6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164" fontId="4" fillId="2" borderId="6" xfId="0" applyNumberFormat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left" vertical="center"/>
    </xf>
    <xf numFmtId="164" fontId="6" fillId="0" borderId="21" xfId="0" applyNumberFormat="1" applyFont="1" applyBorder="1" applyAlignment="1">
      <alignment horizontal="left" vertical="center"/>
    </xf>
    <xf numFmtId="164" fontId="6" fillId="0" borderId="23" xfId="0" applyNumberFormat="1" applyFont="1" applyBorder="1" applyAlignment="1">
      <alignment horizontal="left" vertical="center"/>
    </xf>
    <xf numFmtId="164" fontId="6" fillId="0" borderId="24" xfId="0" applyNumberFormat="1" applyFont="1" applyBorder="1" applyAlignment="1">
      <alignment horizontal="left" vertical="center"/>
    </xf>
    <xf numFmtId="164" fontId="6" fillId="0" borderId="25" xfId="0" applyNumberFormat="1" applyFont="1" applyBorder="1" applyAlignment="1">
      <alignment horizontal="left" vertical="center"/>
    </xf>
    <xf numFmtId="0" fontId="2" fillId="8" borderId="0" xfId="0" applyFont="1" applyFill="1" applyBorder="1"/>
    <xf numFmtId="0" fontId="16" fillId="0" borderId="17" xfId="0" applyFont="1" applyFill="1" applyBorder="1" applyAlignment="1">
      <alignment horizontal="left"/>
    </xf>
    <xf numFmtId="164" fontId="5" fillId="0" borderId="22" xfId="0" applyNumberFormat="1" applyFont="1" applyFill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8" borderId="0" xfId="0" applyNumberFormat="1" applyFont="1" applyFill="1" applyBorder="1" applyAlignment="1">
      <alignment horizontal="center" vertical="center"/>
    </xf>
    <xf numFmtId="1" fontId="5" fillId="8" borderId="0" xfId="0" applyNumberFormat="1" applyFont="1" applyFill="1" applyBorder="1" applyAlignment="1">
      <alignment horizontal="center" vertical="center"/>
    </xf>
    <xf numFmtId="164" fontId="5" fillId="8" borderId="17" xfId="0" applyNumberFormat="1" applyFont="1" applyFill="1" applyBorder="1" applyAlignment="1">
      <alignment horizontal="center" vertical="center"/>
    </xf>
    <xf numFmtId="0" fontId="0" fillId="8" borderId="17" xfId="0" applyFill="1" applyBorder="1"/>
    <xf numFmtId="0" fontId="18" fillId="8" borderId="0" xfId="0" applyFont="1" applyFill="1" applyBorder="1" applyAlignment="1">
      <alignment horizontal="left" vertical="center"/>
    </xf>
    <xf numFmtId="0" fontId="0" fillId="8" borderId="0" xfId="0" applyFill="1" applyBorder="1"/>
    <xf numFmtId="164" fontId="18" fillId="8" borderId="0" xfId="0" applyNumberFormat="1" applyFont="1" applyFill="1" applyBorder="1" applyAlignment="1">
      <alignment horizontal="left" vertical="center"/>
    </xf>
    <xf numFmtId="164" fontId="18" fillId="8" borderId="17" xfId="0" applyNumberFormat="1" applyFont="1" applyFill="1" applyBorder="1" applyAlignment="1">
      <alignment horizontal="left" vertical="center"/>
    </xf>
    <xf numFmtId="164" fontId="6" fillId="8" borderId="26" xfId="0" applyNumberFormat="1" applyFont="1" applyFill="1" applyBorder="1" applyAlignment="1">
      <alignment horizontal="left" vertical="center"/>
    </xf>
    <xf numFmtId="0" fontId="0" fillId="8" borderId="26" xfId="0" applyFill="1" applyBorder="1"/>
    <xf numFmtId="164" fontId="6" fillId="8" borderId="0" xfId="0" applyNumberFormat="1" applyFont="1" applyFill="1" applyBorder="1" applyAlignment="1">
      <alignment horizontal="left" vertical="center"/>
    </xf>
    <xf numFmtId="164" fontId="6" fillId="8" borderId="17" xfId="0" applyNumberFormat="1" applyFont="1" applyFill="1" applyBorder="1" applyAlignment="1">
      <alignment horizontal="left" vertical="center"/>
    </xf>
    <xf numFmtId="0" fontId="19" fillId="8" borderId="0" xfId="0" applyFont="1" applyFill="1" applyBorder="1"/>
    <xf numFmtId="0" fontId="0" fillId="0" borderId="0" xfId="0" applyAlignment="1">
      <alignment horizontal="left" wrapText="1"/>
    </xf>
    <xf numFmtId="0" fontId="16" fillId="0" borderId="0" xfId="0" applyFont="1" applyAlignment="1">
      <alignment wrapText="1"/>
    </xf>
    <xf numFmtId="0" fontId="16" fillId="0" borderId="0" xfId="0" applyFont="1" applyAlignment="1"/>
    <xf numFmtId="0" fontId="16" fillId="0" borderId="0" xfId="0" applyFont="1"/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" fillId="9" borderId="1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31" xfId="0" applyFont="1" applyFill="1" applyBorder="1" applyAlignment="1">
      <alignment horizontal="center"/>
    </xf>
    <xf numFmtId="0" fontId="0" fillId="12" borderId="31" xfId="0" applyFont="1" applyFill="1" applyBorder="1" applyAlignment="1">
      <alignment horizontal="center"/>
    </xf>
    <xf numFmtId="0" fontId="0" fillId="12" borderId="3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13" borderId="31" xfId="0" applyFont="1" applyFill="1" applyBorder="1" applyAlignment="1">
      <alignment horizontal="center"/>
    </xf>
    <xf numFmtId="0" fontId="0" fillId="0" borderId="0" xfId="0" applyFill="1" applyBorder="1"/>
    <xf numFmtId="164" fontId="4" fillId="8" borderId="26" xfId="0" applyNumberFormat="1" applyFont="1" applyFill="1" applyBorder="1" applyAlignment="1">
      <alignment horizontal="left" vertical="center"/>
    </xf>
    <xf numFmtId="0" fontId="16" fillId="8" borderId="26" xfId="0" applyFont="1" applyFill="1" applyBorder="1"/>
    <xf numFmtId="0" fontId="0" fillId="8" borderId="29" xfId="0" applyFill="1" applyBorder="1"/>
    <xf numFmtId="2" fontId="4" fillId="8" borderId="26" xfId="0" applyNumberFormat="1" applyFont="1" applyFill="1" applyBorder="1" applyAlignment="1">
      <alignment horizontal="center" vertical="center"/>
    </xf>
    <xf numFmtId="164" fontId="4" fillId="8" borderId="29" xfId="0" applyNumberFormat="1" applyFont="1" applyFill="1" applyBorder="1" applyAlignment="1">
      <alignment horizontal="center" vertical="center"/>
    </xf>
    <xf numFmtId="0" fontId="0" fillId="0" borderId="17" xfId="0" applyFill="1" applyBorder="1"/>
    <xf numFmtId="164" fontId="4" fillId="8" borderId="26" xfId="0" applyNumberFormat="1" applyFont="1" applyFill="1" applyBorder="1" applyAlignment="1">
      <alignment horizontal="center" vertical="center"/>
    </xf>
    <xf numFmtId="0" fontId="20" fillId="8" borderId="26" xfId="0" applyFont="1" applyFill="1" applyBorder="1" applyAlignment="1">
      <alignment horizontal="center" vertical="center"/>
    </xf>
    <xf numFmtId="164" fontId="18" fillId="8" borderId="29" xfId="0" applyNumberFormat="1" applyFont="1" applyFill="1" applyBorder="1" applyAlignment="1">
      <alignment horizontal="left" vertical="center"/>
    </xf>
    <xf numFmtId="0" fontId="19" fillId="8" borderId="29" xfId="0" applyFont="1" applyFill="1" applyBorder="1"/>
    <xf numFmtId="0" fontId="14" fillId="8" borderId="29" xfId="0" applyFont="1" applyFill="1" applyBorder="1"/>
    <xf numFmtId="164" fontId="5" fillId="8" borderId="29" xfId="0" applyNumberFormat="1" applyFont="1" applyFill="1" applyBorder="1" applyAlignment="1">
      <alignment horizontal="center" vertical="center"/>
    </xf>
    <xf numFmtId="1" fontId="5" fillId="8" borderId="17" xfId="0" applyNumberFormat="1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/>
    </xf>
    <xf numFmtId="1" fontId="2" fillId="8" borderId="26" xfId="0" applyNumberFormat="1" applyFont="1" applyFill="1" applyBorder="1" applyAlignment="1">
      <alignment horizontal="center"/>
    </xf>
    <xf numFmtId="164" fontId="5" fillId="8" borderId="26" xfId="0" applyNumberFormat="1" applyFont="1" applyFill="1" applyBorder="1" applyAlignment="1">
      <alignment horizontal="center" vertical="center"/>
    </xf>
    <xf numFmtId="0" fontId="2" fillId="8" borderId="29" xfId="0" applyFont="1" applyFill="1" applyBorder="1"/>
    <xf numFmtId="0" fontId="2" fillId="8" borderId="17" xfId="0" applyFont="1" applyFill="1" applyBorder="1"/>
    <xf numFmtId="164" fontId="5" fillId="8" borderId="0" xfId="0" applyNumberFormat="1" applyFont="1" applyFill="1" applyBorder="1" applyAlignment="1">
      <alignment horizontal="left" vertical="center"/>
    </xf>
    <xf numFmtId="0" fontId="2" fillId="12" borderId="7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14" borderId="31" xfId="0" applyFont="1" applyFill="1" applyBorder="1" applyAlignment="1">
      <alignment horizontal="center"/>
    </xf>
    <xf numFmtId="0" fontId="0" fillId="14" borderId="30" xfId="0" applyFont="1" applyFill="1" applyBorder="1" applyAlignment="1">
      <alignment horizontal="center"/>
    </xf>
    <xf numFmtId="0" fontId="2" fillId="14" borderId="16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/>
    </xf>
    <xf numFmtId="1" fontId="2" fillId="14" borderId="18" xfId="42" applyNumberFormat="1" applyFont="1" applyFill="1" applyBorder="1" applyAlignment="1">
      <alignment horizontal="center"/>
    </xf>
    <xf numFmtId="1" fontId="2" fillId="13" borderId="18" xfId="42" applyNumberFormat="1" applyFont="1" applyFill="1" applyBorder="1" applyAlignment="1">
      <alignment horizontal="center"/>
    </xf>
    <xf numFmtId="1" fontId="2" fillId="3" borderId="19" xfId="42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quotePrefix="1" applyFont="1"/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166" fontId="0" fillId="0" borderId="0" xfId="0" applyNumberFormat="1" applyFont="1" applyAlignme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16" fillId="0" borderId="17" xfId="0" applyFont="1" applyBorder="1"/>
    <xf numFmtId="164" fontId="20" fillId="0" borderId="17" xfId="0" applyNumberFormat="1" applyFont="1" applyFill="1" applyBorder="1" applyAlignment="1">
      <alignment horizontal="left" wrapText="1"/>
    </xf>
    <xf numFmtId="2" fontId="20" fillId="0" borderId="17" xfId="0" applyNumberFormat="1" applyFont="1" applyFill="1" applyBorder="1" applyAlignment="1">
      <alignment horizontal="center" wrapText="1"/>
    </xf>
    <xf numFmtId="164" fontId="20" fillId="0" borderId="17" xfId="0" applyNumberFormat="1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/>
    </xf>
    <xf numFmtId="2" fontId="0" fillId="0" borderId="0" xfId="0" quotePrefix="1" applyNumberFormat="1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/>
    <xf numFmtId="0" fontId="1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10" borderId="1" xfId="0" applyFont="1" applyFill="1" applyBorder="1" applyAlignment="1">
      <alignment horizontal="center"/>
    </xf>
    <xf numFmtId="164" fontId="0" fillId="10" borderId="1" xfId="0" applyNumberFormat="1" applyFont="1" applyFill="1" applyBorder="1" applyAlignment="1">
      <alignment horizontal="center"/>
    </xf>
    <xf numFmtId="1" fontId="0" fillId="10" borderId="30" xfId="0" applyNumberFormat="1" applyFont="1" applyFill="1" applyBorder="1" applyAlignment="1">
      <alignment horizontal="center"/>
    </xf>
    <xf numFmtId="2" fontId="0" fillId="10" borderId="30" xfId="0" applyNumberFormat="1" applyFont="1" applyFill="1" applyBorder="1" applyAlignment="1">
      <alignment horizontal="center"/>
    </xf>
    <xf numFmtId="164" fontId="0" fillId="10" borderId="3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8" borderId="0" xfId="0" applyFont="1" applyFill="1"/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vertical="top" wrapText="1"/>
    </xf>
    <xf numFmtId="0" fontId="15" fillId="0" borderId="17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6" fillId="0" borderId="34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wrapText="1"/>
    </xf>
    <xf numFmtId="164" fontId="13" fillId="0" borderId="0" xfId="0" applyNumberFormat="1" applyFont="1" applyFill="1" applyBorder="1" applyAlignment="1">
      <alignment horizontal="left"/>
    </xf>
    <xf numFmtId="2" fontId="0" fillId="0" borderId="17" xfId="0" quotePrefix="1" applyNumberFormat="1" applyFont="1" applyBorder="1" applyAlignment="1">
      <alignment horizontal="center"/>
    </xf>
    <xf numFmtId="2" fontId="13" fillId="0" borderId="17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 wrapText="1"/>
    </xf>
    <xf numFmtId="164" fontId="18" fillId="0" borderId="21" xfId="0" applyNumberFormat="1" applyFont="1" applyBorder="1" applyAlignment="1">
      <alignment horizontal="left" vertical="center"/>
    </xf>
    <xf numFmtId="164" fontId="13" fillId="0" borderId="21" xfId="0" applyNumberFormat="1" applyFont="1" applyBorder="1" applyAlignment="1">
      <alignment horizontal="center" vertical="center"/>
    </xf>
    <xf numFmtId="164" fontId="18" fillId="0" borderId="36" xfId="0" applyNumberFormat="1" applyFont="1" applyBorder="1" applyAlignment="1">
      <alignment horizontal="left" vertical="center"/>
    </xf>
    <xf numFmtId="164" fontId="13" fillId="0" borderId="36" xfId="0" applyNumberFormat="1" applyFont="1" applyBorder="1" applyAlignment="1">
      <alignment horizontal="center" vertical="center"/>
    </xf>
    <xf numFmtId="164" fontId="18" fillId="0" borderId="23" xfId="0" applyNumberFormat="1" applyFont="1" applyBorder="1" applyAlignment="1">
      <alignment horizontal="left" vertical="center"/>
    </xf>
    <xf numFmtId="164" fontId="13" fillId="0" borderId="23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2" fontId="0" fillId="0" borderId="0" xfId="0" quotePrefix="1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0" fillId="15" borderId="20" xfId="0" applyFont="1" applyFill="1" applyBorder="1" applyAlignment="1">
      <alignment horizontal="center"/>
    </xf>
    <xf numFmtId="0" fontId="0" fillId="15" borderId="27" xfId="0" applyFont="1" applyFill="1" applyBorder="1" applyAlignment="1">
      <alignment horizontal="center"/>
    </xf>
    <xf numFmtId="0" fontId="0" fillId="15" borderId="28" xfId="0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vertical="center" wrapText="1"/>
    </xf>
    <xf numFmtId="2" fontId="3" fillId="6" borderId="20" xfId="1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3" fillId="3" borderId="20" xfId="1" applyNumberFormat="1" applyFont="1" applyFill="1" applyBorder="1" applyAlignment="1">
      <alignment horizontal="center" vertical="center"/>
    </xf>
    <xf numFmtId="164" fontId="3" fillId="5" borderId="20" xfId="1" applyNumberFormat="1" applyFont="1" applyFill="1" applyBorder="1" applyAlignment="1">
      <alignment horizontal="center" vertical="center"/>
    </xf>
    <xf numFmtId="2" fontId="4" fillId="8" borderId="17" xfId="0" applyNumberFormat="1" applyFont="1" applyFill="1" applyBorder="1" applyAlignment="1">
      <alignment horizontal="center" vertical="center" wrapText="1"/>
    </xf>
    <xf numFmtId="2" fontId="4" fillId="8" borderId="35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6" fillId="0" borderId="0" xfId="59" applyFont="1" applyAlignment="1">
      <alignment horizontal="left"/>
    </xf>
    <xf numFmtId="0" fontId="26" fillId="0" borderId="0" xfId="0" applyFont="1" applyAlignment="1">
      <alignment horizontal="left"/>
    </xf>
    <xf numFmtId="0" fontId="24" fillId="0" borderId="0" xfId="0" applyFont="1"/>
    <xf numFmtId="1" fontId="24" fillId="0" borderId="0" xfId="59" applyNumberFormat="1" applyFont="1" applyAlignment="1">
      <alignment horizontal="left"/>
    </xf>
    <xf numFmtId="164" fontId="24" fillId="0" borderId="0" xfId="59" applyNumberFormat="1" applyFont="1" applyAlignment="1">
      <alignment horizontal="left"/>
    </xf>
    <xf numFmtId="0" fontId="24" fillId="0" borderId="0" xfId="59" applyFont="1" applyAlignment="1">
      <alignment horizontal="left"/>
    </xf>
    <xf numFmtId="2" fontId="24" fillId="0" borderId="0" xfId="59" applyNumberFormat="1" applyFont="1" applyAlignment="1">
      <alignment horizontal="left"/>
    </xf>
    <xf numFmtId="0" fontId="24" fillId="0" borderId="0" xfId="59" applyFont="1" applyAlignment="1">
      <alignment horizontal="left" wrapText="1"/>
    </xf>
    <xf numFmtId="2" fontId="4" fillId="0" borderId="0" xfId="0" applyNumberFormat="1" applyFont="1" applyFill="1" applyBorder="1" applyAlignment="1">
      <alignment horizontal="center" vertical="center"/>
    </xf>
    <xf numFmtId="0" fontId="29" fillId="0" borderId="0" xfId="0" applyFont="1"/>
    <xf numFmtId="0" fontId="29" fillId="0" borderId="26" xfId="0" applyFont="1" applyBorder="1"/>
    <xf numFmtId="0" fontId="29" fillId="0" borderId="0" xfId="0" applyFont="1" applyAlignment="1">
      <alignment horizontal="center"/>
    </xf>
    <xf numFmtId="0" fontId="29" fillId="0" borderId="26" xfId="0" applyFont="1" applyBorder="1" applyAlignment="1">
      <alignment horizontal="center" wrapText="1"/>
    </xf>
    <xf numFmtId="1" fontId="29" fillId="0" borderId="0" xfId="0" applyNumberFormat="1" applyFont="1" applyAlignment="1">
      <alignment horizontal="center"/>
    </xf>
    <xf numFmtId="0" fontId="29" fillId="0" borderId="0" xfId="0" applyFont="1" applyBorder="1"/>
    <xf numFmtId="0" fontId="0" fillId="0" borderId="0" xfId="0" applyAlignment="1">
      <alignment horizontal="left"/>
    </xf>
    <xf numFmtId="0" fontId="30" fillId="0" borderId="0" xfId="59" applyFont="1" applyAlignment="1">
      <alignment horizontal="left"/>
    </xf>
    <xf numFmtId="1" fontId="30" fillId="0" borderId="0" xfId="59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3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6" fillId="0" borderId="26" xfId="0" applyFont="1" applyBorder="1"/>
    <xf numFmtId="164" fontId="0" fillId="0" borderId="0" xfId="0" applyNumberFormat="1" applyAlignment="1">
      <alignment horizontal="center"/>
    </xf>
    <xf numFmtId="164" fontId="30" fillId="0" borderId="0" xfId="59" applyNumberFormat="1" applyFont="1" applyAlignment="1">
      <alignment horizontal="center"/>
    </xf>
    <xf numFmtId="0" fontId="0" fillId="0" borderId="17" xfId="0" applyFont="1" applyBorder="1" applyAlignment="1">
      <alignment horizontal="center"/>
    </xf>
    <xf numFmtId="0" fontId="31" fillId="0" borderId="0" xfId="59" applyFont="1" applyAlignment="1">
      <alignment horizontal="left"/>
    </xf>
    <xf numFmtId="0" fontId="31" fillId="0" borderId="0" xfId="59" applyFont="1" applyAlignment="1">
      <alignment horizontal="center"/>
    </xf>
    <xf numFmtId="164" fontId="31" fillId="0" borderId="0" xfId="59" applyNumberFormat="1" applyFont="1" applyAlignment="1">
      <alignment horizontal="center"/>
    </xf>
    <xf numFmtId="0" fontId="31" fillId="0" borderId="0" xfId="59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9" fillId="0" borderId="26" xfId="0" applyFont="1" applyBorder="1" applyAlignment="1">
      <alignment wrapText="1"/>
    </xf>
    <xf numFmtId="173" fontId="29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/>
    </xf>
    <xf numFmtId="2" fontId="24" fillId="0" borderId="0" xfId="59" applyNumberFormat="1" applyFont="1" applyAlignment="1">
      <alignment horizontal="left" wrapText="1"/>
    </xf>
    <xf numFmtId="164" fontId="24" fillId="0" borderId="0" xfId="59" applyNumberFormat="1" applyFont="1" applyAlignment="1">
      <alignment horizontal="left" wrapText="1"/>
    </xf>
    <xf numFmtId="164" fontId="18" fillId="0" borderId="22" xfId="0" applyNumberFormat="1" applyFont="1" applyBorder="1" applyAlignment="1">
      <alignment horizontal="left" vertical="center"/>
    </xf>
    <xf numFmtId="164" fontId="13" fillId="0" borderId="2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164" fontId="18" fillId="0" borderId="37" xfId="0" applyNumberFormat="1" applyFont="1" applyBorder="1" applyAlignment="1">
      <alignment horizontal="left" vertical="center"/>
    </xf>
    <xf numFmtId="164" fontId="13" fillId="0" borderId="37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/>
    </xf>
    <xf numFmtId="2" fontId="0" fillId="0" borderId="29" xfId="0" quotePrefix="1" applyNumberFormat="1" applyFont="1" applyBorder="1" applyAlignment="1">
      <alignment horizontal="center"/>
    </xf>
    <xf numFmtId="2" fontId="13" fillId="0" borderId="29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6" fillId="0" borderId="26" xfId="0" applyFont="1" applyBorder="1" applyAlignment="1">
      <alignment horizontal="center"/>
    </xf>
    <xf numFmtId="0" fontId="20" fillId="0" borderId="32" xfId="0" applyFont="1" applyBorder="1" applyAlignment="1">
      <alignment wrapText="1"/>
    </xf>
    <xf numFmtId="0" fontId="16" fillId="0" borderId="17" xfId="0" applyFont="1" applyBorder="1" applyAlignment="1">
      <alignment horizontal="center"/>
    </xf>
    <xf numFmtId="0" fontId="0" fillId="15" borderId="20" xfId="0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2" fontId="0" fillId="10" borderId="30" xfId="0" applyNumberFormat="1" applyFill="1" applyBorder="1" applyAlignment="1">
      <alignment horizontal="center"/>
    </xf>
    <xf numFmtId="164" fontId="0" fillId="10" borderId="30" xfId="0" applyNumberFormat="1" applyFill="1" applyBorder="1" applyAlignment="1">
      <alignment horizontal="center"/>
    </xf>
  </cellXfs>
  <cellStyles count="6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  <cellStyle name="Normal 3" xfId="1" xr:uid="{00000000-0005-0000-0000-000039000000}"/>
    <cellStyle name="Percent" xfId="42" builtinId="5"/>
    <cellStyle name="Standaard 2" xfId="59" xr:uid="{CF3DF7BF-F0E3-8D4C-9120-97F188BA5EA3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theme" Target="theme/theme1.xml"/><Relationship Id="rId5" Type="http://schemas.openxmlformats.org/officeDocument/2006/relationships/worksheet" Target="worksheets/sheet3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41556419156248"/>
          <c:y val="2.6320421075722501E-2"/>
          <c:w val="0.78998111690561801"/>
          <c:h val="0.81595282156189297"/>
        </c:manualLayout>
      </c:layout>
      <c:scatterChart>
        <c:scatterStyle val="lineMarker"/>
        <c:varyColors val="0"/>
        <c:ser>
          <c:idx val="0"/>
          <c:order val="0"/>
          <c:tx>
            <c:v>D. magna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'Hard Performance'!$E$2:$E$94</c:f>
              <c:numCache>
                <c:formatCode>0.00</c:formatCode>
                <c:ptCount val="93"/>
                <c:pt idx="0">
                  <c:v>1.0020439295530787</c:v>
                </c:pt>
                <c:pt idx="1">
                  <c:v>1.0043093214910102</c:v>
                </c:pt>
                <c:pt idx="2">
                  <c:v>1.0061032283821296</c:v>
                </c:pt>
                <c:pt idx="3">
                  <c:v>1.019043906606782</c:v>
                </c:pt>
                <c:pt idx="4">
                  <c:v>1.020241373007025</c:v>
                </c:pt>
                <c:pt idx="5">
                  <c:v>1.0262711683557662</c:v>
                </c:pt>
                <c:pt idx="6">
                  <c:v>1.0295657101595572</c:v>
                </c:pt>
                <c:pt idx="7">
                  <c:v>1.0352493789691475</c:v>
                </c:pt>
                <c:pt idx="8">
                  <c:v>1.0366870548405709</c:v>
                </c:pt>
                <c:pt idx="9">
                  <c:v>1.0379263699091192</c:v>
                </c:pt>
                <c:pt idx="10">
                  <c:v>1.0436499117992213</c:v>
                </c:pt>
                <c:pt idx="11">
                  <c:v>1.0454842982458321</c:v>
                </c:pt>
                <c:pt idx="12">
                  <c:v>1.0499228017090501</c:v>
                </c:pt>
                <c:pt idx="13">
                  <c:v>1.0533841976880574</c:v>
                </c:pt>
                <c:pt idx="14">
                  <c:v>1.0598512553391817</c:v>
                </c:pt>
                <c:pt idx="15">
                  <c:v>1.0658099312652016</c:v>
                </c:pt>
                <c:pt idx="16">
                  <c:v>1.0679426808239265</c:v>
                </c:pt>
                <c:pt idx="17">
                  <c:v>1.0778244921090618</c:v>
                </c:pt>
                <c:pt idx="18">
                  <c:v>1.0829064542876012</c:v>
                </c:pt>
                <c:pt idx="19">
                  <c:v>1.1170165705759847</c:v>
                </c:pt>
                <c:pt idx="20">
                  <c:v>1.1346980423529607</c:v>
                </c:pt>
                <c:pt idx="21">
                  <c:v>1.1591794505059789</c:v>
                </c:pt>
                <c:pt idx="22">
                  <c:v>1.1599537854762567</c:v>
                </c:pt>
                <c:pt idx="23">
                  <c:v>1.1716942084061783</c:v>
                </c:pt>
                <c:pt idx="24">
                  <c:v>1.2049833193585</c:v>
                </c:pt>
                <c:pt idx="25">
                  <c:v>1.2169246120918609</c:v>
                </c:pt>
                <c:pt idx="26">
                  <c:v>1.2235097164389164</c:v>
                </c:pt>
                <c:pt idx="27">
                  <c:v>1.2815115501277887</c:v>
                </c:pt>
                <c:pt idx="28">
                  <c:v>1.2982707422636663</c:v>
                </c:pt>
                <c:pt idx="29">
                  <c:v>1.3055136850272533</c:v>
                </c:pt>
                <c:pt idx="30">
                  <c:v>1.3779417818131534</c:v>
                </c:pt>
                <c:pt idx="31">
                  <c:v>1.4207412274285773</c:v>
                </c:pt>
                <c:pt idx="32">
                  <c:v>1.4348205872962729</c:v>
                </c:pt>
                <c:pt idx="33">
                  <c:v>1.458629348373826</c:v>
                </c:pt>
                <c:pt idx="34">
                  <c:v>1.517195913412265</c:v>
                </c:pt>
                <c:pt idx="35">
                  <c:v>1.5676811526899139</c:v>
                </c:pt>
                <c:pt idx="36">
                  <c:v>1.5988870111115843</c:v>
                </c:pt>
                <c:pt idx="37">
                  <c:v>1.6442696276117323</c:v>
                </c:pt>
                <c:pt idx="38">
                  <c:v>1.6479903713369286</c:v>
                </c:pt>
                <c:pt idx="39">
                  <c:v>1.6944732504760089</c:v>
                </c:pt>
                <c:pt idx="40">
                  <c:v>1.7593290900400609</c:v>
                </c:pt>
                <c:pt idx="41">
                  <c:v>1.7658812979216814</c:v>
                </c:pt>
                <c:pt idx="42">
                  <c:v>1.8295975219302061</c:v>
                </c:pt>
                <c:pt idx="43">
                  <c:v>1.8295975219302061</c:v>
                </c:pt>
                <c:pt idx="44">
                  <c:v>1.8767895950463485</c:v>
                </c:pt>
                <c:pt idx="45">
                  <c:v>1.8911695561947401</c:v>
                </c:pt>
                <c:pt idx="46">
                  <c:v>1.9312786124251082</c:v>
                </c:pt>
                <c:pt idx="47">
                  <c:v>1.9999069924813888</c:v>
                </c:pt>
                <c:pt idx="48">
                  <c:v>2.0592317478486808</c:v>
                </c:pt>
                <c:pt idx="49">
                  <c:v>2.1424063784275158</c:v>
                </c:pt>
                <c:pt idx="50">
                  <c:v>2.2396434417282833</c:v>
                </c:pt>
                <c:pt idx="51">
                  <c:v>2.2463892347392549</c:v>
                </c:pt>
                <c:pt idx="52">
                  <c:v>2.2641589674639149</c:v>
                </c:pt>
                <c:pt idx="53">
                  <c:v>2.2780499560328171</c:v>
                </c:pt>
                <c:pt idx="54">
                  <c:v>2.3245756736516228</c:v>
                </c:pt>
                <c:pt idx="55">
                  <c:v>2.4315037151075232</c:v>
                </c:pt>
                <c:pt idx="56">
                  <c:v>2.446512997299545</c:v>
                </c:pt>
                <c:pt idx="57">
                  <c:v>2.4558400426462668</c:v>
                </c:pt>
                <c:pt idx="58">
                  <c:v>2.4612442854537293</c:v>
                </c:pt>
                <c:pt idx="59">
                  <c:v>2.4765315616835881</c:v>
                </c:pt>
                <c:pt idx="60">
                  <c:v>2.5048061312139724</c:v>
                </c:pt>
                <c:pt idx="61">
                  <c:v>2.5117742703388561</c:v>
                </c:pt>
                <c:pt idx="62">
                  <c:v>2.5483679769742156</c:v>
                </c:pt>
                <c:pt idx="63">
                  <c:v>2.6566429479878493</c:v>
                </c:pt>
                <c:pt idx="64">
                  <c:v>2.6749334809106626</c:v>
                </c:pt>
                <c:pt idx="65">
                  <c:v>2.7016707945639147</c:v>
                </c:pt>
                <c:pt idx="66">
                  <c:v>2.7278447287686274</c:v>
                </c:pt>
                <c:pt idx="67">
                  <c:v>2.7416955470759725</c:v>
                </c:pt>
                <c:pt idx="68">
                  <c:v>2.7517017352039872</c:v>
                </c:pt>
                <c:pt idx="69">
                  <c:v>2.7617079233320014</c:v>
                </c:pt>
                <c:pt idx="70">
                  <c:v>2.7898836914278959</c:v>
                </c:pt>
                <c:pt idx="71">
                  <c:v>2.8315199744157948</c:v>
                </c:pt>
                <c:pt idx="72">
                  <c:v>2.8317512402281029</c:v>
                </c:pt>
                <c:pt idx="73">
                  <c:v>3.025994133232444</c:v>
                </c:pt>
                <c:pt idx="74">
                  <c:v>3.102702292213094</c:v>
                </c:pt>
                <c:pt idx="75">
                  <c:v>3.2870328000527627</c:v>
                </c:pt>
                <c:pt idx="76">
                  <c:v>3.3220544585008134</c:v>
                </c:pt>
                <c:pt idx="77">
                  <c:v>3.4626476579429335</c:v>
                </c:pt>
                <c:pt idx="78">
                  <c:v>3.5922215379572049</c:v>
                </c:pt>
                <c:pt idx="79">
                  <c:v>3.5938522752200477</c:v>
                </c:pt>
                <c:pt idx="80">
                  <c:v>3.6915743036030526</c:v>
                </c:pt>
                <c:pt idx="81">
                  <c:v>3.7373112658134149</c:v>
                </c:pt>
                <c:pt idx="82">
                  <c:v>4.0224876274618282</c:v>
                </c:pt>
                <c:pt idx="83">
                  <c:v>4.0237346627787636</c:v>
                </c:pt>
                <c:pt idx="84">
                  <c:v>4.324363676756211</c:v>
                </c:pt>
                <c:pt idx="85">
                  <c:v>5.1583178016805729</c:v>
                </c:pt>
                <c:pt idx="86">
                  <c:v>5.6034653516881194</c:v>
                </c:pt>
                <c:pt idx="87">
                  <c:v>7.4131496263932437</c:v>
                </c:pt>
                <c:pt idx="88">
                  <c:v>7.4245915909867577</c:v>
                </c:pt>
                <c:pt idx="89">
                  <c:v>7.899885527067446</c:v>
                </c:pt>
                <c:pt idx="90">
                  <c:v>8.3701763690841275</c:v>
                </c:pt>
                <c:pt idx="91">
                  <c:v>8.7993390639775093</c:v>
                </c:pt>
                <c:pt idx="92">
                  <c:v>10.111253103358651</c:v>
                </c:pt>
              </c:numCache>
            </c:numRef>
          </c:xVal>
          <c:yVal>
            <c:numRef>
              <c:f>'Hard Performance'!$F$2:$F$94</c:f>
              <c:numCache>
                <c:formatCode>0.00</c:formatCode>
                <c:ptCount val="93"/>
                <c:pt idx="0">
                  <c:v>3.968253968253968E-3</c:v>
                </c:pt>
                <c:pt idx="1">
                  <c:v>7.874015748031496E-3</c:v>
                </c:pt>
                <c:pt idx="2">
                  <c:v>1.1811023622047244E-2</c:v>
                </c:pt>
                <c:pt idx="3">
                  <c:v>1.5748031496062992E-2</c:v>
                </c:pt>
                <c:pt idx="4">
                  <c:v>1.968503937007874E-2</c:v>
                </c:pt>
                <c:pt idx="5">
                  <c:v>2.3622047244094488E-2</c:v>
                </c:pt>
                <c:pt idx="6">
                  <c:v>2.7559055118110236E-2</c:v>
                </c:pt>
                <c:pt idx="7">
                  <c:v>3.1496062992125984E-2</c:v>
                </c:pt>
                <c:pt idx="8">
                  <c:v>3.5433070866141732E-2</c:v>
                </c:pt>
                <c:pt idx="9">
                  <c:v>3.937007874015748E-2</c:v>
                </c:pt>
                <c:pt idx="10">
                  <c:v>4.3307086614173228E-2</c:v>
                </c:pt>
                <c:pt idx="11">
                  <c:v>4.7244094488188976E-2</c:v>
                </c:pt>
                <c:pt idx="12">
                  <c:v>5.1181102362204724E-2</c:v>
                </c:pt>
                <c:pt idx="13">
                  <c:v>5.5118110236220472E-2</c:v>
                </c:pt>
                <c:pt idx="14">
                  <c:v>5.905511811023622E-2</c:v>
                </c:pt>
                <c:pt idx="15">
                  <c:v>6.2992125984251968E-2</c:v>
                </c:pt>
                <c:pt idx="16">
                  <c:v>6.6929133858267723E-2</c:v>
                </c:pt>
                <c:pt idx="17">
                  <c:v>7.0866141732283464E-2</c:v>
                </c:pt>
                <c:pt idx="18">
                  <c:v>7.4803149606299218E-2</c:v>
                </c:pt>
                <c:pt idx="19">
                  <c:v>7.874015748031496E-2</c:v>
                </c:pt>
                <c:pt idx="20">
                  <c:v>8.2677165354330714E-2</c:v>
                </c:pt>
                <c:pt idx="21">
                  <c:v>8.6614173228346455E-2</c:v>
                </c:pt>
                <c:pt idx="22">
                  <c:v>9.055118110236221E-2</c:v>
                </c:pt>
                <c:pt idx="23">
                  <c:v>9.4488188976377951E-2</c:v>
                </c:pt>
                <c:pt idx="24">
                  <c:v>9.8425196850393706E-2</c:v>
                </c:pt>
                <c:pt idx="25">
                  <c:v>0.10236220472440945</c:v>
                </c:pt>
                <c:pt idx="26">
                  <c:v>0.1062992125984252</c:v>
                </c:pt>
                <c:pt idx="27">
                  <c:v>0.11023622047244094</c:v>
                </c:pt>
                <c:pt idx="28">
                  <c:v>0.1141732283464567</c:v>
                </c:pt>
                <c:pt idx="29">
                  <c:v>0.11811023622047244</c:v>
                </c:pt>
                <c:pt idx="30">
                  <c:v>0.12204724409448819</c:v>
                </c:pt>
                <c:pt idx="31">
                  <c:v>0.12598425196850394</c:v>
                </c:pt>
                <c:pt idx="32">
                  <c:v>0.12992125984251968</c:v>
                </c:pt>
                <c:pt idx="33">
                  <c:v>0.13385826771653545</c:v>
                </c:pt>
                <c:pt idx="34">
                  <c:v>0.13779527559055119</c:v>
                </c:pt>
                <c:pt idx="35">
                  <c:v>0.14173228346456693</c:v>
                </c:pt>
                <c:pt idx="36">
                  <c:v>0.14566929133858267</c:v>
                </c:pt>
                <c:pt idx="37">
                  <c:v>0.14960629921259844</c:v>
                </c:pt>
                <c:pt idx="38">
                  <c:v>0.15354330708661418</c:v>
                </c:pt>
                <c:pt idx="39">
                  <c:v>0.15748031496062992</c:v>
                </c:pt>
                <c:pt idx="40">
                  <c:v>0.16141732283464566</c:v>
                </c:pt>
                <c:pt idx="41">
                  <c:v>0.16535433070866143</c:v>
                </c:pt>
                <c:pt idx="42">
                  <c:v>0.16929133858267717</c:v>
                </c:pt>
                <c:pt idx="43">
                  <c:v>0.17322834645669291</c:v>
                </c:pt>
                <c:pt idx="44">
                  <c:v>0.17716535433070865</c:v>
                </c:pt>
                <c:pt idx="45">
                  <c:v>0.18110236220472442</c:v>
                </c:pt>
                <c:pt idx="46">
                  <c:v>0.18503937007874016</c:v>
                </c:pt>
                <c:pt idx="47">
                  <c:v>0.1889763779527559</c:v>
                </c:pt>
                <c:pt idx="48">
                  <c:v>0.19291338582677164</c:v>
                </c:pt>
                <c:pt idx="49">
                  <c:v>0.19685039370078741</c:v>
                </c:pt>
                <c:pt idx="50">
                  <c:v>0.20472440944881889</c:v>
                </c:pt>
                <c:pt idx="51">
                  <c:v>0.20866141732283464</c:v>
                </c:pt>
                <c:pt idx="52">
                  <c:v>0.2125984251968504</c:v>
                </c:pt>
                <c:pt idx="53">
                  <c:v>0.21653543307086615</c:v>
                </c:pt>
                <c:pt idx="54">
                  <c:v>0.22047244094488189</c:v>
                </c:pt>
                <c:pt idx="55">
                  <c:v>0.2283464566929134</c:v>
                </c:pt>
                <c:pt idx="56">
                  <c:v>0.23228346456692914</c:v>
                </c:pt>
                <c:pt idx="57">
                  <c:v>0.23622047244094488</c:v>
                </c:pt>
                <c:pt idx="58">
                  <c:v>0.24015748031496062</c:v>
                </c:pt>
                <c:pt idx="59">
                  <c:v>0.24409448818897639</c:v>
                </c:pt>
                <c:pt idx="60">
                  <c:v>0.24803149606299213</c:v>
                </c:pt>
                <c:pt idx="61">
                  <c:v>0.25196850393700787</c:v>
                </c:pt>
                <c:pt idx="62">
                  <c:v>0.25590551181102361</c:v>
                </c:pt>
                <c:pt idx="63">
                  <c:v>0.26377952755905509</c:v>
                </c:pt>
                <c:pt idx="64">
                  <c:v>0.26771653543307089</c:v>
                </c:pt>
                <c:pt idx="65">
                  <c:v>0.27559055118110237</c:v>
                </c:pt>
                <c:pt idx="66">
                  <c:v>0.27952755905511811</c:v>
                </c:pt>
                <c:pt idx="67">
                  <c:v>0.2874015748031496</c:v>
                </c:pt>
                <c:pt idx="68">
                  <c:v>0.29133858267716534</c:v>
                </c:pt>
                <c:pt idx="69">
                  <c:v>0.29527559055118108</c:v>
                </c:pt>
                <c:pt idx="70">
                  <c:v>0.29921259842519687</c:v>
                </c:pt>
                <c:pt idx="71">
                  <c:v>0.30314960629921262</c:v>
                </c:pt>
                <c:pt idx="72">
                  <c:v>0.30708661417322836</c:v>
                </c:pt>
                <c:pt idx="73">
                  <c:v>0.3110236220472441</c:v>
                </c:pt>
                <c:pt idx="74">
                  <c:v>0.31496062992125984</c:v>
                </c:pt>
                <c:pt idx="75">
                  <c:v>0.31889763779527558</c:v>
                </c:pt>
                <c:pt idx="76">
                  <c:v>0.32283464566929132</c:v>
                </c:pt>
                <c:pt idx="77">
                  <c:v>0.32677165354330706</c:v>
                </c:pt>
                <c:pt idx="78">
                  <c:v>0.33070866141732286</c:v>
                </c:pt>
                <c:pt idx="79">
                  <c:v>0.3346456692913386</c:v>
                </c:pt>
                <c:pt idx="80">
                  <c:v>0.34251968503937008</c:v>
                </c:pt>
                <c:pt idx="81">
                  <c:v>0.34645669291338582</c:v>
                </c:pt>
                <c:pt idx="82">
                  <c:v>0.35826771653543305</c:v>
                </c:pt>
                <c:pt idx="83">
                  <c:v>0.36220472440944884</c:v>
                </c:pt>
                <c:pt idx="84">
                  <c:v>0.38188976377952755</c:v>
                </c:pt>
                <c:pt idx="85">
                  <c:v>0.39763779527559057</c:v>
                </c:pt>
                <c:pt idx="86">
                  <c:v>0.41732283464566927</c:v>
                </c:pt>
                <c:pt idx="87">
                  <c:v>0.452755905511811</c:v>
                </c:pt>
                <c:pt idx="88">
                  <c:v>0.45669291338582679</c:v>
                </c:pt>
                <c:pt idx="89">
                  <c:v>0.4763779527559055</c:v>
                </c:pt>
                <c:pt idx="90">
                  <c:v>0.48818897637795278</c:v>
                </c:pt>
                <c:pt idx="91">
                  <c:v>0.5</c:v>
                </c:pt>
                <c:pt idx="92">
                  <c:v>0.52362204724409445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6A-0643-AF3B-971998E2BFCB}"/>
            </c:ext>
          </c:extLst>
        </c:ser>
        <c:ser>
          <c:idx val="1"/>
          <c:order val="1"/>
          <c:tx>
            <c:v>Bluegill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'Hard Performance'!$E$95:$E$112</c:f>
              <c:numCache>
                <c:formatCode>0.00</c:formatCode>
                <c:ptCount val="18"/>
                <c:pt idx="0">
                  <c:v>344.13606926317635</c:v>
                </c:pt>
                <c:pt idx="1">
                  <c:v>358.57026166739524</c:v>
                </c:pt>
                <c:pt idx="2">
                  <c:v>363.45088787601605</c:v>
                </c:pt>
                <c:pt idx="3">
                  <c:v>371.03143496600154</c:v>
                </c:pt>
                <c:pt idx="4">
                  <c:v>423.62769928317323</c:v>
                </c:pt>
                <c:pt idx="5">
                  <c:v>436.14106545121928</c:v>
                </c:pt>
                <c:pt idx="6">
                  <c:v>508.3532391398079</c:v>
                </c:pt>
                <c:pt idx="7">
                  <c:v>616.39930959828212</c:v>
                </c:pt>
                <c:pt idx="8">
                  <c:v>636.12408750542716</c:v>
                </c:pt>
                <c:pt idx="9">
                  <c:v>793.31797251882574</c:v>
                </c:pt>
                <c:pt idx="10">
                  <c:v>832.82174879018532</c:v>
                </c:pt>
                <c:pt idx="11">
                  <c:v>878.37474483012249</c:v>
                </c:pt>
                <c:pt idx="12">
                  <c:v>893.09610926861615</c:v>
                </c:pt>
                <c:pt idx="13">
                  <c:v>951.98156702259087</c:v>
                </c:pt>
                <c:pt idx="14">
                  <c:v>1015.464260135787</c:v>
                </c:pt>
                <c:pt idx="15">
                  <c:v>1053.395410932214</c:v>
                </c:pt>
                <c:pt idx="16">
                  <c:v>1241.1229846104063</c:v>
                </c:pt>
                <c:pt idx="17">
                  <c:v>1324.6455293216775</c:v>
                </c:pt>
              </c:numCache>
            </c:numRef>
          </c:xVal>
          <c:yVal>
            <c:numRef>
              <c:f>'Hard Performance'!$F$95:$F$112</c:f>
              <c:numCache>
                <c:formatCode>0.00</c:formatCode>
                <c:ptCount val="18"/>
                <c:pt idx="0">
                  <c:v>0.90551181102362199</c:v>
                </c:pt>
                <c:pt idx="1">
                  <c:v>0.90944881889763785</c:v>
                </c:pt>
                <c:pt idx="2">
                  <c:v>0.91338582677165359</c:v>
                </c:pt>
                <c:pt idx="3">
                  <c:v>0.91732283464566933</c:v>
                </c:pt>
                <c:pt idx="4">
                  <c:v>0.92913385826771655</c:v>
                </c:pt>
                <c:pt idx="5">
                  <c:v>0.93700787401574803</c:v>
                </c:pt>
                <c:pt idx="6">
                  <c:v>0.94094488188976377</c:v>
                </c:pt>
                <c:pt idx="7">
                  <c:v>0.94488188976377951</c:v>
                </c:pt>
                <c:pt idx="8">
                  <c:v>0.94881889763779526</c:v>
                </c:pt>
                <c:pt idx="9">
                  <c:v>0.952755905511811</c:v>
                </c:pt>
                <c:pt idx="10">
                  <c:v>0.95669291338582674</c:v>
                </c:pt>
                <c:pt idx="11">
                  <c:v>0.96062992125984248</c:v>
                </c:pt>
                <c:pt idx="12">
                  <c:v>0.96456692913385822</c:v>
                </c:pt>
                <c:pt idx="13">
                  <c:v>0.96850393700787396</c:v>
                </c:pt>
                <c:pt idx="14">
                  <c:v>0.97244094488188981</c:v>
                </c:pt>
                <c:pt idx="15">
                  <c:v>0.97637795275590555</c:v>
                </c:pt>
                <c:pt idx="16">
                  <c:v>0.98031496062992129</c:v>
                </c:pt>
                <c:pt idx="17">
                  <c:v>0.98425196850393704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6A-0643-AF3B-971998E2BFCB}"/>
            </c:ext>
          </c:extLst>
        </c:ser>
        <c:ser>
          <c:idx val="2"/>
          <c:order val="2"/>
          <c:tx>
            <c:v>Rainbow Trout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'Hard Performance'!$E$113:$E$186</c:f>
              <c:numCache>
                <c:formatCode>0.00</c:formatCode>
                <c:ptCount val="74"/>
                <c:pt idx="0">
                  <c:v>2.1970646246256851</c:v>
                </c:pt>
                <c:pt idx="1">
                  <c:v>2.5721522786619468</c:v>
                </c:pt>
                <c:pt idx="2">
                  <c:v>2.694631980622415</c:v>
                </c:pt>
                <c:pt idx="3">
                  <c:v>2.7345849493913015</c:v>
                </c:pt>
                <c:pt idx="4">
                  <c:v>3.9280872072987552</c:v>
                </c:pt>
                <c:pt idx="5">
                  <c:v>4.0212123867909026</c:v>
                </c:pt>
                <c:pt idx="6">
                  <c:v>4.0941036040603871</c:v>
                </c:pt>
                <c:pt idx="7">
                  <c:v>4.1096905239423558</c:v>
                </c:pt>
                <c:pt idx="8">
                  <c:v>4.2417776043382105</c:v>
                </c:pt>
                <c:pt idx="9">
                  <c:v>4.5291550040697537</c:v>
                </c:pt>
                <c:pt idx="10">
                  <c:v>4.9362396455319546</c:v>
                </c:pt>
                <c:pt idx="11">
                  <c:v>5.2296061726542087</c:v>
                </c:pt>
                <c:pt idx="12">
                  <c:v>5.2910689299880298</c:v>
                </c:pt>
                <c:pt idx="13">
                  <c:v>5.3998611025357892</c:v>
                </c:pt>
                <c:pt idx="14">
                  <c:v>5.5873687900673596</c:v>
                </c:pt>
                <c:pt idx="15">
                  <c:v>5.9683257530264981</c:v>
                </c:pt>
                <c:pt idx="16">
                  <c:v>6.1617811019650501</c:v>
                </c:pt>
                <c:pt idx="17">
                  <c:v>6.8107039222515402</c:v>
                </c:pt>
                <c:pt idx="18">
                  <c:v>6.9583259100720802</c:v>
                </c:pt>
                <c:pt idx="19">
                  <c:v>7.0470438692124855</c:v>
                </c:pt>
                <c:pt idx="20">
                  <c:v>7.3425909548034962</c:v>
                </c:pt>
                <c:pt idx="21">
                  <c:v>7.6614678106226677</c:v>
                </c:pt>
                <c:pt idx="22">
                  <c:v>7.8680808260984669</c:v>
                </c:pt>
                <c:pt idx="23">
                  <c:v>7.8965710746759923</c:v>
                </c:pt>
                <c:pt idx="24">
                  <c:v>8.0713412806784461</c:v>
                </c:pt>
                <c:pt idx="25">
                  <c:v>8.0847533250217101</c:v>
                </c:pt>
                <c:pt idx="26">
                  <c:v>8.5475185787333618</c:v>
                </c:pt>
                <c:pt idx="27">
                  <c:v>8.635024493740465</c:v>
                </c:pt>
                <c:pt idx="28">
                  <c:v>8.9736529052596996</c:v>
                </c:pt>
                <c:pt idx="29">
                  <c:v>9.1952733367786124</c:v>
                </c:pt>
                <c:pt idx="30">
                  <c:v>9.5662526254183593</c:v>
                </c:pt>
                <c:pt idx="31">
                  <c:v>9.6165432318981257</c:v>
                </c:pt>
                <c:pt idx="32">
                  <c:v>10.412823654216444</c:v>
                </c:pt>
                <c:pt idx="33">
                  <c:v>10.624466411415964</c:v>
                </c:pt>
                <c:pt idx="34">
                  <c:v>10.63054705260088</c:v>
                </c:pt>
                <c:pt idx="35">
                  <c:v>10.958347607063519</c:v>
                </c:pt>
                <c:pt idx="36">
                  <c:v>11.471037440214049</c:v>
                </c:pt>
                <c:pt idx="37">
                  <c:v>11.503125706679894</c:v>
                </c:pt>
                <c:pt idx="38">
                  <c:v>11.534368986231422</c:v>
                </c:pt>
                <c:pt idx="39">
                  <c:v>11.879248196857219</c:v>
                </c:pt>
                <c:pt idx="40">
                  <c:v>12.249960729452098</c:v>
                </c:pt>
                <c:pt idx="41">
                  <c:v>12.571579777651559</c:v>
                </c:pt>
                <c:pt idx="42">
                  <c:v>13.438813218158435</c:v>
                </c:pt>
                <c:pt idx="43">
                  <c:v>14.247259703894908</c:v>
                </c:pt>
                <c:pt idx="44">
                  <c:v>14.488137045902509</c:v>
                </c:pt>
                <c:pt idx="45">
                  <c:v>14.561021695327058</c:v>
                </c:pt>
                <c:pt idx="46">
                  <c:v>15.760243035281977</c:v>
                </c:pt>
                <c:pt idx="47">
                  <c:v>16.056882495676906</c:v>
                </c:pt>
                <c:pt idx="48">
                  <c:v>17.97740453278702</c:v>
                </c:pt>
                <c:pt idx="49">
                  <c:v>18.86498911520685</c:v>
                </c:pt>
                <c:pt idx="50">
                  <c:v>19.247206123957145</c:v>
                </c:pt>
                <c:pt idx="51">
                  <c:v>19.785232486680354</c:v>
                </c:pt>
                <c:pt idx="52">
                  <c:v>19.852090625315089</c:v>
                </c:pt>
                <c:pt idx="53">
                  <c:v>20.291366340990784</c:v>
                </c:pt>
                <c:pt idx="54">
                  <c:v>23.209422730580794</c:v>
                </c:pt>
                <c:pt idx="55">
                  <c:v>24.295361764153476</c:v>
                </c:pt>
                <c:pt idx="56">
                  <c:v>24.679159562299056</c:v>
                </c:pt>
                <c:pt idx="57">
                  <c:v>25.974277260591133</c:v>
                </c:pt>
                <c:pt idx="58">
                  <c:v>26.766922931798685</c:v>
                </c:pt>
                <c:pt idx="59">
                  <c:v>28.138886106808823</c:v>
                </c:pt>
                <c:pt idx="60">
                  <c:v>28.510920766970184</c:v>
                </c:pt>
                <c:pt idx="61">
                  <c:v>29.815036085515814</c:v>
                </c:pt>
                <c:pt idx="62">
                  <c:v>31.649499909781916</c:v>
                </c:pt>
                <c:pt idx="63">
                  <c:v>32.515292660430553</c:v>
                </c:pt>
                <c:pt idx="64">
                  <c:v>33.129631988760863</c:v>
                </c:pt>
                <c:pt idx="65">
                  <c:v>37.269856544676948</c:v>
                </c:pt>
                <c:pt idx="66">
                  <c:v>37.799027717750519</c:v>
                </c:pt>
                <c:pt idx="67">
                  <c:v>38.190099916150452</c:v>
                </c:pt>
                <c:pt idx="68">
                  <c:v>40.650760149281645</c:v>
                </c:pt>
                <c:pt idx="69">
                  <c:v>42.458604754235971</c:v>
                </c:pt>
                <c:pt idx="70">
                  <c:v>47.321363425448041</c:v>
                </c:pt>
                <c:pt idx="71">
                  <c:v>50.216367332152181</c:v>
                </c:pt>
                <c:pt idx="72">
                  <c:v>61.844652455931609</c:v>
                </c:pt>
                <c:pt idx="73">
                  <c:v>71.5714574151325</c:v>
                </c:pt>
              </c:numCache>
            </c:numRef>
          </c:xVal>
          <c:yVal>
            <c:numRef>
              <c:f>'Hard Performance'!$F$113:$F$186</c:f>
              <c:numCache>
                <c:formatCode>0.00</c:formatCode>
                <c:ptCount val="74"/>
                <c:pt idx="0">
                  <c:v>0.20078740157480315</c:v>
                </c:pt>
                <c:pt idx="1">
                  <c:v>0.25984251968503935</c:v>
                </c:pt>
                <c:pt idx="2">
                  <c:v>0.27165354330708663</c:v>
                </c:pt>
                <c:pt idx="3">
                  <c:v>0.28346456692913385</c:v>
                </c:pt>
                <c:pt idx="4">
                  <c:v>0.35039370078740156</c:v>
                </c:pt>
                <c:pt idx="5">
                  <c:v>0.3543307086614173</c:v>
                </c:pt>
                <c:pt idx="6">
                  <c:v>0.36614173228346458</c:v>
                </c:pt>
                <c:pt idx="7">
                  <c:v>0.37007874015748032</c:v>
                </c:pt>
                <c:pt idx="8">
                  <c:v>0.37795275590551181</c:v>
                </c:pt>
                <c:pt idx="9">
                  <c:v>0.38582677165354329</c:v>
                </c:pt>
                <c:pt idx="10">
                  <c:v>0.39370078740157483</c:v>
                </c:pt>
                <c:pt idx="11">
                  <c:v>0.40157480314960631</c:v>
                </c:pt>
                <c:pt idx="12">
                  <c:v>0.40551181102362205</c:v>
                </c:pt>
                <c:pt idx="13">
                  <c:v>0.40944881889763779</c:v>
                </c:pt>
                <c:pt idx="14">
                  <c:v>0.41338582677165353</c:v>
                </c:pt>
                <c:pt idx="15">
                  <c:v>0.42519685039370081</c:v>
                </c:pt>
                <c:pt idx="16">
                  <c:v>0.43307086614173229</c:v>
                </c:pt>
                <c:pt idx="17">
                  <c:v>0.43700787401574803</c:v>
                </c:pt>
                <c:pt idx="18">
                  <c:v>0.44094488188976377</c:v>
                </c:pt>
                <c:pt idx="19">
                  <c:v>0.44488188976377951</c:v>
                </c:pt>
                <c:pt idx="20">
                  <c:v>0.44881889763779526</c:v>
                </c:pt>
                <c:pt idx="21">
                  <c:v>0.46456692913385828</c:v>
                </c:pt>
                <c:pt idx="22">
                  <c:v>0.46850393700787402</c:v>
                </c:pt>
                <c:pt idx="23">
                  <c:v>0.47244094488188976</c:v>
                </c:pt>
                <c:pt idx="24">
                  <c:v>0.48031496062992124</c:v>
                </c:pt>
                <c:pt idx="25">
                  <c:v>0.48425196850393698</c:v>
                </c:pt>
                <c:pt idx="26">
                  <c:v>0.49212598425196852</c:v>
                </c:pt>
                <c:pt idx="27">
                  <c:v>0.49606299212598426</c:v>
                </c:pt>
                <c:pt idx="28">
                  <c:v>0.50393700787401574</c:v>
                </c:pt>
                <c:pt idx="29">
                  <c:v>0.51181102362204722</c:v>
                </c:pt>
                <c:pt idx="30">
                  <c:v>0.51574803149606296</c:v>
                </c:pt>
                <c:pt idx="31">
                  <c:v>0.51968503937007871</c:v>
                </c:pt>
                <c:pt idx="32">
                  <c:v>0.52755905511811019</c:v>
                </c:pt>
                <c:pt idx="33">
                  <c:v>0.53149606299212604</c:v>
                </c:pt>
                <c:pt idx="34">
                  <c:v>0.53543307086614178</c:v>
                </c:pt>
                <c:pt idx="35">
                  <c:v>0.53937007874015752</c:v>
                </c:pt>
                <c:pt idx="36">
                  <c:v>0.54330708661417326</c:v>
                </c:pt>
                <c:pt idx="37">
                  <c:v>0.547244094488189</c:v>
                </c:pt>
                <c:pt idx="38">
                  <c:v>0.55118110236220474</c:v>
                </c:pt>
                <c:pt idx="39">
                  <c:v>0.55511811023622049</c:v>
                </c:pt>
                <c:pt idx="40">
                  <c:v>0.56299212598425197</c:v>
                </c:pt>
                <c:pt idx="41">
                  <c:v>0.57086614173228345</c:v>
                </c:pt>
                <c:pt idx="42">
                  <c:v>0.57480314960629919</c:v>
                </c:pt>
                <c:pt idx="43">
                  <c:v>0.58267716535433067</c:v>
                </c:pt>
                <c:pt idx="44">
                  <c:v>0.58661417322834641</c:v>
                </c:pt>
                <c:pt idx="45">
                  <c:v>0.59055118110236215</c:v>
                </c:pt>
                <c:pt idx="46">
                  <c:v>0.60629921259842523</c:v>
                </c:pt>
                <c:pt idx="47">
                  <c:v>0.61023622047244097</c:v>
                </c:pt>
                <c:pt idx="48">
                  <c:v>0.62204724409448819</c:v>
                </c:pt>
                <c:pt idx="49">
                  <c:v>0.62598425196850394</c:v>
                </c:pt>
                <c:pt idx="50">
                  <c:v>0.63385826771653542</c:v>
                </c:pt>
                <c:pt idx="51">
                  <c:v>0.6417322834645669</c:v>
                </c:pt>
                <c:pt idx="52">
                  <c:v>0.64566929133858264</c:v>
                </c:pt>
                <c:pt idx="53">
                  <c:v>0.65354330708661412</c:v>
                </c:pt>
                <c:pt idx="54">
                  <c:v>0.66535433070866146</c:v>
                </c:pt>
                <c:pt idx="55">
                  <c:v>0.67322834645669294</c:v>
                </c:pt>
                <c:pt idx="56">
                  <c:v>0.67716535433070868</c:v>
                </c:pt>
                <c:pt idx="57">
                  <c:v>0.68503937007874016</c:v>
                </c:pt>
                <c:pt idx="58">
                  <c:v>0.6889763779527559</c:v>
                </c:pt>
                <c:pt idx="59">
                  <c:v>0.69291338582677164</c:v>
                </c:pt>
                <c:pt idx="60">
                  <c:v>0.69685039370078738</c:v>
                </c:pt>
                <c:pt idx="61">
                  <c:v>0.70078740157480313</c:v>
                </c:pt>
                <c:pt idx="62">
                  <c:v>0.70472440944881887</c:v>
                </c:pt>
                <c:pt idx="63">
                  <c:v>0.70866141732283461</c:v>
                </c:pt>
                <c:pt idx="64">
                  <c:v>0.71259842519685035</c:v>
                </c:pt>
                <c:pt idx="65">
                  <c:v>0.72047244094488194</c:v>
                </c:pt>
                <c:pt idx="66">
                  <c:v>0.72440944881889768</c:v>
                </c:pt>
                <c:pt idx="67">
                  <c:v>0.72834645669291342</c:v>
                </c:pt>
                <c:pt idx="68">
                  <c:v>0.73228346456692917</c:v>
                </c:pt>
                <c:pt idx="69">
                  <c:v>0.74803149606299213</c:v>
                </c:pt>
                <c:pt idx="70">
                  <c:v>0.75590551181102361</c:v>
                </c:pt>
                <c:pt idx="71">
                  <c:v>0.75984251968503935</c:v>
                </c:pt>
                <c:pt idx="72">
                  <c:v>0.77559055118110232</c:v>
                </c:pt>
                <c:pt idx="73">
                  <c:v>0.79133858267716539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6A-0643-AF3B-971998E2BFCB}"/>
            </c:ext>
          </c:extLst>
        </c:ser>
        <c:ser>
          <c:idx val="3"/>
          <c:order val="3"/>
          <c:tx>
            <c:v>Physa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'Hard Performance'!$E$187:$E$198</c:f>
              <c:numCache>
                <c:formatCode>0.00</c:formatCode>
                <c:ptCount val="12"/>
                <c:pt idx="0">
                  <c:v>4.6981896496317823</c:v>
                </c:pt>
                <c:pt idx="1">
                  <c:v>12.016107168413082</c:v>
                </c:pt>
                <c:pt idx="2">
                  <c:v>14.643535984901908</c:v>
                </c:pt>
                <c:pt idx="3">
                  <c:v>15.047197264949716</c:v>
                </c:pt>
                <c:pt idx="4">
                  <c:v>16.914975560117714</c:v>
                </c:pt>
                <c:pt idx="5">
                  <c:v>20.974569694545966</c:v>
                </c:pt>
                <c:pt idx="6">
                  <c:v>22.741256750565356</c:v>
                </c:pt>
                <c:pt idx="7">
                  <c:v>34.208016803770576</c:v>
                </c:pt>
                <c:pt idx="8">
                  <c:v>40.934262151017641</c:v>
                </c:pt>
                <c:pt idx="9">
                  <c:v>40.983324658665396</c:v>
                </c:pt>
                <c:pt idx="10">
                  <c:v>46.9325169478265</c:v>
                </c:pt>
                <c:pt idx="11">
                  <c:v>53.644636776373325</c:v>
                </c:pt>
              </c:numCache>
            </c:numRef>
          </c:xVal>
          <c:yVal>
            <c:numRef>
              <c:f>'Hard Performance'!$F$187:$F$198</c:f>
              <c:numCache>
                <c:formatCode>0.00</c:formatCode>
                <c:ptCount val="12"/>
                <c:pt idx="0">
                  <c:v>0.38976377952755903</c:v>
                </c:pt>
                <c:pt idx="1">
                  <c:v>0.55905511811023623</c:v>
                </c:pt>
                <c:pt idx="2">
                  <c:v>0.59448818897637801</c:v>
                </c:pt>
                <c:pt idx="3">
                  <c:v>0.59842519685039375</c:v>
                </c:pt>
                <c:pt idx="4">
                  <c:v>0.61811023622047245</c:v>
                </c:pt>
                <c:pt idx="5">
                  <c:v>0.65748031496062997</c:v>
                </c:pt>
                <c:pt idx="6">
                  <c:v>0.66141732283464572</c:v>
                </c:pt>
                <c:pt idx="7">
                  <c:v>0.71653543307086609</c:v>
                </c:pt>
                <c:pt idx="8">
                  <c:v>0.73622047244094491</c:v>
                </c:pt>
                <c:pt idx="9">
                  <c:v>0.74015748031496065</c:v>
                </c:pt>
                <c:pt idx="10">
                  <c:v>0.75196850393700787</c:v>
                </c:pt>
                <c:pt idx="11">
                  <c:v>0.76771653543307083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76A-0643-AF3B-971998E2BFCB}"/>
            </c:ext>
          </c:extLst>
        </c:ser>
        <c:ser>
          <c:idx val="4"/>
          <c:order val="4"/>
          <c:tx>
            <c:v>Fathead Minnow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'Hard Performance'!$E$199:$E$237</c:f>
              <c:numCache>
                <c:formatCode>0.00</c:formatCode>
                <c:ptCount val="39"/>
                <c:pt idx="0">
                  <c:v>2.4104670655145015</c:v>
                </c:pt>
                <c:pt idx="1">
                  <c:v>3.6522228265371233</c:v>
                </c:pt>
                <c:pt idx="2">
                  <c:v>5.6974676093979122</c:v>
                </c:pt>
                <c:pt idx="3">
                  <c:v>9.1916609099368625</c:v>
                </c:pt>
                <c:pt idx="4">
                  <c:v>13.605533794478548</c:v>
                </c:pt>
                <c:pt idx="5">
                  <c:v>16.787762584438155</c:v>
                </c:pt>
                <c:pt idx="6">
                  <c:v>19.228532018488611</c:v>
                </c:pt>
                <c:pt idx="7">
                  <c:v>19.545485842969192</c:v>
                </c:pt>
                <c:pt idx="8">
                  <c:v>20.24135075527607</c:v>
                </c:pt>
                <c:pt idx="9">
                  <c:v>23.984311609759647</c:v>
                </c:pt>
                <c:pt idx="10">
                  <c:v>51.900889040706446</c:v>
                </c:pt>
                <c:pt idx="11">
                  <c:v>64.707601920880762</c:v>
                </c:pt>
                <c:pt idx="12">
                  <c:v>82.525863454343096</c:v>
                </c:pt>
                <c:pt idx="13">
                  <c:v>84.014786293163027</c:v>
                </c:pt>
                <c:pt idx="14">
                  <c:v>88.604282932064891</c:v>
                </c:pt>
                <c:pt idx="15">
                  <c:v>98.245075540884642</c:v>
                </c:pt>
                <c:pt idx="16">
                  <c:v>106.50796657293812</c:v>
                </c:pt>
                <c:pt idx="17">
                  <c:v>117.89409064906157</c:v>
                </c:pt>
                <c:pt idx="18">
                  <c:v>127.71859820315004</c:v>
                </c:pt>
                <c:pt idx="19">
                  <c:v>138.15294422445706</c:v>
                </c:pt>
                <c:pt idx="20">
                  <c:v>138.77736652340192</c:v>
                </c:pt>
                <c:pt idx="21">
                  <c:v>144.62408669419477</c:v>
                </c:pt>
                <c:pt idx="22">
                  <c:v>145.75254555096146</c:v>
                </c:pt>
                <c:pt idx="23">
                  <c:v>157.05074216213768</c:v>
                </c:pt>
                <c:pt idx="24">
                  <c:v>161.05703191927518</c:v>
                </c:pt>
                <c:pt idx="25">
                  <c:v>163.25151940836011</c:v>
                </c:pt>
                <c:pt idx="26">
                  <c:v>171.87956760233953</c:v>
                </c:pt>
                <c:pt idx="27">
                  <c:v>172.31712904431637</c:v>
                </c:pt>
                <c:pt idx="28">
                  <c:v>200.73742217103495</c:v>
                </c:pt>
                <c:pt idx="29">
                  <c:v>221.1821174694731</c:v>
                </c:pt>
                <c:pt idx="30">
                  <c:v>223.03712829727635</c:v>
                </c:pt>
                <c:pt idx="31">
                  <c:v>274.82288595274997</c:v>
                </c:pt>
                <c:pt idx="32">
                  <c:v>324.71175790176449</c:v>
                </c:pt>
                <c:pt idx="33">
                  <c:v>335.74102784115934</c:v>
                </c:pt>
                <c:pt idx="34">
                  <c:v>341.78871563525752</c:v>
                </c:pt>
                <c:pt idx="35">
                  <c:v>404.5212598660865</c:v>
                </c:pt>
                <c:pt idx="36">
                  <c:v>407.47396979211635</c:v>
                </c:pt>
                <c:pt idx="37">
                  <c:v>431.63064711667312</c:v>
                </c:pt>
                <c:pt idx="38">
                  <c:v>2251.2853168306433</c:v>
                </c:pt>
              </c:numCache>
            </c:numRef>
          </c:xVal>
          <c:yVal>
            <c:numRef>
              <c:f>'Hard Performance'!$F$199:$F$237</c:f>
              <c:numCache>
                <c:formatCode>0.00</c:formatCode>
                <c:ptCount val="39"/>
                <c:pt idx="0">
                  <c:v>0.22440944881889763</c:v>
                </c:pt>
                <c:pt idx="1">
                  <c:v>0.33858267716535434</c:v>
                </c:pt>
                <c:pt idx="2">
                  <c:v>0.42125984251968501</c:v>
                </c:pt>
                <c:pt idx="3">
                  <c:v>0.50787401574803148</c:v>
                </c:pt>
                <c:pt idx="4">
                  <c:v>0.57874015748031493</c:v>
                </c:pt>
                <c:pt idx="5">
                  <c:v>0.61417322834645671</c:v>
                </c:pt>
                <c:pt idx="6">
                  <c:v>0.62992125984251968</c:v>
                </c:pt>
                <c:pt idx="7">
                  <c:v>0.63779527559055116</c:v>
                </c:pt>
                <c:pt idx="8">
                  <c:v>0.64960629921259838</c:v>
                </c:pt>
                <c:pt idx="9">
                  <c:v>0.6692913385826772</c:v>
                </c:pt>
                <c:pt idx="10">
                  <c:v>0.76377952755905509</c:v>
                </c:pt>
                <c:pt idx="11">
                  <c:v>0.77952755905511806</c:v>
                </c:pt>
                <c:pt idx="12">
                  <c:v>0.80708661417322836</c:v>
                </c:pt>
                <c:pt idx="13">
                  <c:v>0.8110236220472441</c:v>
                </c:pt>
                <c:pt idx="14">
                  <c:v>0.81496062992125984</c:v>
                </c:pt>
                <c:pt idx="15">
                  <c:v>0.82677165354330706</c:v>
                </c:pt>
                <c:pt idx="16">
                  <c:v>0.8307086614173228</c:v>
                </c:pt>
                <c:pt idx="17">
                  <c:v>0.83464566929133854</c:v>
                </c:pt>
                <c:pt idx="18">
                  <c:v>0.83858267716535428</c:v>
                </c:pt>
                <c:pt idx="19">
                  <c:v>0.84251968503937003</c:v>
                </c:pt>
                <c:pt idx="20">
                  <c:v>0.84645669291338588</c:v>
                </c:pt>
                <c:pt idx="21">
                  <c:v>0.85039370078740162</c:v>
                </c:pt>
                <c:pt idx="22">
                  <c:v>0.85433070866141736</c:v>
                </c:pt>
                <c:pt idx="23">
                  <c:v>0.8582677165354331</c:v>
                </c:pt>
                <c:pt idx="24">
                  <c:v>0.86220472440944884</c:v>
                </c:pt>
                <c:pt idx="25">
                  <c:v>0.86614173228346458</c:v>
                </c:pt>
                <c:pt idx="26">
                  <c:v>0.87007874015748032</c:v>
                </c:pt>
                <c:pt idx="27">
                  <c:v>0.87401574803149606</c:v>
                </c:pt>
                <c:pt idx="28">
                  <c:v>0.87795275590551181</c:v>
                </c:pt>
                <c:pt idx="29">
                  <c:v>0.88188976377952755</c:v>
                </c:pt>
                <c:pt idx="30">
                  <c:v>0.88582677165354329</c:v>
                </c:pt>
                <c:pt idx="31">
                  <c:v>0.88976377952755903</c:v>
                </c:pt>
                <c:pt idx="32">
                  <c:v>0.89370078740157477</c:v>
                </c:pt>
                <c:pt idx="33">
                  <c:v>0.89763779527559051</c:v>
                </c:pt>
                <c:pt idx="34">
                  <c:v>0.90157480314960625</c:v>
                </c:pt>
                <c:pt idx="35">
                  <c:v>0.92125984251968507</c:v>
                </c:pt>
                <c:pt idx="36">
                  <c:v>0.92519685039370081</c:v>
                </c:pt>
                <c:pt idx="37">
                  <c:v>0.93307086614173229</c:v>
                </c:pt>
                <c:pt idx="38">
                  <c:v>0.98818897637795278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76A-0643-AF3B-971998E2BFCB}"/>
            </c:ext>
          </c:extLst>
        </c:ser>
        <c:ser>
          <c:idx val="5"/>
          <c:order val="5"/>
          <c:tx>
            <c:v>Guppy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'Hard Performance'!$E$238:$E$244</c:f>
              <c:numCache>
                <c:formatCode>0.00</c:formatCode>
                <c:ptCount val="7"/>
                <c:pt idx="0">
                  <c:v>4.2233586553857023</c:v>
                </c:pt>
                <c:pt idx="1">
                  <c:v>6.0037704060912516</c:v>
                </c:pt>
                <c:pt idx="2">
                  <c:v>7.453892735168238</c:v>
                </c:pt>
                <c:pt idx="3">
                  <c:v>12.257448971090689</c:v>
                </c:pt>
                <c:pt idx="4">
                  <c:v>15.534192755441664</c:v>
                </c:pt>
                <c:pt idx="5">
                  <c:v>71.008012725919542</c:v>
                </c:pt>
                <c:pt idx="6">
                  <c:v>76.627351862503104</c:v>
                </c:pt>
              </c:numCache>
            </c:numRef>
          </c:xVal>
          <c:yVal>
            <c:numRef>
              <c:f>'Hard Performance'!$F$238:$F$244</c:f>
              <c:numCache>
                <c:formatCode>0.00</c:formatCode>
                <c:ptCount val="7"/>
                <c:pt idx="0">
                  <c:v>0.37401574803149606</c:v>
                </c:pt>
                <c:pt idx="1">
                  <c:v>0.42913385826771655</c:v>
                </c:pt>
                <c:pt idx="2">
                  <c:v>0.46062992125984253</c:v>
                </c:pt>
                <c:pt idx="3">
                  <c:v>0.56692913385826771</c:v>
                </c:pt>
                <c:pt idx="4">
                  <c:v>0.60236220472440949</c:v>
                </c:pt>
                <c:pt idx="5">
                  <c:v>0.78740157480314965</c:v>
                </c:pt>
                <c:pt idx="6">
                  <c:v>0.79527559055118113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76A-0643-AF3B-971998E2BFCB}"/>
            </c:ext>
          </c:extLst>
        </c:ser>
        <c:ser>
          <c:idx val="6"/>
          <c:order val="6"/>
          <c:tx>
            <c:v>Brook Trout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'Hard Performance'!$E$245:$E$252</c:f>
              <c:numCache>
                <c:formatCode>0.00</c:formatCode>
                <c:ptCount val="8"/>
                <c:pt idx="0">
                  <c:v>25.858444859926735</c:v>
                </c:pt>
                <c:pt idx="1">
                  <c:v>41.27540385500501</c:v>
                </c:pt>
                <c:pt idx="2">
                  <c:v>59.75550154390983</c:v>
                </c:pt>
                <c:pt idx="3">
                  <c:v>66.847543253284201</c:v>
                </c:pt>
                <c:pt idx="4">
                  <c:v>79.376168608939963</c:v>
                </c:pt>
                <c:pt idx="5">
                  <c:v>81.445539395515098</c:v>
                </c:pt>
                <c:pt idx="6">
                  <c:v>89.822928348522012</c:v>
                </c:pt>
                <c:pt idx="7">
                  <c:v>97.400484159875631</c:v>
                </c:pt>
              </c:numCache>
            </c:numRef>
          </c:xVal>
          <c:yVal>
            <c:numRef>
              <c:f>'Hard Performance'!$F$245:$F$252</c:f>
              <c:numCache>
                <c:formatCode>0.00</c:formatCode>
                <c:ptCount val="8"/>
                <c:pt idx="0">
                  <c:v>0.68110236220472442</c:v>
                </c:pt>
                <c:pt idx="1">
                  <c:v>0.74409448818897639</c:v>
                </c:pt>
                <c:pt idx="2">
                  <c:v>0.77165354330708658</c:v>
                </c:pt>
                <c:pt idx="3">
                  <c:v>0.78346456692913391</c:v>
                </c:pt>
                <c:pt idx="4">
                  <c:v>0.79921259842519687</c:v>
                </c:pt>
                <c:pt idx="5">
                  <c:v>0.80314960629921262</c:v>
                </c:pt>
                <c:pt idx="6">
                  <c:v>0.81889763779527558</c:v>
                </c:pt>
                <c:pt idx="7">
                  <c:v>0.82283464566929132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76A-0643-AF3B-971998E2B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3763072"/>
        <c:axId val="1633767488"/>
      </c:scatterChart>
      <c:valAx>
        <c:axId val="163376307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Residual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767488"/>
        <c:crosses val="autoZero"/>
        <c:crossBetween val="midCat"/>
      </c:valAx>
      <c:valAx>
        <c:axId val="16337674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CDF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763072"/>
        <c:crosses val="autoZero"/>
        <c:crossBetween val="midCat"/>
        <c:minorUnit val="0.05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24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730058264208699"/>
          <c:y val="0.50594656587853104"/>
          <c:w val="0.60505610136195898"/>
          <c:h val="0.31856318240195303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42230535244"/>
          <c:y val="3.9779227305133197E-2"/>
          <c:w val="0.78090719599313896"/>
          <c:h val="0.80468063492954223"/>
        </c:manualLayout>
      </c:layout>
      <c:scatterChart>
        <c:scatterStyle val="lineMarker"/>
        <c:varyColors val="0"/>
        <c:ser>
          <c:idx val="0"/>
          <c:order val="0"/>
          <c:tx>
            <c:v>D. magna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'MLR Performance'!$G$2:$G$31</c:f>
              <c:numCache>
                <c:formatCode>0.00</c:formatCode>
                <c:ptCount val="30"/>
                <c:pt idx="0">
                  <c:v>1.0008605457358069</c:v>
                </c:pt>
                <c:pt idx="1">
                  <c:v>1.0385544704189422</c:v>
                </c:pt>
                <c:pt idx="2">
                  <c:v>1.0385544704189422</c:v>
                </c:pt>
                <c:pt idx="3">
                  <c:v>1.0691488081184513</c:v>
                </c:pt>
                <c:pt idx="4">
                  <c:v>1.1598912426172996</c:v>
                </c:pt>
                <c:pt idx="5">
                  <c:v>1.1950725204687764</c:v>
                </c:pt>
                <c:pt idx="6">
                  <c:v>1.2103212966441386</c:v>
                </c:pt>
                <c:pt idx="7">
                  <c:v>1.2179890985477682</c:v>
                </c:pt>
                <c:pt idx="8">
                  <c:v>1.265335901037054</c:v>
                </c:pt>
                <c:pt idx="9">
                  <c:v>1.3051449894593214</c:v>
                </c:pt>
                <c:pt idx="10">
                  <c:v>1.358781084916554</c:v>
                </c:pt>
                <c:pt idx="11">
                  <c:v>1.358781084916554</c:v>
                </c:pt>
                <c:pt idx="12">
                  <c:v>1.4034519870526245</c:v>
                </c:pt>
                <c:pt idx="13">
                  <c:v>1.4214996593315743</c:v>
                </c:pt>
                <c:pt idx="14">
                  <c:v>1.4651257801481679</c:v>
                </c:pt>
                <c:pt idx="15">
                  <c:v>1.5122336801399727</c:v>
                </c:pt>
                <c:pt idx="16">
                  <c:v>1.5508728255594859</c:v>
                </c:pt>
                <c:pt idx="17">
                  <c:v>1.57985633054775</c:v>
                </c:pt>
                <c:pt idx="18">
                  <c:v>1.6531836533151405</c:v>
                </c:pt>
                <c:pt idx="19">
                  <c:v>1.6654848611940711</c:v>
                </c:pt>
                <c:pt idx="20">
                  <c:v>2.0967913595252718</c:v>
                </c:pt>
                <c:pt idx="21">
                  <c:v>2.2047144442067199</c:v>
                </c:pt>
                <c:pt idx="22">
                  <c:v>2.2047144442067199</c:v>
                </c:pt>
                <c:pt idx="23">
                  <c:v>2.268350520209959</c:v>
                </c:pt>
                <c:pt idx="24">
                  <c:v>2.3897254465177733</c:v>
                </c:pt>
                <c:pt idx="25">
                  <c:v>2.4094923303563567</c:v>
                </c:pt>
                <c:pt idx="26">
                  <c:v>2.429655446091556</c:v>
                </c:pt>
                <c:pt idx="27">
                  <c:v>2.4498185618267563</c:v>
                </c:pt>
                <c:pt idx="28">
                  <c:v>2.5405525826351543</c:v>
                </c:pt>
                <c:pt idx="29">
                  <c:v>2.9672984869112633</c:v>
                </c:pt>
              </c:numCache>
            </c:numRef>
          </c:xVal>
          <c:yVal>
            <c:numRef>
              <c:f>'MLR Performance'!$J$2:$J$31</c:f>
              <c:numCache>
                <c:formatCode>0.00</c:formatCode>
                <c:ptCount val="30"/>
                <c:pt idx="0">
                  <c:v>1.282051282051282E-2</c:v>
                </c:pt>
                <c:pt idx="1">
                  <c:v>5.128205128205128E-2</c:v>
                </c:pt>
                <c:pt idx="2">
                  <c:v>6.4102564102564097E-2</c:v>
                </c:pt>
                <c:pt idx="3">
                  <c:v>8.9743589743589744E-2</c:v>
                </c:pt>
                <c:pt idx="4">
                  <c:v>0.16666666666666666</c:v>
                </c:pt>
                <c:pt idx="5">
                  <c:v>0.19230769230769232</c:v>
                </c:pt>
                <c:pt idx="6">
                  <c:v>0.20512820512820512</c:v>
                </c:pt>
                <c:pt idx="7">
                  <c:v>0.21794871794871795</c:v>
                </c:pt>
                <c:pt idx="8">
                  <c:v>0.24358974358974358</c:v>
                </c:pt>
                <c:pt idx="9">
                  <c:v>0.26923076923076922</c:v>
                </c:pt>
                <c:pt idx="10">
                  <c:v>0.29487179487179488</c:v>
                </c:pt>
                <c:pt idx="11">
                  <c:v>0.30769230769230771</c:v>
                </c:pt>
                <c:pt idx="12">
                  <c:v>0.34615384615384615</c:v>
                </c:pt>
                <c:pt idx="13">
                  <c:v>0.35897435897435898</c:v>
                </c:pt>
                <c:pt idx="14">
                  <c:v>0.37179487179487181</c:v>
                </c:pt>
                <c:pt idx="15">
                  <c:v>0.38461538461538464</c:v>
                </c:pt>
                <c:pt idx="16">
                  <c:v>0.41025641025641024</c:v>
                </c:pt>
                <c:pt idx="17">
                  <c:v>0.4358974358974359</c:v>
                </c:pt>
                <c:pt idx="18">
                  <c:v>0.47435897435897434</c:v>
                </c:pt>
                <c:pt idx="19">
                  <c:v>0.48717948717948717</c:v>
                </c:pt>
                <c:pt idx="20">
                  <c:v>0.53846153846153844</c:v>
                </c:pt>
                <c:pt idx="21">
                  <c:v>0.5641025641025641</c:v>
                </c:pt>
                <c:pt idx="22">
                  <c:v>0.57692307692307687</c:v>
                </c:pt>
                <c:pt idx="23">
                  <c:v>0.61538461538461542</c:v>
                </c:pt>
                <c:pt idx="24">
                  <c:v>0.64102564102564108</c:v>
                </c:pt>
                <c:pt idx="25">
                  <c:v>0.65384615384615385</c:v>
                </c:pt>
                <c:pt idx="26">
                  <c:v>0.66666666666666663</c:v>
                </c:pt>
                <c:pt idx="27">
                  <c:v>0.67948717948717952</c:v>
                </c:pt>
                <c:pt idx="28">
                  <c:v>0.69230769230769229</c:v>
                </c:pt>
                <c:pt idx="29">
                  <c:v>0.73076923076923073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2E-AE46-AEA7-F1CC91A531B1}"/>
            </c:ext>
          </c:extLst>
        </c:ser>
        <c:ser>
          <c:idx val="1"/>
          <c:order val="1"/>
          <c:tx>
            <c:v>Rainbow Trout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'MLR Performance'!$G$32:$G$50</c:f>
              <c:numCache>
                <c:formatCode>0.00</c:formatCode>
                <c:ptCount val="19"/>
                <c:pt idx="0">
                  <c:v>3.2009205302007322</c:v>
                </c:pt>
                <c:pt idx="1">
                  <c:v>4.1542178816757689</c:v>
                </c:pt>
                <c:pt idx="2">
                  <c:v>1.030618969337364</c:v>
                </c:pt>
                <c:pt idx="3">
                  <c:v>1.0665190873586887</c:v>
                </c:pt>
                <c:pt idx="4">
                  <c:v>1.0757350114360067</c:v>
                </c:pt>
                <c:pt idx="5">
                  <c:v>1.0927983928290181</c:v>
                </c:pt>
                <c:pt idx="6">
                  <c:v>1.1104699413888073</c:v>
                </c:pt>
                <c:pt idx="7">
                  <c:v>1.1865080936171573</c:v>
                </c:pt>
                <c:pt idx="8">
                  <c:v>1.372600383220032</c:v>
                </c:pt>
                <c:pt idx="9">
                  <c:v>1.3799870578590903</c:v>
                </c:pt>
                <c:pt idx="10">
                  <c:v>1.5540663595190705</c:v>
                </c:pt>
                <c:pt idx="11">
                  <c:v>1.6365974284743909</c:v>
                </c:pt>
                <c:pt idx="12">
                  <c:v>1.7313685707649349</c:v>
                </c:pt>
                <c:pt idx="13">
                  <c:v>1.7464675582505702</c:v>
                </c:pt>
                <c:pt idx="14">
                  <c:v>1.8503946101845272</c:v>
                </c:pt>
                <c:pt idx="15">
                  <c:v>2.6692103910424452</c:v>
                </c:pt>
                <c:pt idx="16">
                  <c:v>2.7313273020195368</c:v>
                </c:pt>
                <c:pt idx="17">
                  <c:v>3.466017114206966</c:v>
                </c:pt>
                <c:pt idx="18">
                  <c:v>3.5103788615249147</c:v>
                </c:pt>
              </c:numCache>
            </c:numRef>
          </c:xVal>
          <c:yVal>
            <c:numRef>
              <c:f>'MLR Performance'!$J$32:$J$50</c:f>
              <c:numCache>
                <c:formatCode>0.00</c:formatCode>
                <c:ptCount val="19"/>
                <c:pt idx="0">
                  <c:v>0.74358974358974361</c:v>
                </c:pt>
                <c:pt idx="1">
                  <c:v>0.87179487179487181</c:v>
                </c:pt>
                <c:pt idx="2">
                  <c:v>3.8461538461538464E-2</c:v>
                </c:pt>
                <c:pt idx="3">
                  <c:v>7.6923076923076927E-2</c:v>
                </c:pt>
                <c:pt idx="4">
                  <c:v>0.10256410256410256</c:v>
                </c:pt>
                <c:pt idx="5">
                  <c:v>0.11538461538461539</c:v>
                </c:pt>
                <c:pt idx="6">
                  <c:v>0.12820512820512819</c:v>
                </c:pt>
                <c:pt idx="7">
                  <c:v>0.17948717948717949</c:v>
                </c:pt>
                <c:pt idx="8">
                  <c:v>0.32051282051282054</c:v>
                </c:pt>
                <c:pt idx="9">
                  <c:v>0.33333333333333331</c:v>
                </c:pt>
                <c:pt idx="10">
                  <c:v>0.42307692307692307</c:v>
                </c:pt>
                <c:pt idx="11">
                  <c:v>0.46153846153846156</c:v>
                </c:pt>
                <c:pt idx="12">
                  <c:v>0.5</c:v>
                </c:pt>
                <c:pt idx="13">
                  <c:v>0.51282051282051277</c:v>
                </c:pt>
                <c:pt idx="14">
                  <c:v>0.52564102564102566</c:v>
                </c:pt>
                <c:pt idx="15">
                  <c:v>0.70512820512820518</c:v>
                </c:pt>
                <c:pt idx="16">
                  <c:v>0.71794871794871795</c:v>
                </c:pt>
                <c:pt idx="17">
                  <c:v>0.78205128205128205</c:v>
                </c:pt>
                <c:pt idx="18">
                  <c:v>0.80769230769230771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2E-AE46-AEA7-F1CC91A531B1}"/>
            </c:ext>
          </c:extLst>
        </c:ser>
        <c:ser>
          <c:idx val="2"/>
          <c:order val="2"/>
          <c:tx>
            <c:v>Algae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'MLR Performance'!$G$51:$G$75</c:f>
              <c:numCache>
                <c:formatCode>0.00</c:formatCode>
                <c:ptCount val="25"/>
                <c:pt idx="0">
                  <c:v>4.4994834203518579</c:v>
                </c:pt>
                <c:pt idx="1">
                  <c:v>6.022749791730285</c:v>
                </c:pt>
                <c:pt idx="2">
                  <c:v>1.0235924346939818</c:v>
                </c:pt>
                <c:pt idx="3">
                  <c:v>1.1277538749436173</c:v>
                </c:pt>
                <c:pt idx="4">
                  <c:v>1.141465345689233</c:v>
                </c:pt>
                <c:pt idx="5">
                  <c:v>1.2299163631729786</c:v>
                </c:pt>
                <c:pt idx="6">
                  <c:v>1.3039791752584962</c:v>
                </c:pt>
                <c:pt idx="7">
                  <c:v>1.3432345637616778</c:v>
                </c:pt>
                <c:pt idx="8">
                  <c:v>1.5141027290101783</c:v>
                </c:pt>
                <c:pt idx="9">
                  <c:v>1.6210220834399542</c:v>
                </c:pt>
                <c:pt idx="10">
                  <c:v>2.1159354110539059</c:v>
                </c:pt>
                <c:pt idx="11">
                  <c:v>2.2427220090102606</c:v>
                </c:pt>
                <c:pt idx="12">
                  <c:v>2.2464529513405442</c:v>
                </c:pt>
                <c:pt idx="13">
                  <c:v>2.3351230227902491</c:v>
                </c:pt>
                <c:pt idx="14">
                  <c:v>3.2517728832819932</c:v>
                </c:pt>
                <c:pt idx="15">
                  <c:v>3.4323247344362193</c:v>
                </c:pt>
                <c:pt idx="16">
                  <c:v>3.4727050254295868</c:v>
                </c:pt>
                <c:pt idx="17">
                  <c:v>3.6897490895189358</c:v>
                </c:pt>
                <c:pt idx="18">
                  <c:v>3.7364547741963903</c:v>
                </c:pt>
                <c:pt idx="19">
                  <c:v>3.8335055475521411</c:v>
                </c:pt>
                <c:pt idx="20">
                  <c:v>3.9889179346150656</c:v>
                </c:pt>
                <c:pt idx="21">
                  <c:v>4.3408812817869835</c:v>
                </c:pt>
                <c:pt idx="22">
                  <c:v>5.3669077665729974</c:v>
                </c:pt>
                <c:pt idx="23">
                  <c:v>5.3669077665729974</c:v>
                </c:pt>
                <c:pt idx="24">
                  <c:v>5.4662949474354603</c:v>
                </c:pt>
              </c:numCache>
            </c:numRef>
          </c:xVal>
          <c:yVal>
            <c:numRef>
              <c:f>'MLR Performance'!$J$51:$J$75</c:f>
              <c:numCache>
                <c:formatCode>0.00</c:formatCode>
                <c:ptCount val="25"/>
                <c:pt idx="0">
                  <c:v>0.89743589743589747</c:v>
                </c:pt>
                <c:pt idx="1">
                  <c:v>0.97435897435897434</c:v>
                </c:pt>
                <c:pt idx="2">
                  <c:v>2.564102564102564E-2</c:v>
                </c:pt>
                <c:pt idx="3">
                  <c:v>0.14102564102564102</c:v>
                </c:pt>
                <c:pt idx="4">
                  <c:v>0.15384615384615385</c:v>
                </c:pt>
                <c:pt idx="5">
                  <c:v>0.23076923076923078</c:v>
                </c:pt>
                <c:pt idx="6">
                  <c:v>0.25641025641025639</c:v>
                </c:pt>
                <c:pt idx="7">
                  <c:v>0.28205128205128205</c:v>
                </c:pt>
                <c:pt idx="8">
                  <c:v>0.39743589743589741</c:v>
                </c:pt>
                <c:pt idx="9">
                  <c:v>0.44871794871794873</c:v>
                </c:pt>
                <c:pt idx="10">
                  <c:v>0.55128205128205132</c:v>
                </c:pt>
                <c:pt idx="11">
                  <c:v>0.58974358974358976</c:v>
                </c:pt>
                <c:pt idx="12">
                  <c:v>0.60256410256410253</c:v>
                </c:pt>
                <c:pt idx="13">
                  <c:v>0.62820512820512819</c:v>
                </c:pt>
                <c:pt idx="14">
                  <c:v>0.75641025641025639</c:v>
                </c:pt>
                <c:pt idx="15">
                  <c:v>0.76923076923076927</c:v>
                </c:pt>
                <c:pt idx="16">
                  <c:v>0.79487179487179482</c:v>
                </c:pt>
                <c:pt idx="17">
                  <c:v>0.82051282051282048</c:v>
                </c:pt>
                <c:pt idx="18">
                  <c:v>0.83333333333333337</c:v>
                </c:pt>
                <c:pt idx="19">
                  <c:v>0.84615384615384615</c:v>
                </c:pt>
                <c:pt idx="20">
                  <c:v>0.85897435897435892</c:v>
                </c:pt>
                <c:pt idx="21">
                  <c:v>0.88461538461538458</c:v>
                </c:pt>
                <c:pt idx="22">
                  <c:v>0.91025641025641024</c:v>
                </c:pt>
                <c:pt idx="23">
                  <c:v>0.92307692307692313</c:v>
                </c:pt>
                <c:pt idx="24">
                  <c:v>0.9358974358974359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2E-AE46-AEA7-F1CC91A53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3809696"/>
        <c:axId val="1633813456"/>
      </c:scatterChart>
      <c:valAx>
        <c:axId val="163380969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Residual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13456"/>
        <c:crosses val="autoZero"/>
        <c:crossBetween val="midCat"/>
      </c:valAx>
      <c:valAx>
        <c:axId val="16338134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CDF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09696"/>
        <c:crosses val="autoZero"/>
        <c:crossBetween val="midCat"/>
        <c:minorUnit val="0.05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24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642144136724216"/>
          <c:y val="0.55060375953178697"/>
          <c:w val="0.25823802388474998"/>
          <c:h val="0.224748337875771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090197055529"/>
          <c:y val="2.6320421075722501E-2"/>
          <c:w val="0.78976137167166705"/>
          <c:h val="0.845770941234837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'BLM Performance'!$A$186</c:f>
              <c:strCache>
                <c:ptCount val="1"/>
                <c:pt idx="0">
                  <c:v>Ceriodaphnia dubia (acute)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'BLM Performance'!$R$2:$R$11</c:f>
              <c:numCache>
                <c:formatCode>0.00</c:formatCode>
                <c:ptCount val="10"/>
                <c:pt idx="0">
                  <c:v>1.0148746093469081</c:v>
                </c:pt>
                <c:pt idx="1">
                  <c:v>1.0223597631760748</c:v>
                </c:pt>
                <c:pt idx="2">
                  <c:v>1.2212227938512004</c:v>
                </c:pt>
                <c:pt idx="3">
                  <c:v>1.3181136999522385</c:v>
                </c:pt>
                <c:pt idx="4">
                  <c:v>1.7404288790203597</c:v>
                </c:pt>
                <c:pt idx="5">
                  <c:v>1.8024205801653344</c:v>
                </c:pt>
                <c:pt idx="6">
                  <c:v>1.8313723467006542</c:v>
                </c:pt>
                <c:pt idx="7">
                  <c:v>1.9756222543939526</c:v>
                </c:pt>
                <c:pt idx="8">
                  <c:v>2.2042331749817001</c:v>
                </c:pt>
                <c:pt idx="9">
                  <c:v>3.0208346878013015</c:v>
                </c:pt>
              </c:numCache>
            </c:numRef>
          </c:xVal>
          <c:yVal>
            <c:numRef>
              <c:f>'BLM Performance'!$S$2:$S$11</c:f>
              <c:numCache>
                <c:formatCode>0.000</c:formatCode>
                <c:ptCount val="10"/>
                <c:pt idx="0">
                  <c:v>3.3149171270718231E-2</c:v>
                </c:pt>
                <c:pt idx="1">
                  <c:v>4.9723756906077346E-2</c:v>
                </c:pt>
                <c:pt idx="2">
                  <c:v>0.40883977900552487</c:v>
                </c:pt>
                <c:pt idx="3">
                  <c:v>0.53591160220994472</c:v>
                </c:pt>
                <c:pt idx="4">
                  <c:v>0.77348066298342544</c:v>
                </c:pt>
                <c:pt idx="5">
                  <c:v>0.81215469613259672</c:v>
                </c:pt>
                <c:pt idx="6">
                  <c:v>0.82872928176795579</c:v>
                </c:pt>
                <c:pt idx="7">
                  <c:v>0.86740331491712708</c:v>
                </c:pt>
                <c:pt idx="8">
                  <c:v>0.93370165745856348</c:v>
                </c:pt>
                <c:pt idx="9">
                  <c:v>0.97790055248618779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6E-6D4D-A1D6-E35E4CE85366}"/>
            </c:ext>
          </c:extLst>
        </c:ser>
        <c:ser>
          <c:idx val="1"/>
          <c:order val="1"/>
          <c:tx>
            <c:strRef>
              <c:f>'BLM Performance'!$A$187</c:f>
              <c:strCache>
                <c:ptCount val="1"/>
                <c:pt idx="0">
                  <c:v>Daphnia magna (acute)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'BLM Performance'!$R$12:$R$70</c:f>
              <c:numCache>
                <c:formatCode>0.00</c:formatCode>
                <c:ptCount val="59"/>
                <c:pt idx="0">
                  <c:v>1.0240102777596389</c:v>
                </c:pt>
                <c:pt idx="1">
                  <c:v>1.0241397358216069</c:v>
                </c:pt>
                <c:pt idx="2">
                  <c:v>1.0305604776643831</c:v>
                </c:pt>
                <c:pt idx="3">
                  <c:v>1.0331637039318067</c:v>
                </c:pt>
                <c:pt idx="4">
                  <c:v>1.0382408125917664</c:v>
                </c:pt>
                <c:pt idx="5">
                  <c:v>1.0507283837030528</c:v>
                </c:pt>
                <c:pt idx="6">
                  <c:v>1.0510860905584234</c:v>
                </c:pt>
                <c:pt idx="7">
                  <c:v>1.0606393453351266</c:v>
                </c:pt>
                <c:pt idx="8">
                  <c:v>1.0612016812262164</c:v>
                </c:pt>
                <c:pt idx="9">
                  <c:v>1.0665753306705605</c:v>
                </c:pt>
                <c:pt idx="10">
                  <c:v>1.0726311679208007</c:v>
                </c:pt>
                <c:pt idx="11">
                  <c:v>1.0788448770836276</c:v>
                </c:pt>
                <c:pt idx="12">
                  <c:v>1.0811404765341641</c:v>
                </c:pt>
                <c:pt idx="13">
                  <c:v>1.0932200213141681</c:v>
                </c:pt>
                <c:pt idx="14">
                  <c:v>1.0938517024189154</c:v>
                </c:pt>
                <c:pt idx="15">
                  <c:v>1.0994059872715052</c:v>
                </c:pt>
                <c:pt idx="16">
                  <c:v>1.0998355815999514</c:v>
                </c:pt>
                <c:pt idx="17">
                  <c:v>1.1127986813149247</c:v>
                </c:pt>
                <c:pt idx="18">
                  <c:v>1.1180125592023993</c:v>
                </c:pt>
                <c:pt idx="19">
                  <c:v>1.1265606851576038</c:v>
                </c:pt>
                <c:pt idx="20">
                  <c:v>1.1283438441480766</c:v>
                </c:pt>
                <c:pt idx="21">
                  <c:v>1.1374268811350647</c:v>
                </c:pt>
                <c:pt idx="22">
                  <c:v>1.1446084682247759</c:v>
                </c:pt>
                <c:pt idx="23">
                  <c:v>1.1692251345734639</c:v>
                </c:pt>
                <c:pt idx="24">
                  <c:v>1.1751564057267188</c:v>
                </c:pt>
                <c:pt idx="25">
                  <c:v>1.1754181018473122</c:v>
                </c:pt>
                <c:pt idx="26">
                  <c:v>1.1943860304677618</c:v>
                </c:pt>
                <c:pt idx="27">
                  <c:v>1.1951371977251752</c:v>
                </c:pt>
                <c:pt idx="28">
                  <c:v>1.1979081497390243</c:v>
                </c:pt>
                <c:pt idx="29">
                  <c:v>1.2154903983076071</c:v>
                </c:pt>
                <c:pt idx="30">
                  <c:v>1.2272603052134612</c:v>
                </c:pt>
                <c:pt idx="31">
                  <c:v>1.2371215512698239</c:v>
                </c:pt>
                <c:pt idx="32">
                  <c:v>1.2434078847778007</c:v>
                </c:pt>
                <c:pt idx="33">
                  <c:v>1.2530339022985344</c:v>
                </c:pt>
                <c:pt idx="34">
                  <c:v>1.2648937471690109</c:v>
                </c:pt>
                <c:pt idx="35">
                  <c:v>1.2855186973362585</c:v>
                </c:pt>
                <c:pt idx="36">
                  <c:v>1.2912702129190736</c:v>
                </c:pt>
                <c:pt idx="37">
                  <c:v>1.3313249489880534</c:v>
                </c:pt>
                <c:pt idx="38">
                  <c:v>1.3376775588892666</c:v>
                </c:pt>
                <c:pt idx="39">
                  <c:v>1.3415987646291632</c:v>
                </c:pt>
                <c:pt idx="40">
                  <c:v>1.3518745139860371</c:v>
                </c:pt>
                <c:pt idx="41">
                  <c:v>1.359463910878963</c:v>
                </c:pt>
                <c:pt idx="42">
                  <c:v>1.4075757722256874</c:v>
                </c:pt>
                <c:pt idx="43">
                  <c:v>1.4079593611484136</c:v>
                </c:pt>
                <c:pt idx="44">
                  <c:v>1.5587237128640663</c:v>
                </c:pt>
                <c:pt idx="45">
                  <c:v>1.6412176571090409</c:v>
                </c:pt>
                <c:pt idx="46">
                  <c:v>1.7118072630511765</c:v>
                </c:pt>
                <c:pt idx="47">
                  <c:v>1.7869314057431209</c:v>
                </c:pt>
                <c:pt idx="48">
                  <c:v>1.8126513349418143</c:v>
                </c:pt>
                <c:pt idx="49">
                  <c:v>1.8813287303104207</c:v>
                </c:pt>
                <c:pt idx="50">
                  <c:v>2.0841398846026618</c:v>
                </c:pt>
                <c:pt idx="51">
                  <c:v>2.1071464630159582</c:v>
                </c:pt>
                <c:pt idx="52">
                  <c:v>2.1108709757614235</c:v>
                </c:pt>
                <c:pt idx="53">
                  <c:v>2.2973776456909798</c:v>
                </c:pt>
                <c:pt idx="54">
                  <c:v>2.4027255482468126</c:v>
                </c:pt>
                <c:pt idx="55">
                  <c:v>2.5666892643643333</c:v>
                </c:pt>
                <c:pt idx="56">
                  <c:v>2.6087829373959903</c:v>
                </c:pt>
                <c:pt idx="57">
                  <c:v>3.1068656050855732</c:v>
                </c:pt>
                <c:pt idx="58">
                  <c:v>5.7990072823639807</c:v>
                </c:pt>
              </c:numCache>
            </c:numRef>
          </c:xVal>
          <c:yVal>
            <c:numRef>
              <c:f>'BLM Performance'!$S$12:$S$70</c:f>
              <c:numCache>
                <c:formatCode>0.000</c:formatCode>
                <c:ptCount val="59"/>
                <c:pt idx="0">
                  <c:v>5.5248618784530384E-2</c:v>
                </c:pt>
                <c:pt idx="1">
                  <c:v>6.0773480662983423E-2</c:v>
                </c:pt>
                <c:pt idx="2">
                  <c:v>7.7348066298342538E-2</c:v>
                </c:pt>
                <c:pt idx="3">
                  <c:v>8.2872928176795577E-2</c:v>
                </c:pt>
                <c:pt idx="4">
                  <c:v>8.8397790055248615E-2</c:v>
                </c:pt>
                <c:pt idx="5">
                  <c:v>0.10497237569060773</c:v>
                </c:pt>
                <c:pt idx="6">
                  <c:v>0.11049723756906077</c:v>
                </c:pt>
                <c:pt idx="7">
                  <c:v>0.11602209944751381</c:v>
                </c:pt>
                <c:pt idx="8">
                  <c:v>0.12154696132596685</c:v>
                </c:pt>
                <c:pt idx="9">
                  <c:v>0.13259668508287292</c:v>
                </c:pt>
                <c:pt idx="10">
                  <c:v>0.143646408839779</c:v>
                </c:pt>
                <c:pt idx="11">
                  <c:v>0.14917127071823205</c:v>
                </c:pt>
                <c:pt idx="12">
                  <c:v>0.15469613259668508</c:v>
                </c:pt>
                <c:pt idx="13">
                  <c:v>0.18784530386740331</c:v>
                </c:pt>
                <c:pt idx="14">
                  <c:v>0.19337016574585636</c:v>
                </c:pt>
                <c:pt idx="15">
                  <c:v>0.20441988950276244</c:v>
                </c:pt>
                <c:pt idx="16">
                  <c:v>0.20994475138121546</c:v>
                </c:pt>
                <c:pt idx="17">
                  <c:v>0.23756906077348067</c:v>
                </c:pt>
                <c:pt idx="18">
                  <c:v>0.24309392265193369</c:v>
                </c:pt>
                <c:pt idx="19">
                  <c:v>0.2541436464088398</c:v>
                </c:pt>
                <c:pt idx="20">
                  <c:v>0.26519337016574585</c:v>
                </c:pt>
                <c:pt idx="21">
                  <c:v>0.287292817679558</c:v>
                </c:pt>
                <c:pt idx="22">
                  <c:v>0.30386740331491713</c:v>
                </c:pt>
                <c:pt idx="23">
                  <c:v>0.34254143646408841</c:v>
                </c:pt>
                <c:pt idx="24">
                  <c:v>0.34806629834254144</c:v>
                </c:pt>
                <c:pt idx="25">
                  <c:v>0.35359116022099446</c:v>
                </c:pt>
                <c:pt idx="26">
                  <c:v>0.35911602209944754</c:v>
                </c:pt>
                <c:pt idx="27">
                  <c:v>0.37016574585635359</c:v>
                </c:pt>
                <c:pt idx="28">
                  <c:v>0.38121546961325969</c:v>
                </c:pt>
                <c:pt idx="29">
                  <c:v>0.40331491712707185</c:v>
                </c:pt>
                <c:pt idx="30">
                  <c:v>0.425414364640884</c:v>
                </c:pt>
                <c:pt idx="31">
                  <c:v>0.43646408839779005</c:v>
                </c:pt>
                <c:pt idx="32">
                  <c:v>0.44198895027624308</c:v>
                </c:pt>
                <c:pt idx="33">
                  <c:v>0.4585635359116022</c:v>
                </c:pt>
                <c:pt idx="34">
                  <c:v>0.47513812154696133</c:v>
                </c:pt>
                <c:pt idx="35">
                  <c:v>0.49723756906077349</c:v>
                </c:pt>
                <c:pt idx="36">
                  <c:v>0.50828729281767959</c:v>
                </c:pt>
                <c:pt idx="37">
                  <c:v>0.54696132596685088</c:v>
                </c:pt>
                <c:pt idx="38">
                  <c:v>0.5524861878453039</c:v>
                </c:pt>
                <c:pt idx="39">
                  <c:v>0.55801104972375692</c:v>
                </c:pt>
                <c:pt idx="40">
                  <c:v>0.58011049723756902</c:v>
                </c:pt>
                <c:pt idx="41">
                  <c:v>0.59668508287292821</c:v>
                </c:pt>
                <c:pt idx="42">
                  <c:v>0.62430939226519333</c:v>
                </c:pt>
                <c:pt idx="43">
                  <c:v>0.62983425414364635</c:v>
                </c:pt>
                <c:pt idx="44">
                  <c:v>0.68508287292817682</c:v>
                </c:pt>
                <c:pt idx="45">
                  <c:v>0.72928176795580113</c:v>
                </c:pt>
                <c:pt idx="46">
                  <c:v>0.75690607734806625</c:v>
                </c:pt>
                <c:pt idx="47">
                  <c:v>0.80110497237569056</c:v>
                </c:pt>
                <c:pt idx="48">
                  <c:v>0.82320441988950277</c:v>
                </c:pt>
                <c:pt idx="49">
                  <c:v>0.850828729281768</c:v>
                </c:pt>
                <c:pt idx="50">
                  <c:v>0.87845303867403313</c:v>
                </c:pt>
                <c:pt idx="51">
                  <c:v>0.90055248618784534</c:v>
                </c:pt>
                <c:pt idx="52">
                  <c:v>0.90607734806629836</c:v>
                </c:pt>
                <c:pt idx="53">
                  <c:v>0.93922651933701662</c:v>
                </c:pt>
                <c:pt idx="54">
                  <c:v>0.95027624309392267</c:v>
                </c:pt>
                <c:pt idx="55">
                  <c:v>0.96132596685082872</c:v>
                </c:pt>
                <c:pt idx="56">
                  <c:v>0.96685082872928174</c:v>
                </c:pt>
                <c:pt idx="57">
                  <c:v>0.98342541436464093</c:v>
                </c:pt>
                <c:pt idx="58">
                  <c:v>0.99447513812154698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6E-6D4D-A1D6-E35E4CE85366}"/>
            </c:ext>
          </c:extLst>
        </c:ser>
        <c:ser>
          <c:idx val="2"/>
          <c:order val="2"/>
          <c:tx>
            <c:strRef>
              <c:f>'BLM Performance'!$A$188</c:f>
              <c:strCache>
                <c:ptCount val="1"/>
                <c:pt idx="0">
                  <c:v>Daphnia pulex (acute)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'BLM Performance'!$R$71:$R$95</c:f>
              <c:numCache>
                <c:formatCode>0.00</c:formatCode>
                <c:ptCount val="25"/>
                <c:pt idx="0">
                  <c:v>1.0048357261526559</c:v>
                </c:pt>
                <c:pt idx="1">
                  <c:v>1.0292853783681353</c:v>
                </c:pt>
                <c:pt idx="2">
                  <c:v>1.0813450240789102</c:v>
                </c:pt>
                <c:pt idx="3">
                  <c:v>1.1045521082050245</c:v>
                </c:pt>
                <c:pt idx="4">
                  <c:v>1.1068836794105383</c:v>
                </c:pt>
                <c:pt idx="5">
                  <c:v>1.1256731102737545</c:v>
                </c:pt>
                <c:pt idx="6">
                  <c:v>1.1276806994755826</c:v>
                </c:pt>
                <c:pt idx="7">
                  <c:v>1.1360523645982861</c:v>
                </c:pt>
                <c:pt idx="8">
                  <c:v>1.1366127083024975</c:v>
                </c:pt>
                <c:pt idx="9">
                  <c:v>1.1467970668145393</c:v>
                </c:pt>
                <c:pt idx="10">
                  <c:v>1.1546632502858238</c:v>
                </c:pt>
                <c:pt idx="11">
                  <c:v>1.1978174107249799</c:v>
                </c:pt>
                <c:pt idx="12">
                  <c:v>1.2636415682635629</c:v>
                </c:pt>
                <c:pt idx="13">
                  <c:v>1.2763403439721999</c:v>
                </c:pt>
                <c:pt idx="14">
                  <c:v>1.3290184637395459</c:v>
                </c:pt>
                <c:pt idx="15">
                  <c:v>1.3457295077708793</c:v>
                </c:pt>
                <c:pt idx="16">
                  <c:v>1.386412131260949</c:v>
                </c:pt>
                <c:pt idx="17">
                  <c:v>1.5089472885254038</c:v>
                </c:pt>
                <c:pt idx="18">
                  <c:v>1.5959945235681976</c:v>
                </c:pt>
                <c:pt idx="19">
                  <c:v>1.6105532586037619</c:v>
                </c:pt>
                <c:pt idx="20">
                  <c:v>1.6474197936139765</c:v>
                </c:pt>
                <c:pt idx="21">
                  <c:v>1.7984596185985864</c:v>
                </c:pt>
                <c:pt idx="22">
                  <c:v>2.1583089099823751</c:v>
                </c:pt>
                <c:pt idx="23">
                  <c:v>2.1820806476370911</c:v>
                </c:pt>
                <c:pt idx="24">
                  <c:v>2.5072817644506418</c:v>
                </c:pt>
              </c:numCache>
            </c:numRef>
          </c:xVal>
          <c:yVal>
            <c:numRef>
              <c:f>'BLM Performance'!$S$71:$S$95</c:f>
              <c:numCache>
                <c:formatCode>0.000</c:formatCode>
                <c:ptCount val="25"/>
                <c:pt idx="0">
                  <c:v>1.1049723756906077E-2</c:v>
                </c:pt>
                <c:pt idx="1">
                  <c:v>7.18232044198895E-2</c:v>
                </c:pt>
                <c:pt idx="2">
                  <c:v>0.16022099447513813</c:v>
                </c:pt>
                <c:pt idx="3">
                  <c:v>0.21546961325966851</c:v>
                </c:pt>
                <c:pt idx="4">
                  <c:v>0.22651933701657459</c:v>
                </c:pt>
                <c:pt idx="5">
                  <c:v>0.24861878453038674</c:v>
                </c:pt>
                <c:pt idx="6">
                  <c:v>0.25966850828729282</c:v>
                </c:pt>
                <c:pt idx="7">
                  <c:v>0.27624309392265195</c:v>
                </c:pt>
                <c:pt idx="8">
                  <c:v>0.28176795580110497</c:v>
                </c:pt>
                <c:pt idx="9">
                  <c:v>0.30939226519337015</c:v>
                </c:pt>
                <c:pt idx="10">
                  <c:v>0.31491712707182318</c:v>
                </c:pt>
                <c:pt idx="11">
                  <c:v>0.37569060773480661</c:v>
                </c:pt>
                <c:pt idx="12">
                  <c:v>0.46961325966850831</c:v>
                </c:pt>
                <c:pt idx="13">
                  <c:v>0.48618784530386738</c:v>
                </c:pt>
                <c:pt idx="14">
                  <c:v>0.54143646408839774</c:v>
                </c:pt>
                <c:pt idx="15">
                  <c:v>0.56906077348066297</c:v>
                </c:pt>
                <c:pt idx="16">
                  <c:v>0.61325966850828728</c:v>
                </c:pt>
                <c:pt idx="17">
                  <c:v>0.65745856353591159</c:v>
                </c:pt>
                <c:pt idx="18">
                  <c:v>0.7016574585635359</c:v>
                </c:pt>
                <c:pt idx="19">
                  <c:v>0.71823204419889508</c:v>
                </c:pt>
                <c:pt idx="20">
                  <c:v>0.73480662983425415</c:v>
                </c:pt>
                <c:pt idx="21">
                  <c:v>0.8066298342541437</c:v>
                </c:pt>
                <c:pt idx="22">
                  <c:v>0.91160220994475138</c:v>
                </c:pt>
                <c:pt idx="23">
                  <c:v>0.92817679558011046</c:v>
                </c:pt>
                <c:pt idx="24">
                  <c:v>0.95580110497237569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6E-6D4D-A1D6-E35E4CE85366}"/>
            </c:ext>
          </c:extLst>
        </c:ser>
        <c:ser>
          <c:idx val="3"/>
          <c:order val="3"/>
          <c:tx>
            <c:strRef>
              <c:f>'BLM Performance'!$A$189</c:f>
              <c:strCache>
                <c:ptCount val="1"/>
                <c:pt idx="0">
                  <c:v>Rainbow Trout (acute)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'BLM Performance'!$R$96:$R$113</c:f>
              <c:numCache>
                <c:formatCode>0.00</c:formatCode>
                <c:ptCount val="18"/>
                <c:pt idx="0">
                  <c:v>1.0077697342775522</c:v>
                </c:pt>
                <c:pt idx="1">
                  <c:v>1.0078534528117362</c:v>
                </c:pt>
                <c:pt idx="2">
                  <c:v>1.0842759918811977</c:v>
                </c:pt>
                <c:pt idx="3">
                  <c:v>1.2493019131386205</c:v>
                </c:pt>
                <c:pt idx="4">
                  <c:v>1.2498858010709253</c:v>
                </c:pt>
                <c:pt idx="5">
                  <c:v>1.2714986506364541</c:v>
                </c:pt>
                <c:pt idx="6">
                  <c:v>1.2837060533729177</c:v>
                </c:pt>
                <c:pt idx="7">
                  <c:v>1.3161408841098166</c:v>
                </c:pt>
                <c:pt idx="8">
                  <c:v>1.3558543007157733</c:v>
                </c:pt>
                <c:pt idx="9">
                  <c:v>1.5278042652194928</c:v>
                </c:pt>
                <c:pt idx="10">
                  <c:v>1.5433193840448864</c:v>
                </c:pt>
                <c:pt idx="11">
                  <c:v>1.5876491082241557</c:v>
                </c:pt>
                <c:pt idx="12">
                  <c:v>1.601712786168898</c:v>
                </c:pt>
                <c:pt idx="13">
                  <c:v>1.6794168634431406</c:v>
                </c:pt>
                <c:pt idx="14">
                  <c:v>1.7228918292521669</c:v>
                </c:pt>
                <c:pt idx="15">
                  <c:v>1.7822445936162323</c:v>
                </c:pt>
                <c:pt idx="16">
                  <c:v>1.8934609403485769</c:v>
                </c:pt>
                <c:pt idx="17">
                  <c:v>2.3632150510068675</c:v>
                </c:pt>
              </c:numCache>
            </c:numRef>
          </c:xVal>
          <c:yVal>
            <c:numRef>
              <c:f>'BLM Performance'!$S$96:$S$113</c:f>
              <c:numCache>
                <c:formatCode>0.000</c:formatCode>
                <c:ptCount val="18"/>
                <c:pt idx="0">
                  <c:v>1.6574585635359115E-2</c:v>
                </c:pt>
                <c:pt idx="1">
                  <c:v>2.2099447513812154E-2</c:v>
                </c:pt>
                <c:pt idx="2">
                  <c:v>0.16574585635359115</c:v>
                </c:pt>
                <c:pt idx="3">
                  <c:v>0.44751381215469616</c:v>
                </c:pt>
                <c:pt idx="4">
                  <c:v>0.45303867403314918</c:v>
                </c:pt>
                <c:pt idx="5">
                  <c:v>0.48066298342541436</c:v>
                </c:pt>
                <c:pt idx="6">
                  <c:v>0.49171270718232046</c:v>
                </c:pt>
                <c:pt idx="7">
                  <c:v>0.53038674033149169</c:v>
                </c:pt>
                <c:pt idx="8">
                  <c:v>0.59116022099447518</c:v>
                </c:pt>
                <c:pt idx="9">
                  <c:v>0.66298342541436461</c:v>
                </c:pt>
                <c:pt idx="10">
                  <c:v>0.66850828729281764</c:v>
                </c:pt>
                <c:pt idx="11">
                  <c:v>0.69613259668508287</c:v>
                </c:pt>
                <c:pt idx="12">
                  <c:v>0.71270718232044195</c:v>
                </c:pt>
                <c:pt idx="13">
                  <c:v>0.75138121546961323</c:v>
                </c:pt>
                <c:pt idx="14">
                  <c:v>0.76795580110497241</c:v>
                </c:pt>
                <c:pt idx="15">
                  <c:v>0.79005524861878451</c:v>
                </c:pt>
                <c:pt idx="16">
                  <c:v>0.85635359116022103</c:v>
                </c:pt>
                <c:pt idx="17">
                  <c:v>0.94475138121546964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6E-6D4D-A1D6-E35E4CE85366}"/>
            </c:ext>
          </c:extLst>
        </c:ser>
        <c:ser>
          <c:idx val="4"/>
          <c:order val="4"/>
          <c:tx>
            <c:strRef>
              <c:f>'BLM Performance'!$A$190</c:f>
              <c:strCache>
                <c:ptCount val="1"/>
                <c:pt idx="0">
                  <c:v>Rotifer (chronic)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'BLM Performance'!$R$114:$R$118</c:f>
              <c:numCache>
                <c:formatCode>0.00</c:formatCode>
                <c:ptCount val="5"/>
                <c:pt idx="0">
                  <c:v>1.0132027814153253</c:v>
                </c:pt>
                <c:pt idx="1">
                  <c:v>1.087384285590451</c:v>
                </c:pt>
                <c:pt idx="2">
                  <c:v>1.156810876828809</c:v>
                </c:pt>
                <c:pt idx="3">
                  <c:v>1.3114381732160179</c:v>
                </c:pt>
                <c:pt idx="4">
                  <c:v>1.4630699618920198</c:v>
                </c:pt>
              </c:numCache>
            </c:numRef>
          </c:xVal>
          <c:yVal>
            <c:numRef>
              <c:f>'BLM Performance'!$S$114:$S$118</c:f>
              <c:numCache>
                <c:formatCode>0.000</c:formatCode>
                <c:ptCount val="5"/>
                <c:pt idx="0">
                  <c:v>2.7624309392265192E-2</c:v>
                </c:pt>
                <c:pt idx="1">
                  <c:v>0.17127071823204421</c:v>
                </c:pt>
                <c:pt idx="2">
                  <c:v>0.32044198895027626</c:v>
                </c:pt>
                <c:pt idx="3">
                  <c:v>0.52486187845303867</c:v>
                </c:pt>
                <c:pt idx="4">
                  <c:v>0.64640883977900554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C6E-6D4D-A1D6-E35E4CE85366}"/>
            </c:ext>
          </c:extLst>
        </c:ser>
        <c:ser>
          <c:idx val="5"/>
          <c:order val="5"/>
          <c:tx>
            <c:strRef>
              <c:f>'BLM Performance'!$A$191</c:f>
              <c:strCache>
                <c:ptCount val="1"/>
                <c:pt idx="0">
                  <c:v>D. magna (chronic)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'BLM Performance'!$R$119:$R$146</c:f>
              <c:numCache>
                <c:formatCode>0.00</c:formatCode>
                <c:ptCount val="28"/>
                <c:pt idx="0">
                  <c:v>1.0016863150563962</c:v>
                </c:pt>
                <c:pt idx="1">
                  <c:v>1.0175753700388794</c:v>
                </c:pt>
                <c:pt idx="2">
                  <c:v>1.0661307991787723</c:v>
                </c:pt>
                <c:pt idx="3">
                  <c:v>1.0909098779218926</c:v>
                </c:pt>
                <c:pt idx="4">
                  <c:v>1.0988810308167911</c:v>
                </c:pt>
                <c:pt idx="5">
                  <c:v>1.1109635842152585</c:v>
                </c:pt>
                <c:pt idx="6">
                  <c:v>1.1605442581370407</c:v>
                </c:pt>
                <c:pt idx="7">
                  <c:v>1.165707910725694</c:v>
                </c:pt>
                <c:pt idx="8">
                  <c:v>1.1990234771342669</c:v>
                </c:pt>
                <c:pt idx="9">
                  <c:v>1.2137298322426069</c:v>
                </c:pt>
                <c:pt idx="10">
                  <c:v>1.226447847289996</c:v>
                </c:pt>
                <c:pt idx="11">
                  <c:v>1.3007705492919559</c:v>
                </c:pt>
                <c:pt idx="12">
                  <c:v>1.346129262750569</c:v>
                </c:pt>
                <c:pt idx="13">
                  <c:v>1.3632798662614951</c:v>
                </c:pt>
                <c:pt idx="14">
                  <c:v>1.3663408965080892</c:v>
                </c:pt>
                <c:pt idx="15">
                  <c:v>1.3936228870997029</c:v>
                </c:pt>
                <c:pt idx="16">
                  <c:v>1.4760572181610567</c:v>
                </c:pt>
                <c:pt idx="17">
                  <c:v>1.5580198157865626</c:v>
                </c:pt>
                <c:pt idx="18">
                  <c:v>1.5799390811984342</c:v>
                </c:pt>
                <c:pt idx="19">
                  <c:v>1.5985744376581132</c:v>
                </c:pt>
                <c:pt idx="20">
                  <c:v>1.6345738602290978</c:v>
                </c:pt>
                <c:pt idx="21">
                  <c:v>1.6482760298440025</c:v>
                </c:pt>
                <c:pt idx="22">
                  <c:v>1.6617485538329904</c:v>
                </c:pt>
                <c:pt idx="23">
                  <c:v>1.7188795784314901</c:v>
                </c:pt>
                <c:pt idx="24">
                  <c:v>1.7559808118480471</c:v>
                </c:pt>
                <c:pt idx="25">
                  <c:v>1.8638973313101359</c:v>
                </c:pt>
                <c:pt idx="26">
                  <c:v>2.0468101764155544</c:v>
                </c:pt>
                <c:pt idx="27">
                  <c:v>2.1021926695299866</c:v>
                </c:pt>
              </c:numCache>
            </c:numRef>
          </c:xVal>
          <c:yVal>
            <c:numRef>
              <c:f>'BLM Performance'!$S$119:$S$146</c:f>
              <c:numCache>
                <c:formatCode>0.000</c:formatCode>
                <c:ptCount val="28"/>
                <c:pt idx="0">
                  <c:v>5.5248618784530384E-3</c:v>
                </c:pt>
                <c:pt idx="1">
                  <c:v>3.8674033149171269E-2</c:v>
                </c:pt>
                <c:pt idx="2">
                  <c:v>0.1270718232044199</c:v>
                </c:pt>
                <c:pt idx="3">
                  <c:v>0.18232044198895028</c:v>
                </c:pt>
                <c:pt idx="4">
                  <c:v>0.19889502762430938</c:v>
                </c:pt>
                <c:pt idx="5">
                  <c:v>0.23204419889502761</c:v>
                </c:pt>
                <c:pt idx="6">
                  <c:v>0.33149171270718231</c:v>
                </c:pt>
                <c:pt idx="7">
                  <c:v>0.33701657458563539</c:v>
                </c:pt>
                <c:pt idx="8">
                  <c:v>0.38674033149171272</c:v>
                </c:pt>
                <c:pt idx="9">
                  <c:v>0.39226519337016574</c:v>
                </c:pt>
                <c:pt idx="10">
                  <c:v>0.41988950276243092</c:v>
                </c:pt>
                <c:pt idx="11">
                  <c:v>0.51381215469613262</c:v>
                </c:pt>
                <c:pt idx="12">
                  <c:v>0.574585635359116</c:v>
                </c:pt>
                <c:pt idx="13">
                  <c:v>0.60220994475138123</c:v>
                </c:pt>
                <c:pt idx="14">
                  <c:v>0.60773480662983426</c:v>
                </c:pt>
                <c:pt idx="15">
                  <c:v>0.61878453038674031</c:v>
                </c:pt>
                <c:pt idx="16">
                  <c:v>0.65193370165745856</c:v>
                </c:pt>
                <c:pt idx="17">
                  <c:v>0.67403314917127077</c:v>
                </c:pt>
                <c:pt idx="18">
                  <c:v>0.69060773480662985</c:v>
                </c:pt>
                <c:pt idx="19">
                  <c:v>0.70718232044198892</c:v>
                </c:pt>
                <c:pt idx="20">
                  <c:v>0.72375690607734811</c:v>
                </c:pt>
                <c:pt idx="21">
                  <c:v>0.74033149171270718</c:v>
                </c:pt>
                <c:pt idx="22">
                  <c:v>0.7458563535911602</c:v>
                </c:pt>
                <c:pt idx="23">
                  <c:v>0.76243093922651939</c:v>
                </c:pt>
                <c:pt idx="24">
                  <c:v>0.78453038674033149</c:v>
                </c:pt>
                <c:pt idx="25">
                  <c:v>0.84530386740331487</c:v>
                </c:pt>
                <c:pt idx="26">
                  <c:v>0.8729281767955801</c:v>
                </c:pt>
                <c:pt idx="27">
                  <c:v>0.89502762430939231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C6E-6D4D-A1D6-E35E4CE85366}"/>
            </c:ext>
          </c:extLst>
        </c:ser>
        <c:ser>
          <c:idx val="6"/>
          <c:order val="6"/>
          <c:tx>
            <c:strRef>
              <c:f>'BLM Performance'!$A$192</c:f>
              <c:strCache>
                <c:ptCount val="1"/>
                <c:pt idx="0">
                  <c:v>Lymnaea sp. (chronic)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'BLM Performance'!$R$147:$R$152</c:f>
              <c:numCache>
                <c:formatCode>0.00</c:formatCode>
                <c:ptCount val="6"/>
                <c:pt idx="0">
                  <c:v>1.0198037920642071</c:v>
                </c:pt>
                <c:pt idx="1">
                  <c:v>1.0722338846735737</c:v>
                </c:pt>
                <c:pt idx="2">
                  <c:v>1.0883300215051532</c:v>
                </c:pt>
                <c:pt idx="3">
                  <c:v>1.1290766652286137</c:v>
                </c:pt>
                <c:pt idx="4">
                  <c:v>1.3519338896025861</c:v>
                </c:pt>
                <c:pt idx="5">
                  <c:v>1.4140070597351933</c:v>
                </c:pt>
              </c:numCache>
            </c:numRef>
          </c:xVal>
          <c:yVal>
            <c:numRef>
              <c:f>'BLM Performance'!$S$147:$S$152</c:f>
              <c:numCache>
                <c:formatCode>0.000</c:formatCode>
                <c:ptCount val="6"/>
                <c:pt idx="0">
                  <c:v>4.4198895027624308E-2</c:v>
                </c:pt>
                <c:pt idx="1">
                  <c:v>0.13812154696132597</c:v>
                </c:pt>
                <c:pt idx="2">
                  <c:v>0.17679558011049723</c:v>
                </c:pt>
                <c:pt idx="3">
                  <c:v>0.27071823204419887</c:v>
                </c:pt>
                <c:pt idx="4">
                  <c:v>0.58563535911602205</c:v>
                </c:pt>
                <c:pt idx="5">
                  <c:v>0.63535911602209949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C6E-6D4D-A1D6-E35E4CE85366}"/>
            </c:ext>
          </c:extLst>
        </c:ser>
        <c:ser>
          <c:idx val="7"/>
          <c:order val="7"/>
          <c:tx>
            <c:strRef>
              <c:f>'BLM Performance'!$A$193</c:f>
              <c:strCache>
                <c:ptCount val="1"/>
                <c:pt idx="0">
                  <c:v>Algae (chronic)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'BLM Performance'!$R$153:$R$181</c:f>
              <c:numCache>
                <c:formatCode>0.00</c:formatCode>
                <c:ptCount val="29"/>
                <c:pt idx="0">
                  <c:v>1.0291459788976127</c:v>
                </c:pt>
                <c:pt idx="1">
                  <c:v>1.0420841683366733</c:v>
                </c:pt>
                <c:pt idx="2">
                  <c:v>1.0428494074074075</c:v>
                </c:pt>
                <c:pt idx="3">
                  <c:v>1.1068536172890129</c:v>
                </c:pt>
                <c:pt idx="4">
                  <c:v>1.1422222222222222</c:v>
                </c:pt>
                <c:pt idx="5">
                  <c:v>1.1439111392405064</c:v>
                </c:pt>
                <c:pt idx="6">
                  <c:v>1.1584518749999999</c:v>
                </c:pt>
                <c:pt idx="7">
                  <c:v>1.1949685534591195</c:v>
                </c:pt>
                <c:pt idx="8">
                  <c:v>1.214144028013874</c:v>
                </c:pt>
                <c:pt idx="9">
                  <c:v>1.2258064516129032</c:v>
                </c:pt>
                <c:pt idx="10">
                  <c:v>1.231111111111111</c:v>
                </c:pt>
                <c:pt idx="11">
                  <c:v>1.2578616352201257</c:v>
                </c:pt>
                <c:pt idx="12">
                  <c:v>1.2879494642857143</c:v>
                </c:pt>
                <c:pt idx="13">
                  <c:v>1.31</c:v>
                </c:pt>
                <c:pt idx="14">
                  <c:v>1.3431151241534989</c:v>
                </c:pt>
                <c:pt idx="15">
                  <c:v>1.4379934460683326</c:v>
                </c:pt>
                <c:pt idx="16">
                  <c:v>1.5587186363636363</c:v>
                </c:pt>
                <c:pt idx="17">
                  <c:v>1.7469879518072287</c:v>
                </c:pt>
                <c:pt idx="18">
                  <c:v>1.786842105263158</c:v>
                </c:pt>
                <c:pt idx="19">
                  <c:v>1.8069001440545525</c:v>
                </c:pt>
                <c:pt idx="20">
                  <c:v>1.8444444444444446</c:v>
                </c:pt>
                <c:pt idx="21">
                  <c:v>1.8556701030927836</c:v>
                </c:pt>
                <c:pt idx="22">
                  <c:v>1.9192516354964726</c:v>
                </c:pt>
                <c:pt idx="23">
                  <c:v>2.0870967741935487</c:v>
                </c:pt>
                <c:pt idx="24">
                  <c:v>2.1014492753623188</c:v>
                </c:pt>
                <c:pt idx="25">
                  <c:v>2.1585365853658538</c:v>
                </c:pt>
                <c:pt idx="26">
                  <c:v>2.179924615384615</c:v>
                </c:pt>
                <c:pt idx="27">
                  <c:v>2.903225806451613</c:v>
                </c:pt>
                <c:pt idx="28">
                  <c:v>3.1090909090909093</c:v>
                </c:pt>
              </c:numCache>
            </c:numRef>
          </c:xVal>
          <c:yVal>
            <c:numRef>
              <c:f>'BLM Performance'!$S$153:$S$181</c:f>
              <c:numCache>
                <c:formatCode>0.000</c:formatCode>
                <c:ptCount val="29"/>
                <c:pt idx="0">
                  <c:v>6.6298342541436461E-2</c:v>
                </c:pt>
                <c:pt idx="1">
                  <c:v>9.3922651933701654E-2</c:v>
                </c:pt>
                <c:pt idx="2">
                  <c:v>9.9447513812154692E-2</c:v>
                </c:pt>
                <c:pt idx="3">
                  <c:v>0.22099447513812154</c:v>
                </c:pt>
                <c:pt idx="4">
                  <c:v>0.29281767955801102</c:v>
                </c:pt>
                <c:pt idx="5">
                  <c:v>0.2983425414364641</c:v>
                </c:pt>
                <c:pt idx="6">
                  <c:v>0.32596685082872928</c:v>
                </c:pt>
                <c:pt idx="7">
                  <c:v>0.36464088397790057</c:v>
                </c:pt>
                <c:pt idx="8">
                  <c:v>0.39779005524861877</c:v>
                </c:pt>
                <c:pt idx="9">
                  <c:v>0.4143646408839779</c:v>
                </c:pt>
                <c:pt idx="10">
                  <c:v>0.43093922651933703</c:v>
                </c:pt>
                <c:pt idx="11">
                  <c:v>0.46408839779005523</c:v>
                </c:pt>
                <c:pt idx="12">
                  <c:v>0.50276243093922657</c:v>
                </c:pt>
                <c:pt idx="13">
                  <c:v>0.51933701657458564</c:v>
                </c:pt>
                <c:pt idx="14">
                  <c:v>0.56353591160220995</c:v>
                </c:pt>
                <c:pt idx="15">
                  <c:v>0.64088397790055252</c:v>
                </c:pt>
                <c:pt idx="16">
                  <c:v>0.6795580110497238</c:v>
                </c:pt>
                <c:pt idx="17">
                  <c:v>0.77900552486187846</c:v>
                </c:pt>
                <c:pt idx="18">
                  <c:v>0.79558011049723754</c:v>
                </c:pt>
                <c:pt idx="19">
                  <c:v>0.81767955801104975</c:v>
                </c:pt>
                <c:pt idx="20">
                  <c:v>0.83425414364640882</c:v>
                </c:pt>
                <c:pt idx="21">
                  <c:v>0.83977900552486184</c:v>
                </c:pt>
                <c:pt idx="22">
                  <c:v>0.86187845303867405</c:v>
                </c:pt>
                <c:pt idx="23">
                  <c:v>0.88397790055248615</c:v>
                </c:pt>
                <c:pt idx="24">
                  <c:v>0.88950276243093918</c:v>
                </c:pt>
                <c:pt idx="25">
                  <c:v>0.91712707182320441</c:v>
                </c:pt>
                <c:pt idx="26">
                  <c:v>0.92265193370165743</c:v>
                </c:pt>
                <c:pt idx="27">
                  <c:v>0.97237569060773477</c:v>
                </c:pt>
                <c:pt idx="28">
                  <c:v>0.98895027624309395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C6E-6D4D-A1D6-E35E4CE85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3875312"/>
        <c:axId val="1633879584"/>
      </c:scatterChart>
      <c:valAx>
        <c:axId val="163387531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Residual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79584"/>
        <c:crosses val="autoZero"/>
        <c:crossBetween val="midCat"/>
      </c:valAx>
      <c:valAx>
        <c:axId val="16338795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CDF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75312"/>
        <c:crosses val="autoZero"/>
        <c:crossBetween val="midCat"/>
        <c:minorUnit val="0.05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24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24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24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24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sz="24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359776586577892"/>
          <c:y val="0.29740784504780721"/>
          <c:w val="0.46698872897280347"/>
          <c:h val="0.552768219598080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5893" cy="6293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85893" cy="6293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85893" cy="6293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6"/>
  <cols>
    <col min="1" max="1" width="38" style="97" bestFit="1" customWidth="1"/>
    <col min="2" max="2" width="9.1640625" style="201" customWidth="1"/>
    <col min="3" max="3" width="10.5" style="201" customWidth="1"/>
    <col min="4" max="4" width="11.1640625" style="201" customWidth="1"/>
    <col min="5" max="5" width="12" style="201" customWidth="1"/>
    <col min="6" max="7" width="10.83203125" style="201"/>
    <col min="8" max="8" width="31.5" style="97" bestFit="1" customWidth="1"/>
    <col min="9" max="9" width="10.83203125" style="201" customWidth="1"/>
    <col min="10" max="10" width="33.5" style="97" bestFit="1" customWidth="1"/>
    <col min="11" max="11" width="29.6640625" style="97" bestFit="1" customWidth="1"/>
    <col min="12" max="12" width="10.83203125" style="97"/>
    <col min="13" max="13" width="52.33203125" style="316" customWidth="1"/>
    <col min="14" max="15" width="9" style="318" customWidth="1"/>
    <col min="17" max="16384" width="10.83203125" style="97"/>
  </cols>
  <sheetData>
    <row r="1" spans="1:15" ht="33" customHeight="1">
      <c r="A1" s="356" t="s">
        <v>0</v>
      </c>
      <c r="B1" s="214" t="s">
        <v>5</v>
      </c>
      <c r="C1" s="214" t="s">
        <v>67</v>
      </c>
      <c r="D1" s="214" t="s">
        <v>215</v>
      </c>
      <c r="E1" s="215" t="s">
        <v>100</v>
      </c>
      <c r="F1" s="357" t="s">
        <v>101</v>
      </c>
      <c r="G1" s="357" t="s">
        <v>78</v>
      </c>
      <c r="H1" s="355" t="s">
        <v>301</v>
      </c>
      <c r="I1" s="222"/>
      <c r="J1" s="210" t="s">
        <v>0</v>
      </c>
      <c r="K1" s="210" t="s">
        <v>111</v>
      </c>
      <c r="M1" s="339"/>
      <c r="N1" s="319"/>
      <c r="O1" s="319"/>
    </row>
    <row r="2" spans="1:15">
      <c r="A2" s="60" t="s">
        <v>60</v>
      </c>
      <c r="B2" s="193">
        <v>280</v>
      </c>
      <c r="C2" s="193">
        <v>1740</v>
      </c>
      <c r="D2" s="202">
        <f>EXP(1.2549*LN(B2)+0.4026)*0.986</f>
        <v>1736.4508168579564</v>
      </c>
      <c r="E2" s="203">
        <f>MAX(C2:D2)/MIN(C2:D2)</f>
        <v>1.0020439295530787</v>
      </c>
      <c r="F2" s="203">
        <f>G2/252</f>
        <v>3.968253968253968E-3</v>
      </c>
      <c r="G2" s="204">
        <v>1</v>
      </c>
      <c r="H2" s="97" t="s">
        <v>358</v>
      </c>
      <c r="I2" s="204"/>
      <c r="J2" s="60" t="s">
        <v>60</v>
      </c>
      <c r="K2" s="192" t="s">
        <v>79</v>
      </c>
    </row>
    <row r="3" spans="1:15">
      <c r="A3" s="60" t="s">
        <v>60</v>
      </c>
      <c r="B3" s="193">
        <v>280</v>
      </c>
      <c r="C3" s="193">
        <v>1729</v>
      </c>
      <c r="D3" s="202">
        <f>EXP(1.2549*LN(B3)+0.4026)*0.986</f>
        <v>1736.4508168579564</v>
      </c>
      <c r="E3" s="203">
        <f>MAX(C3:D3)/MIN(C3:D3)</f>
        <v>1.0043093214910102</v>
      </c>
      <c r="F3" s="203">
        <f>G3/254</f>
        <v>7.874015748031496E-3</v>
      </c>
      <c r="G3" s="204">
        <v>2</v>
      </c>
      <c r="H3" s="97" t="s">
        <v>358</v>
      </c>
      <c r="I3" s="204"/>
      <c r="J3" s="60" t="s">
        <v>68</v>
      </c>
      <c r="K3" s="192" t="s">
        <v>80</v>
      </c>
    </row>
    <row r="4" spans="1:15">
      <c r="A4" s="60" t="s">
        <v>60</v>
      </c>
      <c r="B4" s="193">
        <v>169.6</v>
      </c>
      <c r="C4" s="193">
        <v>920</v>
      </c>
      <c r="D4" s="202">
        <f>EXP(1.2549*LN(B4)+0.4026)*0.986</f>
        <v>925.61497011155927</v>
      </c>
      <c r="E4" s="203">
        <f>MAX(C4:D4)/MIN(C4:D4)</f>
        <v>1.0061032283821296</v>
      </c>
      <c r="F4" s="203">
        <f>G4/254</f>
        <v>1.1811023622047244E-2</v>
      </c>
      <c r="G4" s="204">
        <v>3</v>
      </c>
      <c r="H4" s="97" t="s">
        <v>356</v>
      </c>
      <c r="I4" s="204"/>
      <c r="J4" s="60" t="s">
        <v>62</v>
      </c>
      <c r="K4" s="192" t="s">
        <v>81</v>
      </c>
    </row>
    <row r="5" spans="1:15">
      <c r="A5" s="60" t="s">
        <v>60</v>
      </c>
      <c r="B5" s="193">
        <v>280</v>
      </c>
      <c r="C5" s="193">
        <v>1704</v>
      </c>
      <c r="D5" s="202">
        <f>EXP(1.2549*LN(B5)+0.4026)*0.986</f>
        <v>1736.4508168579564</v>
      </c>
      <c r="E5" s="203">
        <f>MAX(C5:D5)/MIN(C5:D5)</f>
        <v>1.019043906606782</v>
      </c>
      <c r="F5" s="203">
        <f>G5/254</f>
        <v>1.5748031496062992E-2</v>
      </c>
      <c r="G5" s="204">
        <v>4</v>
      </c>
      <c r="H5" s="97" t="s">
        <v>358</v>
      </c>
      <c r="I5" s="204"/>
      <c r="J5" s="60" t="s">
        <v>69</v>
      </c>
      <c r="K5" s="192" t="s">
        <v>82</v>
      </c>
    </row>
    <row r="6" spans="1:15">
      <c r="A6" s="60" t="s">
        <v>60</v>
      </c>
      <c r="B6" s="193">
        <v>280</v>
      </c>
      <c r="C6" s="193">
        <v>1702</v>
      </c>
      <c r="D6" s="202">
        <f>EXP(1.2549*LN(B6)+0.4026)*0.986</f>
        <v>1736.4508168579564</v>
      </c>
      <c r="E6" s="203">
        <f>MAX(C6:D6)/MIN(C6:D6)</f>
        <v>1.020241373007025</v>
      </c>
      <c r="F6" s="203">
        <f>G6/254</f>
        <v>1.968503937007874E-2</v>
      </c>
      <c r="G6" s="204">
        <v>5</v>
      </c>
      <c r="H6" s="97" t="s">
        <v>358</v>
      </c>
      <c r="I6" s="204"/>
      <c r="J6" s="60" t="s">
        <v>70</v>
      </c>
      <c r="K6" s="192" t="s">
        <v>83</v>
      </c>
      <c r="N6" s="341"/>
    </row>
    <row r="7" spans="1:15">
      <c r="A7" s="60" t="s">
        <v>60</v>
      </c>
      <c r="B7" s="193">
        <v>280</v>
      </c>
      <c r="C7" s="193">
        <v>1692</v>
      </c>
      <c r="D7" s="202">
        <f>EXP(1.2549*LN(B7)+0.4026)*0.986</f>
        <v>1736.4508168579564</v>
      </c>
      <c r="E7" s="203">
        <f>MAX(C7:D7)/MIN(C7:D7)</f>
        <v>1.0262711683557662</v>
      </c>
      <c r="F7" s="203">
        <f>G7/254</f>
        <v>2.3622047244094488E-2</v>
      </c>
      <c r="G7" s="204">
        <v>6</v>
      </c>
      <c r="H7" s="97" t="s">
        <v>358</v>
      </c>
      <c r="I7" s="204"/>
      <c r="J7" s="60" t="s">
        <v>71</v>
      </c>
      <c r="K7" s="192" t="s">
        <v>84</v>
      </c>
      <c r="N7" s="341"/>
    </row>
    <row r="8" spans="1:15">
      <c r="A8" s="60" t="s">
        <v>60</v>
      </c>
      <c r="B8" s="193">
        <v>179</v>
      </c>
      <c r="C8" s="193">
        <v>962</v>
      </c>
      <c r="D8" s="202">
        <f>EXP(1.2549*LN(B8)+0.4026)*0.986</f>
        <v>990.44221317349411</v>
      </c>
      <c r="E8" s="203">
        <f>MAX(C8:D8)/MIN(C8:D8)</f>
        <v>1.0295657101595572</v>
      </c>
      <c r="F8" s="203">
        <f>G8/254</f>
        <v>2.7559055118110236E-2</v>
      </c>
      <c r="G8" s="204">
        <v>7</v>
      </c>
      <c r="H8" s="97" t="s">
        <v>357</v>
      </c>
      <c r="I8" s="204"/>
      <c r="J8" s="60" t="s">
        <v>72</v>
      </c>
      <c r="K8" s="192" t="s">
        <v>85</v>
      </c>
      <c r="N8" s="341"/>
    </row>
    <row r="9" spans="1:15">
      <c r="A9" s="60" t="s">
        <v>60</v>
      </c>
      <c r="B9" s="193">
        <v>105</v>
      </c>
      <c r="C9" s="193">
        <v>525</v>
      </c>
      <c r="D9" s="202">
        <f>EXP(1.2549*LN(B9)+0.4026)*0.986</f>
        <v>507.12418733616647</v>
      </c>
      <c r="E9" s="203">
        <f>MAX(C9:D9)/MIN(C9:D9)</f>
        <v>1.0352493789691475</v>
      </c>
      <c r="F9" s="203">
        <f>G9/254</f>
        <v>3.1496062992125984E-2</v>
      </c>
      <c r="G9" s="204">
        <v>8</v>
      </c>
      <c r="H9" s="97" t="s">
        <v>354</v>
      </c>
      <c r="I9" s="204"/>
    </row>
    <row r="10" spans="1:15">
      <c r="A10" s="60" t="s">
        <v>60</v>
      </c>
      <c r="B10" s="193">
        <v>280</v>
      </c>
      <c r="C10" s="193">
        <v>1675</v>
      </c>
      <c r="D10" s="202">
        <f>EXP(1.2549*LN(B10)+0.4026)*0.986</f>
        <v>1736.4508168579564</v>
      </c>
      <c r="E10" s="203">
        <f>MAX(C10:D10)/MIN(C10:D10)</f>
        <v>1.0366870548405709</v>
      </c>
      <c r="F10" s="203">
        <f>G10/254</f>
        <v>3.5433070866141732E-2</v>
      </c>
      <c r="G10" s="204">
        <v>9</v>
      </c>
      <c r="H10" s="97" t="s">
        <v>358</v>
      </c>
      <c r="I10" s="204"/>
      <c r="N10" s="320"/>
    </row>
    <row r="11" spans="1:15">
      <c r="A11" s="60" t="s">
        <v>60</v>
      </c>
      <c r="B11" s="193">
        <v>280</v>
      </c>
      <c r="C11" s="193">
        <v>1673</v>
      </c>
      <c r="D11" s="202">
        <f>EXP(1.2549*LN(B11)+0.4026)*0.986</f>
        <v>1736.4508168579564</v>
      </c>
      <c r="E11" s="203">
        <f>MAX(C11:D11)/MIN(C11:D11)</f>
        <v>1.0379263699091192</v>
      </c>
      <c r="F11" s="203">
        <f>G11/254</f>
        <v>3.937007874015748E-2</v>
      </c>
      <c r="G11" s="204">
        <v>10</v>
      </c>
      <c r="H11" s="97" t="s">
        <v>332</v>
      </c>
      <c r="I11" s="204"/>
      <c r="J11" s="285" t="s">
        <v>225</v>
      </c>
      <c r="K11" s="285"/>
      <c r="N11" s="320"/>
    </row>
    <row r="12" spans="1:15">
      <c r="A12" s="60" t="s">
        <v>60</v>
      </c>
      <c r="B12" s="193">
        <v>400.3</v>
      </c>
      <c r="C12" s="193">
        <v>2838</v>
      </c>
      <c r="D12" s="202">
        <f>EXP(1.2549*LN(B12)+0.4026)*0.986</f>
        <v>2719.3026779520087</v>
      </c>
      <c r="E12" s="203">
        <f>MAX(C12:D12)/MIN(C12:D12)</f>
        <v>1.0436499117992213</v>
      </c>
      <c r="F12" s="203">
        <f>G12/254</f>
        <v>4.3307086614173228E-2</v>
      </c>
      <c r="G12" s="204">
        <v>11</v>
      </c>
      <c r="H12" s="97" t="s">
        <v>332</v>
      </c>
      <c r="I12" s="204"/>
      <c r="J12" s="228" t="s">
        <v>223</v>
      </c>
      <c r="K12" s="229" t="s">
        <v>224</v>
      </c>
      <c r="N12" s="341"/>
    </row>
    <row r="13" spans="1:15">
      <c r="A13" s="60" t="s">
        <v>60</v>
      </c>
      <c r="B13" s="193">
        <v>97</v>
      </c>
      <c r="C13" s="193">
        <v>480</v>
      </c>
      <c r="D13" s="202">
        <f>EXP(1.2549*LN(B13)+0.4026)*0.986</f>
        <v>459.11736867341671</v>
      </c>
      <c r="E13" s="203">
        <f>MAX(C13:D13)/MIN(C13:D13)</f>
        <v>1.0454842982458321</v>
      </c>
      <c r="F13" s="203">
        <f>G13/254</f>
        <v>4.7244094488188976E-2</v>
      </c>
      <c r="G13" s="204">
        <v>12</v>
      </c>
      <c r="H13" s="97" t="s">
        <v>359</v>
      </c>
      <c r="I13" s="204"/>
      <c r="J13" s="231">
        <v>0.19</v>
      </c>
      <c r="K13" s="230">
        <v>128</v>
      </c>
      <c r="N13" s="341"/>
    </row>
    <row r="14" spans="1:15">
      <c r="A14" s="60" t="s">
        <v>60</v>
      </c>
      <c r="B14" s="193">
        <v>190.2</v>
      </c>
      <c r="C14" s="193">
        <v>1018</v>
      </c>
      <c r="D14" s="202">
        <f>EXP(1.2549*LN(B14)+0.4026)*0.986</f>
        <v>1068.821412139813</v>
      </c>
      <c r="E14" s="203">
        <f>MAX(C14:D14)/MIN(C14:D14)</f>
        <v>1.0499228017090501</v>
      </c>
      <c r="F14" s="203">
        <f>G14/254</f>
        <v>5.1181102362204724E-2</v>
      </c>
      <c r="G14" s="204">
        <v>13</v>
      </c>
      <c r="H14" s="97" t="s">
        <v>332</v>
      </c>
      <c r="I14" s="204"/>
    </row>
    <row r="15" spans="1:15">
      <c r="A15" s="60" t="s">
        <v>60</v>
      </c>
      <c r="B15" s="193">
        <v>325.2</v>
      </c>
      <c r="C15" s="193">
        <v>1989</v>
      </c>
      <c r="D15" s="202">
        <f>EXP(1.2549*LN(B15)+0.4026)*0.986</f>
        <v>2095.1811692015463</v>
      </c>
      <c r="E15" s="203">
        <f>MAX(C15:D15)/MIN(C15:D15)</f>
        <v>1.0533841976880574</v>
      </c>
      <c r="F15" s="203">
        <f>G15/254</f>
        <v>5.5118110236220472E-2</v>
      </c>
      <c r="G15" s="204">
        <v>14</v>
      </c>
      <c r="H15" s="97" t="s">
        <v>332</v>
      </c>
      <c r="I15" s="204"/>
      <c r="N15" s="320"/>
    </row>
    <row r="16" spans="1:15">
      <c r="A16" s="60" t="s">
        <v>60</v>
      </c>
      <c r="B16" s="193">
        <v>107.1</v>
      </c>
      <c r="C16" s="193">
        <v>551</v>
      </c>
      <c r="D16" s="202">
        <f>EXP(1.2549*LN(B16)+0.4026)*0.986</f>
        <v>519.88427359428351</v>
      </c>
      <c r="E16" s="203">
        <f>MAX(C16:D16)/MIN(C16:D16)</f>
        <v>1.0598512553391817</v>
      </c>
      <c r="F16" s="203">
        <f>G16/254</f>
        <v>5.905511811023622E-2</v>
      </c>
      <c r="G16" s="204">
        <v>15</v>
      </c>
      <c r="H16" s="97" t="s">
        <v>332</v>
      </c>
      <c r="I16" s="204"/>
      <c r="N16" s="341"/>
    </row>
    <row r="17" spans="1:14">
      <c r="A17" s="60" t="s">
        <v>60</v>
      </c>
      <c r="B17" s="193">
        <v>275.2</v>
      </c>
      <c r="C17" s="193">
        <v>1811</v>
      </c>
      <c r="D17" s="202">
        <f>EXP(1.2549*LN(B17)+0.4026)*0.986</f>
        <v>1699.1772612309946</v>
      </c>
      <c r="E17" s="203">
        <f>MAX(C17:D17)/MIN(C17:D17)</f>
        <v>1.0658099312652016</v>
      </c>
      <c r="F17" s="203">
        <f>G17/254</f>
        <v>6.2992125984251968E-2</v>
      </c>
      <c r="G17" s="204">
        <v>16</v>
      </c>
      <c r="H17" s="97" t="s">
        <v>332</v>
      </c>
      <c r="I17" s="204"/>
      <c r="N17" s="341"/>
    </row>
    <row r="18" spans="1:14">
      <c r="A18" s="60" t="s">
        <v>60</v>
      </c>
      <c r="B18" s="193">
        <v>66.099999999999994</v>
      </c>
      <c r="C18" s="193">
        <v>303</v>
      </c>
      <c r="D18" s="202">
        <f>EXP(1.2549*LN(B18)+0.4026)*0.986</f>
        <v>283.72309248491973</v>
      </c>
      <c r="E18" s="203">
        <f>MAX(C18:D18)/MIN(C18:D18)</f>
        <v>1.0679426808239265</v>
      </c>
      <c r="F18" s="203">
        <f>G18/254</f>
        <v>6.6929133858267723E-2</v>
      </c>
      <c r="G18" s="204">
        <v>17</v>
      </c>
      <c r="H18" s="97" t="s">
        <v>332</v>
      </c>
      <c r="I18" s="204"/>
      <c r="N18" s="341"/>
    </row>
    <row r="19" spans="1:14">
      <c r="A19" s="60" t="s">
        <v>60</v>
      </c>
      <c r="B19" s="193">
        <v>225.2</v>
      </c>
      <c r="C19" s="193">
        <v>1424</v>
      </c>
      <c r="D19" s="202">
        <f>EXP(1.2549*LN(B19)+0.4026)*0.986</f>
        <v>1321.1798492475803</v>
      </c>
      <c r="E19" s="203">
        <f>MAX(C19:D19)/MIN(C19:D19)</f>
        <v>1.0778244921090618</v>
      </c>
      <c r="F19" s="203">
        <f>G19/254</f>
        <v>7.0866141732283464E-2</v>
      </c>
      <c r="G19" s="204">
        <v>18</v>
      </c>
      <c r="H19" s="97" t="s">
        <v>332</v>
      </c>
      <c r="I19" s="204"/>
    </row>
    <row r="20" spans="1:14">
      <c r="A20" s="60" t="s">
        <v>60</v>
      </c>
      <c r="B20" s="193">
        <v>90.7</v>
      </c>
      <c r="C20" s="193">
        <v>457</v>
      </c>
      <c r="D20" s="202">
        <f>EXP(1.2549*LN(B20)+0.4026)*0.986</f>
        <v>422.01244455657172</v>
      </c>
      <c r="E20" s="203">
        <f>MAX(C20:D20)/MIN(C20:D20)</f>
        <v>1.0829064542876012</v>
      </c>
      <c r="F20" s="203">
        <f>G20/254</f>
        <v>7.4803149606299218E-2</v>
      </c>
      <c r="G20" s="204">
        <v>19</v>
      </c>
      <c r="H20" s="97" t="s">
        <v>357</v>
      </c>
      <c r="I20" s="204"/>
      <c r="N20" s="341"/>
    </row>
    <row r="21" spans="1:14">
      <c r="A21" s="60" t="s">
        <v>60</v>
      </c>
      <c r="B21" s="193">
        <v>150.1</v>
      </c>
      <c r="C21" s="193">
        <v>887</v>
      </c>
      <c r="D21" s="202">
        <f>EXP(1.2549*LN(B21)+0.4026)*0.986</f>
        <v>794.07953593975992</v>
      </c>
      <c r="E21" s="203">
        <f>MAX(C21:D21)/MIN(C21:D21)</f>
        <v>1.1170165705759847</v>
      </c>
      <c r="F21" s="203">
        <f>G21/254</f>
        <v>7.874015748031496E-2</v>
      </c>
      <c r="G21" s="204">
        <v>20</v>
      </c>
      <c r="H21" s="97" t="s">
        <v>332</v>
      </c>
      <c r="I21" s="204"/>
      <c r="N21" s="341"/>
    </row>
    <row r="22" spans="1:14">
      <c r="A22" s="60" t="s">
        <v>60</v>
      </c>
      <c r="B22" s="193">
        <v>148.1</v>
      </c>
      <c r="C22" s="193">
        <v>886</v>
      </c>
      <c r="D22" s="202">
        <f>EXP(1.2549*LN(B22)+0.4026)*0.986</f>
        <v>780.82447217653669</v>
      </c>
      <c r="E22" s="203">
        <f>MAX(C22:D22)/MIN(C22:D22)</f>
        <v>1.1346980423529607</v>
      </c>
      <c r="F22" s="203">
        <f>G22/254</f>
        <v>8.2677165354330714E-2</v>
      </c>
      <c r="G22" s="204">
        <v>21</v>
      </c>
      <c r="H22" s="97" t="s">
        <v>332</v>
      </c>
      <c r="I22" s="204"/>
      <c r="N22" s="341"/>
    </row>
    <row r="23" spans="1:14">
      <c r="A23" s="60" t="s">
        <v>60</v>
      </c>
      <c r="B23" s="193">
        <v>280</v>
      </c>
      <c r="C23" s="193">
        <v>1498</v>
      </c>
      <c r="D23" s="202">
        <f>EXP(1.2549*LN(B23)+0.4026)*0.986</f>
        <v>1736.4508168579564</v>
      </c>
      <c r="E23" s="203">
        <f>MAX(C23:D23)/MIN(C23:D23)</f>
        <v>1.1591794505059789</v>
      </c>
      <c r="F23" s="203">
        <f>G23/254</f>
        <v>8.6614173228346455E-2</v>
      </c>
      <c r="G23" s="204">
        <v>22</v>
      </c>
      <c r="H23" s="97" t="s">
        <v>358</v>
      </c>
      <c r="I23" s="204"/>
      <c r="N23" s="341"/>
    </row>
    <row r="24" spans="1:14">
      <c r="A24" s="60" t="s">
        <v>60</v>
      </c>
      <c r="B24" s="193">
        <v>280</v>
      </c>
      <c r="C24" s="193">
        <v>1497</v>
      </c>
      <c r="D24" s="202">
        <f>EXP(1.2549*LN(B24)+0.4026)*0.986</f>
        <v>1736.4508168579564</v>
      </c>
      <c r="E24" s="203">
        <f>MAX(C24:D24)/MIN(C24:D24)</f>
        <v>1.1599537854762567</v>
      </c>
      <c r="F24" s="203">
        <f>G24/254</f>
        <v>9.055118110236221E-2</v>
      </c>
      <c r="G24" s="204">
        <v>23</v>
      </c>
      <c r="H24" s="97" t="s">
        <v>358</v>
      </c>
      <c r="I24" s="204"/>
      <c r="N24" s="341"/>
    </row>
    <row r="25" spans="1:14">
      <c r="A25" s="60" t="s">
        <v>60</v>
      </c>
      <c r="B25" s="193">
        <v>280</v>
      </c>
      <c r="C25" s="193">
        <v>1482</v>
      </c>
      <c r="D25" s="202">
        <f>EXP(1.2549*LN(B25)+0.4026)*0.986</f>
        <v>1736.4508168579564</v>
      </c>
      <c r="E25" s="203">
        <f>MAX(C25:D25)/MIN(C25:D25)</f>
        <v>1.1716942084061783</v>
      </c>
      <c r="F25" s="203">
        <f>G25/254</f>
        <v>9.4488188976377951E-2</v>
      </c>
      <c r="G25" s="204">
        <v>24</v>
      </c>
      <c r="H25" s="97" t="s">
        <v>358</v>
      </c>
      <c r="I25" s="204"/>
      <c r="N25" s="341"/>
    </row>
    <row r="26" spans="1:14">
      <c r="A26" s="60" t="s">
        <v>60</v>
      </c>
      <c r="B26" s="193">
        <v>130</v>
      </c>
      <c r="C26" s="193">
        <v>798.9</v>
      </c>
      <c r="D26" s="202">
        <f>EXP(1.2549*LN(B26)+0.4026)*0.986</f>
        <v>662.99672963548767</v>
      </c>
      <c r="E26" s="203">
        <f>MAX(C26:D26)/MIN(C26:D26)</f>
        <v>1.2049833193585</v>
      </c>
      <c r="F26" s="203">
        <f>G26/254</f>
        <v>9.8425196850393706E-2</v>
      </c>
      <c r="G26" s="204">
        <v>25</v>
      </c>
      <c r="H26" s="97" t="s">
        <v>355</v>
      </c>
      <c r="I26" s="204"/>
      <c r="N26" s="341"/>
    </row>
    <row r="27" spans="1:14">
      <c r="A27" s="60" t="s">
        <v>60</v>
      </c>
      <c r="B27" s="193">
        <v>250</v>
      </c>
      <c r="C27" s="193">
        <v>1833</v>
      </c>
      <c r="D27" s="202">
        <f>EXP(1.2549*LN(B27)+0.4026)*0.986</f>
        <v>1506.2560012235449</v>
      </c>
      <c r="E27" s="203">
        <f>MAX(C27:D27)/MIN(C27:D27)</f>
        <v>1.2169246120918609</v>
      </c>
      <c r="F27" s="203">
        <f>G27/254</f>
        <v>0.10236220472440945</v>
      </c>
      <c r="G27" s="204">
        <v>26</v>
      </c>
      <c r="H27" s="97" t="s">
        <v>350</v>
      </c>
      <c r="I27" s="204"/>
    </row>
    <row r="28" spans="1:14">
      <c r="A28" s="60" t="s">
        <v>60</v>
      </c>
      <c r="B28" s="193">
        <v>125.1</v>
      </c>
      <c r="C28" s="193">
        <v>773</v>
      </c>
      <c r="D28" s="202">
        <f>EXP(1.2549*LN(B28)+0.4026)*0.986</f>
        <v>631.78901615089217</v>
      </c>
      <c r="E28" s="203">
        <f>MAX(C28:D28)/MIN(C28:D28)</f>
        <v>1.2235097164389164</v>
      </c>
      <c r="F28" s="203">
        <f>G28/254</f>
        <v>0.1062992125984252</v>
      </c>
      <c r="G28" s="204">
        <v>27</v>
      </c>
      <c r="H28" s="97" t="s">
        <v>332</v>
      </c>
      <c r="I28" s="204"/>
      <c r="N28" s="341"/>
    </row>
    <row r="29" spans="1:14">
      <c r="A29" s="60" t="s">
        <v>60</v>
      </c>
      <c r="B29" s="193">
        <v>525.4</v>
      </c>
      <c r="C29" s="193">
        <v>2985</v>
      </c>
      <c r="D29" s="202">
        <f>EXP(1.2549*LN(B29)+0.4026)*0.986</f>
        <v>3825.3119771314491</v>
      </c>
      <c r="E29" s="203">
        <f>MAX(C29:D29)/MIN(C29:D29)</f>
        <v>1.2815115501277887</v>
      </c>
      <c r="F29" s="203">
        <f>G29/254</f>
        <v>0.11023622047244094</v>
      </c>
      <c r="G29" s="204">
        <v>28</v>
      </c>
      <c r="H29" s="97" t="s">
        <v>332</v>
      </c>
      <c r="I29" s="204"/>
    </row>
    <row r="30" spans="1:14">
      <c r="A30" s="60" t="s">
        <v>60</v>
      </c>
      <c r="B30" s="193">
        <v>425.3</v>
      </c>
      <c r="C30" s="193">
        <v>2260</v>
      </c>
      <c r="D30" s="202">
        <f>EXP(1.2549*LN(B30)+0.4026)*0.986</f>
        <v>2934.0918775158862</v>
      </c>
      <c r="E30" s="203">
        <f>MAX(C30:D30)/MIN(C30:D30)</f>
        <v>1.2982707422636663</v>
      </c>
      <c r="F30" s="203">
        <f>G30/254</f>
        <v>0.1141732283464567</v>
      </c>
      <c r="G30" s="204">
        <v>29</v>
      </c>
      <c r="H30" s="97" t="s">
        <v>332</v>
      </c>
      <c r="I30" s="204"/>
      <c r="N30" s="341"/>
    </row>
    <row r="31" spans="1:14">
      <c r="A31" s="60" t="s">
        <v>60</v>
      </c>
      <c r="B31" s="193">
        <v>225.2</v>
      </c>
      <c r="C31" s="193">
        <v>1012</v>
      </c>
      <c r="D31" s="202">
        <f>EXP(1.2549*LN(B31)+0.4026)*0.986</f>
        <v>1321.1798492475803</v>
      </c>
      <c r="E31" s="203">
        <f>MAX(C31:D31)/MIN(C31:D31)</f>
        <v>1.3055136850272533</v>
      </c>
      <c r="F31" s="203">
        <f>G31/254</f>
        <v>0.11811023622047244</v>
      </c>
      <c r="G31" s="204">
        <v>30</v>
      </c>
      <c r="H31" s="97" t="s">
        <v>332</v>
      </c>
      <c r="I31" s="204"/>
      <c r="N31" s="341"/>
    </row>
    <row r="32" spans="1:14">
      <c r="A32" s="60" t="s">
        <v>60</v>
      </c>
      <c r="B32" s="193">
        <v>46.1</v>
      </c>
      <c r="C32" s="193">
        <v>131</v>
      </c>
      <c r="D32" s="202">
        <f>EXP(1.2549*LN(B32)+0.4026)*0.986</f>
        <v>180.51037341752308</v>
      </c>
      <c r="E32" s="203">
        <f>MAX(C32:D32)/MIN(C32:D32)</f>
        <v>1.3779417818131534</v>
      </c>
      <c r="F32" s="203">
        <f>G32/254</f>
        <v>0.12204724409448819</v>
      </c>
      <c r="G32" s="204">
        <v>31</v>
      </c>
      <c r="H32" s="97" t="s">
        <v>357</v>
      </c>
      <c r="I32" s="204"/>
      <c r="N32" s="341"/>
    </row>
    <row r="33" spans="1:14">
      <c r="A33" s="60" t="s">
        <v>60</v>
      </c>
      <c r="B33" s="193">
        <v>250</v>
      </c>
      <c r="C33" s="193">
        <v>2140</v>
      </c>
      <c r="D33" s="202">
        <f>EXP(1.2549*LN(B33)+0.4026)*0.986</f>
        <v>1506.2560012235449</v>
      </c>
      <c r="E33" s="203">
        <f>MAX(C33:D33)/MIN(C33:D33)</f>
        <v>1.4207412274285773</v>
      </c>
      <c r="F33" s="203">
        <f>G33/254</f>
        <v>0.12598425196850394</v>
      </c>
      <c r="G33" s="204">
        <v>32</v>
      </c>
      <c r="H33" s="97" t="s">
        <v>333</v>
      </c>
      <c r="I33" s="204"/>
      <c r="N33" s="341"/>
    </row>
    <row r="34" spans="1:14">
      <c r="A34" s="60" t="s">
        <v>60</v>
      </c>
      <c r="B34" s="193">
        <v>46.1</v>
      </c>
      <c r="C34" s="193">
        <v>259</v>
      </c>
      <c r="D34" s="202">
        <f>EXP(1.2549*LN(B34)+0.4026)*0.986</f>
        <v>180.51037341752308</v>
      </c>
      <c r="E34" s="203">
        <f>MAX(C34:D34)/MIN(C34:D34)</f>
        <v>1.4348205872962729</v>
      </c>
      <c r="F34" s="203">
        <f>G34/254</f>
        <v>0.12992125984251968</v>
      </c>
      <c r="G34" s="204">
        <v>33</v>
      </c>
      <c r="H34" s="97" t="s">
        <v>357</v>
      </c>
      <c r="I34" s="204"/>
      <c r="N34" s="341"/>
    </row>
    <row r="35" spans="1:14">
      <c r="A35" s="60" t="s">
        <v>60</v>
      </c>
      <c r="B35" s="193">
        <v>272.2</v>
      </c>
      <c r="C35" s="193">
        <v>1149</v>
      </c>
      <c r="D35" s="202">
        <f>EXP(1.2549*LN(B35)+0.4026)*0.986</f>
        <v>1675.9651212815261</v>
      </c>
      <c r="E35" s="203">
        <f>MAX(C35:D35)/MIN(C35:D35)</f>
        <v>1.458629348373826</v>
      </c>
      <c r="F35" s="203">
        <f>G35/254</f>
        <v>0.13385826771653545</v>
      </c>
      <c r="G35" s="204">
        <v>34</v>
      </c>
      <c r="H35" s="97" t="s">
        <v>332</v>
      </c>
      <c r="I35" s="204"/>
      <c r="N35" s="341"/>
    </row>
    <row r="36" spans="1:14">
      <c r="A36" s="60" t="s">
        <v>60</v>
      </c>
      <c r="B36" s="193">
        <v>54</v>
      </c>
      <c r="C36" s="193">
        <v>334</v>
      </c>
      <c r="D36" s="202">
        <f>EXP(1.2549*LN(B36)+0.4026)*0.986</f>
        <v>220.14296047556172</v>
      </c>
      <c r="E36" s="203">
        <f>MAX(C36:D36)/MIN(C36:D36)</f>
        <v>1.517195913412265</v>
      </c>
      <c r="F36" s="203">
        <f>G36/254</f>
        <v>0.13779527559055119</v>
      </c>
      <c r="G36" s="204">
        <v>35</v>
      </c>
      <c r="H36" s="97" t="s">
        <v>354</v>
      </c>
      <c r="I36" s="204"/>
      <c r="N36" s="341"/>
    </row>
    <row r="37" spans="1:14">
      <c r="A37" s="60" t="s">
        <v>60</v>
      </c>
      <c r="B37" s="193">
        <v>325.3</v>
      </c>
      <c r="C37" s="193">
        <v>1337</v>
      </c>
      <c r="D37" s="202">
        <f>EXP(1.2549*LN(B37)+0.4026)*0.986</f>
        <v>2095.989701146415</v>
      </c>
      <c r="E37" s="203">
        <f>MAX(C37:D37)/MIN(C37:D37)</f>
        <v>1.5676811526899139</v>
      </c>
      <c r="F37" s="203">
        <f>G37/254</f>
        <v>0.14173228346456693</v>
      </c>
      <c r="G37" s="204">
        <v>36</v>
      </c>
      <c r="H37" s="97" t="s">
        <v>332</v>
      </c>
      <c r="I37" s="204"/>
    </row>
    <row r="38" spans="1:14">
      <c r="A38" s="60" t="s">
        <v>60</v>
      </c>
      <c r="B38" s="193">
        <v>45</v>
      </c>
      <c r="C38" s="193">
        <v>280</v>
      </c>
      <c r="D38" s="202">
        <f>EXP(1.2549*LN(B38)+0.4026)*0.986</f>
        <v>175.12181789840005</v>
      </c>
      <c r="E38" s="203">
        <f>MAX(C38:D38)/MIN(C38:D38)</f>
        <v>1.5988870111115843</v>
      </c>
      <c r="F38" s="203">
        <f>G38/254</f>
        <v>0.14566929133858267</v>
      </c>
      <c r="G38" s="204">
        <v>37</v>
      </c>
      <c r="H38" s="97" t="s">
        <v>353</v>
      </c>
      <c r="I38" s="204"/>
      <c r="N38" s="341"/>
    </row>
    <row r="39" spans="1:14">
      <c r="A39" s="60" t="s">
        <v>60</v>
      </c>
      <c r="B39" s="193">
        <v>46</v>
      </c>
      <c r="C39" s="193">
        <v>296</v>
      </c>
      <c r="D39" s="202">
        <f>EXP(1.2549*LN(B39)+0.4026)*0.986</f>
        <v>180.01913739046185</v>
      </c>
      <c r="E39" s="203">
        <f>MAX(C39:D39)/MIN(C39:D39)</f>
        <v>1.6442696276117323</v>
      </c>
      <c r="F39" s="203">
        <f>G39/254</f>
        <v>0.14960629921259844</v>
      </c>
      <c r="G39" s="204">
        <v>38</v>
      </c>
      <c r="H39" s="97" t="s">
        <v>332</v>
      </c>
      <c r="I39" s="204"/>
      <c r="N39" s="320"/>
    </row>
    <row r="40" spans="1:14">
      <c r="A40" s="60" t="s">
        <v>60</v>
      </c>
      <c r="B40" s="193">
        <v>179</v>
      </c>
      <c r="C40" s="193">
        <v>601</v>
      </c>
      <c r="D40" s="202">
        <f>EXP(1.2549*LN(B40)+0.4026)*0.986</f>
        <v>990.44221317349411</v>
      </c>
      <c r="E40" s="203">
        <f>MAX(C40:D40)/MIN(C40:D40)</f>
        <v>1.6479903713369286</v>
      </c>
      <c r="F40" s="203">
        <f>G40/254</f>
        <v>0.15354330708661418</v>
      </c>
      <c r="G40" s="204">
        <v>39</v>
      </c>
      <c r="H40" s="97" t="s">
        <v>357</v>
      </c>
      <c r="I40" s="204"/>
      <c r="N40" s="320"/>
    </row>
    <row r="41" spans="1:14">
      <c r="A41" s="60" t="s">
        <v>60</v>
      </c>
      <c r="B41" s="193">
        <v>196</v>
      </c>
      <c r="C41" s="193">
        <v>655</v>
      </c>
      <c r="D41" s="202">
        <f>EXP(1.2549*LN(B41)+0.4026)*0.986</f>
        <v>1109.8799790617859</v>
      </c>
      <c r="E41" s="203">
        <f>MAX(C41:D41)/MIN(C41:D41)</f>
        <v>1.6944732504760089</v>
      </c>
      <c r="F41" s="203">
        <f>G41/254</f>
        <v>0.15748031496062992</v>
      </c>
      <c r="G41" s="204">
        <v>40</v>
      </c>
      <c r="H41" s="97" t="s">
        <v>354</v>
      </c>
      <c r="I41" s="204"/>
      <c r="N41" s="341"/>
    </row>
    <row r="42" spans="1:14">
      <c r="A42" s="196" t="s">
        <v>60</v>
      </c>
      <c r="B42" s="197">
        <v>250</v>
      </c>
      <c r="C42" s="197">
        <v>2650</v>
      </c>
      <c r="D42" s="206">
        <f>EXP(1.2549*LN(B42)+0.4026)*0.986</f>
        <v>1506.2560012235449</v>
      </c>
      <c r="E42" s="203">
        <f>MAX(C42:D42)/MIN(C42:D42)</f>
        <v>1.7593290900400609</v>
      </c>
      <c r="F42" s="203">
        <f>G42/254</f>
        <v>0.16141732283464566</v>
      </c>
      <c r="G42" s="204">
        <v>41</v>
      </c>
      <c r="H42" s="97" t="s">
        <v>350</v>
      </c>
      <c r="I42" s="204"/>
      <c r="N42" s="341"/>
    </row>
    <row r="43" spans="1:14">
      <c r="A43" s="60" t="s">
        <v>60</v>
      </c>
      <c r="B43" s="193">
        <v>45.3</v>
      </c>
      <c r="C43" s="193">
        <v>100</v>
      </c>
      <c r="D43" s="202">
        <f>EXP(1.2549*LN(B43)+0.4026)*0.986</f>
        <v>176.58812979216813</v>
      </c>
      <c r="E43" s="203">
        <f>MAX(C43:D43)/MIN(C43:D43)</f>
        <v>1.7658812979216814</v>
      </c>
      <c r="F43" s="203">
        <f>G43/254</f>
        <v>0.16535433070866143</v>
      </c>
      <c r="G43" s="204">
        <v>42</v>
      </c>
      <c r="H43" s="97" t="s">
        <v>352</v>
      </c>
      <c r="I43" s="204"/>
      <c r="N43" s="341"/>
    </row>
    <row r="44" spans="1:14">
      <c r="A44" s="60" t="s">
        <v>60</v>
      </c>
      <c r="B44" s="193">
        <v>97</v>
      </c>
      <c r="C44" s="193">
        <v>840</v>
      </c>
      <c r="D44" s="202">
        <f>EXP(1.2549*LN(B44)+0.4026)*0.986</f>
        <v>459.11736867341671</v>
      </c>
      <c r="E44" s="203">
        <f>MAX(C44:D44)/MIN(C44:D44)</f>
        <v>1.8295975219302061</v>
      </c>
      <c r="F44" s="203">
        <f>G44/254</f>
        <v>0.16929133858267717</v>
      </c>
      <c r="G44" s="204">
        <v>43</v>
      </c>
      <c r="H44" s="97" t="s">
        <v>359</v>
      </c>
      <c r="I44" s="204"/>
    </row>
    <row r="45" spans="1:14">
      <c r="A45" s="60" t="s">
        <v>60</v>
      </c>
      <c r="B45" s="193">
        <v>97</v>
      </c>
      <c r="C45" s="193">
        <v>840</v>
      </c>
      <c r="D45" s="202">
        <f>EXP(1.2549*LN(B45)+0.4026)*0.986</f>
        <v>459.11736867341671</v>
      </c>
      <c r="E45" s="203">
        <f>MAX(C45:D45)/MIN(C45:D45)</f>
        <v>1.8295975219302061</v>
      </c>
      <c r="F45" s="203">
        <f>G45/254</f>
        <v>0.17322834645669291</v>
      </c>
      <c r="G45" s="204">
        <v>44</v>
      </c>
      <c r="H45" s="97" t="s">
        <v>359</v>
      </c>
      <c r="I45" s="204"/>
    </row>
    <row r="46" spans="1:14">
      <c r="A46" s="60" t="s">
        <v>60</v>
      </c>
      <c r="B46" s="193">
        <v>75.099999999999994</v>
      </c>
      <c r="C46" s="193">
        <v>625</v>
      </c>
      <c r="D46" s="202">
        <f>EXP(1.2549*LN(B46)+0.4026)*0.986</f>
        <v>333.01548647202793</v>
      </c>
      <c r="E46" s="203">
        <f>MAX(C46:D46)/MIN(C46:D46)</f>
        <v>1.8767895950463485</v>
      </c>
      <c r="F46" s="203">
        <f>G46/254</f>
        <v>0.17716535433070865</v>
      </c>
      <c r="G46" s="204">
        <v>45</v>
      </c>
      <c r="H46" s="97" t="s">
        <v>332</v>
      </c>
      <c r="I46" s="204"/>
      <c r="N46" s="341"/>
    </row>
    <row r="47" spans="1:14">
      <c r="A47" s="60" t="s">
        <v>60</v>
      </c>
      <c r="B47" s="193">
        <v>50</v>
      </c>
      <c r="C47" s="193">
        <v>378</v>
      </c>
      <c r="D47" s="202">
        <f>EXP(1.2549*LN(B47)+0.4026)*0.986</f>
        <v>199.87631397820368</v>
      </c>
      <c r="E47" s="203">
        <f>MAX(C47:D47)/MIN(C47:D47)</f>
        <v>1.8911695561947401</v>
      </c>
      <c r="F47" s="203">
        <f>G47/254</f>
        <v>0.18110236220472442</v>
      </c>
      <c r="G47" s="204">
        <v>46</v>
      </c>
      <c r="H47" s="97" t="s">
        <v>332</v>
      </c>
      <c r="I47" s="204"/>
      <c r="N47" s="341"/>
    </row>
    <row r="48" spans="1:14">
      <c r="A48" s="196" t="s">
        <v>60</v>
      </c>
      <c r="B48" s="197">
        <v>250</v>
      </c>
      <c r="C48" s="197">
        <v>2909</v>
      </c>
      <c r="D48" s="206">
        <f>EXP(1.2549*LN(B48)+0.4026)*0.986</f>
        <v>1506.2560012235449</v>
      </c>
      <c r="E48" s="203">
        <f>MAX(C48:D48)/MIN(C48:D48)</f>
        <v>1.9312786124251082</v>
      </c>
      <c r="F48" s="203">
        <f>G48/254</f>
        <v>0.18503937007874016</v>
      </c>
      <c r="G48" s="204">
        <v>47</v>
      </c>
      <c r="H48" s="97" t="s">
        <v>350</v>
      </c>
      <c r="I48" s="204"/>
      <c r="N48" s="341"/>
    </row>
    <row r="49" spans="1:14">
      <c r="A49" s="60" t="s">
        <v>60</v>
      </c>
      <c r="B49" s="193">
        <v>75.099999999999994</v>
      </c>
      <c r="C49" s="193">
        <v>666</v>
      </c>
      <c r="D49" s="202">
        <f>EXP(1.2549*LN(B49)+0.4026)*0.986</f>
        <v>333.01548647202793</v>
      </c>
      <c r="E49" s="203">
        <f>MAX(C49:D49)/MIN(C49:D49)</f>
        <v>1.9999069924813888</v>
      </c>
      <c r="F49" s="203">
        <f>G49/254</f>
        <v>0.1889763779527559</v>
      </c>
      <c r="G49" s="204">
        <v>48</v>
      </c>
      <c r="H49" s="97" t="s">
        <v>332</v>
      </c>
      <c r="I49" s="204"/>
    </row>
    <row r="50" spans="1:14">
      <c r="A50" s="60" t="s">
        <v>60</v>
      </c>
      <c r="B50" s="193">
        <v>125.1</v>
      </c>
      <c r="C50" s="193">
        <v>1301</v>
      </c>
      <c r="D50" s="202">
        <f>EXP(1.2549*LN(B50)+0.4026)*0.986</f>
        <v>631.78901615089217</v>
      </c>
      <c r="E50" s="203">
        <f>MAX(C50:D50)/MIN(C50:D50)</f>
        <v>2.0592317478486808</v>
      </c>
      <c r="F50" s="203">
        <f>G50/254</f>
        <v>0.19291338582677164</v>
      </c>
      <c r="G50" s="204">
        <v>49</v>
      </c>
      <c r="H50" s="97" t="s">
        <v>332</v>
      </c>
      <c r="I50" s="204"/>
      <c r="N50" s="341"/>
    </row>
    <row r="51" spans="1:14">
      <c r="A51" s="60" t="s">
        <v>60</v>
      </c>
      <c r="B51" s="193">
        <v>354.3</v>
      </c>
      <c r="C51" s="193">
        <v>1089</v>
      </c>
      <c r="D51" s="202">
        <f>EXP(1.2549*LN(B51)+0.4026)*0.986</f>
        <v>2333.0805461075647</v>
      </c>
      <c r="E51" s="203">
        <f>MAX(C51:D51)/MIN(C51:D51)</f>
        <v>2.1424063784275158</v>
      </c>
      <c r="F51" s="203">
        <f>G51/254</f>
        <v>0.19685039370078741</v>
      </c>
      <c r="G51" s="204">
        <v>50</v>
      </c>
      <c r="H51" s="97" t="s">
        <v>332</v>
      </c>
      <c r="I51" s="204"/>
      <c r="N51" s="341"/>
    </row>
    <row r="52" spans="1:14">
      <c r="A52" s="60" t="s">
        <v>60</v>
      </c>
      <c r="B52" s="193">
        <v>37.5</v>
      </c>
      <c r="C52" s="193">
        <v>312</v>
      </c>
      <c r="D52" s="202">
        <f>EXP(1.2549*LN(B52)+0.4026)*0.986</f>
        <v>139.30788900899176</v>
      </c>
      <c r="E52" s="203">
        <f>MAX(C52:D52)/MIN(C52:D52)</f>
        <v>2.2396434417282833</v>
      </c>
      <c r="F52" s="203">
        <f>G52/254</f>
        <v>0.20472440944881889</v>
      </c>
      <c r="G52" s="204">
        <v>52</v>
      </c>
      <c r="H52" s="97" t="s">
        <v>332</v>
      </c>
      <c r="I52" s="204"/>
      <c r="N52" s="341"/>
    </row>
    <row r="53" spans="1:14">
      <c r="A53" s="60" t="s">
        <v>60</v>
      </c>
      <c r="B53" s="193">
        <v>50</v>
      </c>
      <c r="C53" s="193">
        <v>449</v>
      </c>
      <c r="D53" s="202">
        <f>EXP(1.2549*LN(B53)+0.4026)*0.986</f>
        <v>199.87631397820368</v>
      </c>
      <c r="E53" s="203">
        <f>MAX(C53:D53)/MIN(C53:D53)</f>
        <v>2.2463892347392549</v>
      </c>
      <c r="F53" s="203">
        <f>G53/254</f>
        <v>0.20866141732283464</v>
      </c>
      <c r="G53" s="204">
        <v>53</v>
      </c>
      <c r="H53" s="97" t="s">
        <v>332</v>
      </c>
      <c r="I53" s="204"/>
      <c r="N53" s="341"/>
    </row>
    <row r="54" spans="1:14">
      <c r="A54" s="60" t="s">
        <v>60</v>
      </c>
      <c r="B54" s="193">
        <v>75.099999999999994</v>
      </c>
      <c r="C54" s="193">
        <v>754</v>
      </c>
      <c r="D54" s="202">
        <f>EXP(1.2549*LN(B54)+0.4026)*0.986</f>
        <v>333.01548647202793</v>
      </c>
      <c r="E54" s="203">
        <f>MAX(C54:D54)/MIN(C54:D54)</f>
        <v>2.2641589674639149</v>
      </c>
      <c r="F54" s="203">
        <f>G54/254</f>
        <v>0.2125984251968504</v>
      </c>
      <c r="G54" s="204">
        <v>54</v>
      </c>
      <c r="H54" s="97" t="s">
        <v>332</v>
      </c>
      <c r="I54" s="204"/>
      <c r="N54" s="341"/>
    </row>
    <row r="55" spans="1:14">
      <c r="A55" s="60" t="s">
        <v>60</v>
      </c>
      <c r="B55" s="193">
        <v>625.5</v>
      </c>
      <c r="C55" s="193">
        <v>2090</v>
      </c>
      <c r="D55" s="202">
        <f>EXP(1.2549*LN(B55)+0.4026)*0.986</f>
        <v>4761.1244081085879</v>
      </c>
      <c r="E55" s="203">
        <f>MAX(C55:D55)/MIN(C55:D55)</f>
        <v>2.2780499560328171</v>
      </c>
      <c r="F55" s="203">
        <f>G55/254</f>
        <v>0.21653543307086615</v>
      </c>
      <c r="G55" s="204">
        <v>55</v>
      </c>
      <c r="H55" s="97" t="s">
        <v>332</v>
      </c>
      <c r="I55" s="204"/>
      <c r="N55" s="320"/>
    </row>
    <row r="56" spans="1:14">
      <c r="A56" s="60" t="s">
        <v>60</v>
      </c>
      <c r="B56" s="193">
        <v>196</v>
      </c>
      <c r="C56" s="193">
        <v>2580</v>
      </c>
      <c r="D56" s="202">
        <f>EXP(1.2549*LN(B56)+0.4026)*0.986</f>
        <v>1109.8799790617859</v>
      </c>
      <c r="E56" s="203">
        <f>MAX(C56:D56)/MIN(C56:D56)</f>
        <v>2.3245756736516228</v>
      </c>
      <c r="F56" s="203">
        <f>G56/254</f>
        <v>0.22047244094488189</v>
      </c>
      <c r="G56" s="204">
        <v>56</v>
      </c>
      <c r="H56" s="97" t="s">
        <v>333</v>
      </c>
      <c r="I56" s="204"/>
      <c r="N56" s="341"/>
    </row>
    <row r="57" spans="1:14">
      <c r="A57" s="60" t="s">
        <v>60</v>
      </c>
      <c r="B57" s="193">
        <v>50</v>
      </c>
      <c r="C57" s="193">
        <v>486</v>
      </c>
      <c r="D57" s="202">
        <f>EXP(1.2549*LN(B57)+0.4026)*0.986</f>
        <v>199.87631397820368</v>
      </c>
      <c r="E57" s="203">
        <f>MAX(C57:D57)/MIN(C57:D57)</f>
        <v>2.4315037151075232</v>
      </c>
      <c r="F57" s="203">
        <f>G57/254</f>
        <v>0.2283464566929134</v>
      </c>
      <c r="G57" s="204">
        <v>58</v>
      </c>
      <c r="H57" s="97" t="s">
        <v>332</v>
      </c>
      <c r="I57" s="204"/>
      <c r="N57" s="320"/>
    </row>
    <row r="58" spans="1:14">
      <c r="A58" s="60" t="s">
        <v>60</v>
      </c>
      <c r="B58" s="193">
        <v>50</v>
      </c>
      <c r="C58" s="193">
        <v>489</v>
      </c>
      <c r="D58" s="202">
        <f>EXP(1.2549*LN(B58)+0.4026)*0.986</f>
        <v>199.87631397820368</v>
      </c>
      <c r="E58" s="203">
        <f>MAX(C58:D58)/MIN(C58:D58)</f>
        <v>2.446512997299545</v>
      </c>
      <c r="F58" s="203">
        <f>G58/254</f>
        <v>0.23228346456692914</v>
      </c>
      <c r="G58" s="204">
        <v>59</v>
      </c>
      <c r="H58" s="97" t="s">
        <v>332</v>
      </c>
      <c r="I58" s="204"/>
      <c r="N58" s="320"/>
    </row>
    <row r="59" spans="1:14">
      <c r="A59" s="60" t="s">
        <v>60</v>
      </c>
      <c r="B59" s="193">
        <v>436.4</v>
      </c>
      <c r="C59" s="193">
        <v>1234</v>
      </c>
      <c r="D59" s="202">
        <f>EXP(1.2549*LN(B59)+0.4026)*0.986</f>
        <v>3030.5066126254933</v>
      </c>
      <c r="E59" s="203">
        <f>MAX(C59:D59)/MIN(C59:D59)</f>
        <v>2.4558400426462668</v>
      </c>
      <c r="F59" s="203">
        <f>G59/254</f>
        <v>0.23622047244094488</v>
      </c>
      <c r="G59" s="204">
        <v>60</v>
      </c>
      <c r="H59" s="97" t="s">
        <v>332</v>
      </c>
      <c r="I59" s="204"/>
      <c r="N59" s="341"/>
    </row>
    <row r="60" spans="1:14">
      <c r="A60" s="60" t="s">
        <v>60</v>
      </c>
      <c r="B60" s="193">
        <v>97</v>
      </c>
      <c r="C60" s="193">
        <v>1130</v>
      </c>
      <c r="D60" s="202">
        <f>EXP(1.2549*LN(B60)+0.4026)*0.986</f>
        <v>459.11736867341671</v>
      </c>
      <c r="E60" s="203">
        <f>MAX(C60:D60)/MIN(C60:D60)</f>
        <v>2.4612442854537293</v>
      </c>
      <c r="F60" s="203">
        <f>G60/254</f>
        <v>0.24015748031496062</v>
      </c>
      <c r="G60" s="204">
        <v>61</v>
      </c>
      <c r="H60" s="97" t="s">
        <v>359</v>
      </c>
      <c r="I60" s="204"/>
      <c r="N60" s="320"/>
    </row>
    <row r="61" spans="1:14">
      <c r="A61" s="60" t="s">
        <v>60</v>
      </c>
      <c r="B61" s="193">
        <v>50</v>
      </c>
      <c r="C61" s="193">
        <v>495</v>
      </c>
      <c r="D61" s="202">
        <f>EXP(1.2549*LN(B61)+0.4026)*0.986</f>
        <v>199.87631397820368</v>
      </c>
      <c r="E61" s="203">
        <f>MAX(C61:D61)/MIN(C61:D61)</f>
        <v>2.4765315616835881</v>
      </c>
      <c r="F61" s="203">
        <f>G61/254</f>
        <v>0.24409448818897639</v>
      </c>
      <c r="G61" s="204">
        <v>62</v>
      </c>
      <c r="H61" s="97" t="s">
        <v>332</v>
      </c>
      <c r="I61" s="204"/>
      <c r="N61" s="341"/>
    </row>
    <row r="62" spans="1:14">
      <c r="A62" s="60" t="s">
        <v>60</v>
      </c>
      <c r="B62" s="193">
        <v>97</v>
      </c>
      <c r="C62" s="193">
        <v>1150</v>
      </c>
      <c r="D62" s="202">
        <f>EXP(1.2549*LN(B62)+0.4026)*0.986</f>
        <v>459.11736867341671</v>
      </c>
      <c r="E62" s="203">
        <f>MAX(C62:D62)/MIN(C62:D62)</f>
        <v>2.5048061312139724</v>
      </c>
      <c r="F62" s="203">
        <f>G62/254</f>
        <v>0.24803149606299213</v>
      </c>
      <c r="G62" s="204">
        <v>63</v>
      </c>
      <c r="H62" s="97" t="s">
        <v>359</v>
      </c>
      <c r="I62" s="204"/>
      <c r="N62" s="341"/>
    </row>
    <row r="63" spans="1:14">
      <c r="A63" s="60" t="s">
        <v>60</v>
      </c>
      <c r="B63" s="193">
        <v>90.7</v>
      </c>
      <c r="C63" s="193">
        <v>1060</v>
      </c>
      <c r="D63" s="202">
        <f>EXP(1.2549*LN(B63)+0.4026)*0.986</f>
        <v>422.01244455657172</v>
      </c>
      <c r="E63" s="203">
        <f>MAX(C63:D63)/MIN(C63:D63)</f>
        <v>2.5117742703388561</v>
      </c>
      <c r="F63" s="203">
        <f>G63/254</f>
        <v>0.25196850393700787</v>
      </c>
      <c r="G63" s="204">
        <v>64</v>
      </c>
      <c r="H63" s="97" t="s">
        <v>357</v>
      </c>
      <c r="I63" s="204"/>
      <c r="N63" s="341"/>
    </row>
    <row r="64" spans="1:14">
      <c r="A64" s="60" t="s">
        <v>60</v>
      </c>
      <c r="B64" s="193">
        <v>97</v>
      </c>
      <c r="C64" s="193">
        <v>1170</v>
      </c>
      <c r="D64" s="202">
        <f>EXP(1.2549*LN(B64)+0.4026)*0.986</f>
        <v>459.11736867341671</v>
      </c>
      <c r="E64" s="203">
        <f>MAX(C64:D64)/MIN(C64:D64)</f>
        <v>2.5483679769742156</v>
      </c>
      <c r="F64" s="203">
        <f>G64/254</f>
        <v>0.25590551181102361</v>
      </c>
      <c r="G64" s="204">
        <v>65</v>
      </c>
      <c r="H64" s="97" t="s">
        <v>359</v>
      </c>
      <c r="I64" s="204"/>
      <c r="N64" s="320"/>
    </row>
    <row r="65" spans="1:14">
      <c r="A65" s="60" t="s">
        <v>60</v>
      </c>
      <c r="B65" s="193">
        <v>50</v>
      </c>
      <c r="C65" s="193">
        <v>531</v>
      </c>
      <c r="D65" s="202">
        <f>EXP(1.2549*LN(B65)+0.4026)*0.986</f>
        <v>199.87631397820368</v>
      </c>
      <c r="E65" s="203">
        <f>MAX(C65:D65)/MIN(C65:D65)</f>
        <v>2.6566429479878493</v>
      </c>
      <c r="F65" s="203">
        <f>G65/254</f>
        <v>0.26377952755905509</v>
      </c>
      <c r="G65" s="204">
        <v>67</v>
      </c>
      <c r="H65" s="97" t="s">
        <v>332</v>
      </c>
      <c r="I65" s="204"/>
      <c r="N65" s="341"/>
    </row>
    <row r="66" spans="1:14">
      <c r="A66" s="60" t="s">
        <v>60</v>
      </c>
      <c r="B66" s="193">
        <v>725.5</v>
      </c>
      <c r="C66" s="193">
        <v>2144</v>
      </c>
      <c r="D66" s="202">
        <f>EXP(1.2549*LN(B66)+0.4026)*0.986</f>
        <v>5735.0573830724607</v>
      </c>
      <c r="E66" s="203">
        <f>MAX(C66:D66)/MIN(C66:D66)</f>
        <v>2.6749334809106626</v>
      </c>
      <c r="F66" s="203">
        <f>G66/254</f>
        <v>0.26771653543307089</v>
      </c>
      <c r="G66" s="204">
        <v>68</v>
      </c>
      <c r="H66" s="97" t="s">
        <v>332</v>
      </c>
      <c r="I66" s="204"/>
      <c r="N66" s="320"/>
    </row>
    <row r="67" spans="1:14">
      <c r="A67" s="60" t="s">
        <v>60</v>
      </c>
      <c r="B67" s="193">
        <v>50</v>
      </c>
      <c r="C67" s="193">
        <v>540</v>
      </c>
      <c r="D67" s="202">
        <f>EXP(1.2549*LN(B67)+0.4026)*0.986</f>
        <v>199.87631397820368</v>
      </c>
      <c r="E67" s="203">
        <f>MAX(C67:D67)/MIN(C67:D67)</f>
        <v>2.7016707945639147</v>
      </c>
      <c r="F67" s="203">
        <f>G67/254</f>
        <v>0.27559055118110237</v>
      </c>
      <c r="G67" s="204">
        <v>70</v>
      </c>
      <c r="H67" s="97" t="s">
        <v>332</v>
      </c>
      <c r="I67" s="204"/>
      <c r="N67" s="320"/>
    </row>
    <row r="68" spans="1:14">
      <c r="A68" s="60" t="s">
        <v>60</v>
      </c>
      <c r="B68" s="193">
        <v>122</v>
      </c>
      <c r="C68" s="193">
        <v>1670</v>
      </c>
      <c r="D68" s="202">
        <f>EXP(1.2549*LN(B68)+0.4026)*0.986</f>
        <v>612.20493321621439</v>
      </c>
      <c r="E68" s="203">
        <f>MAX(C68:D68)/MIN(C68:D68)</f>
        <v>2.7278447287686274</v>
      </c>
      <c r="F68" s="203">
        <f>G68/254</f>
        <v>0.27952755905511811</v>
      </c>
      <c r="G68" s="204">
        <v>71</v>
      </c>
      <c r="H68" s="97" t="s">
        <v>333</v>
      </c>
      <c r="I68" s="204"/>
      <c r="N68" s="341"/>
    </row>
    <row r="69" spans="1:14">
      <c r="A69" s="60" t="s">
        <v>60</v>
      </c>
      <c r="B69" s="193">
        <v>50</v>
      </c>
      <c r="C69" s="193">
        <v>548</v>
      </c>
      <c r="D69" s="202">
        <f>EXP(1.2549*LN(B69)+0.4026)*0.986</f>
        <v>199.87631397820368</v>
      </c>
      <c r="E69" s="203">
        <f>MAX(C69:D69)/MIN(C69:D69)</f>
        <v>2.7416955470759725</v>
      </c>
      <c r="F69" s="203">
        <f>G69/254</f>
        <v>0.2874015748031496</v>
      </c>
      <c r="G69" s="204">
        <v>73</v>
      </c>
      <c r="H69" s="97" t="s">
        <v>332</v>
      </c>
      <c r="I69" s="204"/>
      <c r="N69" s="320"/>
    </row>
    <row r="70" spans="1:14">
      <c r="A70" s="60" t="s">
        <v>60</v>
      </c>
      <c r="B70" s="193">
        <v>50</v>
      </c>
      <c r="C70" s="193">
        <v>550</v>
      </c>
      <c r="D70" s="202">
        <f>EXP(1.2549*LN(B70)+0.4026)*0.986</f>
        <v>199.87631397820368</v>
      </c>
      <c r="E70" s="203">
        <f>MAX(C70:D70)/MIN(C70:D70)</f>
        <v>2.7517017352039872</v>
      </c>
      <c r="F70" s="203">
        <f>G70/254</f>
        <v>0.29133858267716534</v>
      </c>
      <c r="G70" s="204">
        <v>74</v>
      </c>
      <c r="H70" s="97" t="s">
        <v>332</v>
      </c>
      <c r="I70" s="204"/>
      <c r="N70" s="320"/>
    </row>
    <row r="71" spans="1:14">
      <c r="A71" s="60" t="s">
        <v>60</v>
      </c>
      <c r="B71" s="193">
        <v>50</v>
      </c>
      <c r="C71" s="193">
        <v>552</v>
      </c>
      <c r="D71" s="202">
        <f>EXP(1.2549*LN(B71)+0.4026)*0.986</f>
        <v>199.87631397820368</v>
      </c>
      <c r="E71" s="203">
        <f>MAX(C71:D71)/MIN(C71:D71)</f>
        <v>2.7617079233320014</v>
      </c>
      <c r="F71" s="203">
        <f>G71/254</f>
        <v>0.29527559055118108</v>
      </c>
      <c r="G71" s="204">
        <v>75</v>
      </c>
      <c r="H71" s="97" t="s">
        <v>332</v>
      </c>
      <c r="I71" s="204"/>
      <c r="N71" s="341"/>
    </row>
    <row r="72" spans="1:14">
      <c r="A72" s="60" t="s">
        <v>60</v>
      </c>
      <c r="B72" s="193">
        <v>425.4</v>
      </c>
      <c r="C72" s="193">
        <v>1052</v>
      </c>
      <c r="D72" s="202">
        <f>EXP(1.2549*LN(B72)+0.4026)*0.986</f>
        <v>2934.9576433821467</v>
      </c>
      <c r="E72" s="203">
        <f>MAX(C72:D72)/MIN(C72:D72)</f>
        <v>2.7898836914278959</v>
      </c>
      <c r="F72" s="203">
        <f>G72/254</f>
        <v>0.29921259842519687</v>
      </c>
      <c r="G72" s="204">
        <v>76</v>
      </c>
      <c r="H72" s="97" t="s">
        <v>332</v>
      </c>
      <c r="I72" s="204"/>
      <c r="N72" s="320"/>
    </row>
    <row r="73" spans="1:14">
      <c r="A73" s="60" t="s">
        <v>60</v>
      </c>
      <c r="B73" s="193">
        <v>97</v>
      </c>
      <c r="C73" s="193">
        <v>1300</v>
      </c>
      <c r="D73" s="202">
        <f>EXP(1.2549*LN(B73)+0.4026)*0.986</f>
        <v>459.11736867341671</v>
      </c>
      <c r="E73" s="203">
        <f>MAX(C73:D73)/MIN(C73:D73)</f>
        <v>2.8315199744157948</v>
      </c>
      <c r="F73" s="203">
        <f>G73/254</f>
        <v>0.30314960629921262</v>
      </c>
      <c r="G73" s="204">
        <v>77</v>
      </c>
      <c r="H73" s="97" t="s">
        <v>359</v>
      </c>
      <c r="I73" s="204"/>
      <c r="N73" s="320"/>
    </row>
    <row r="74" spans="1:14">
      <c r="A74" s="60" t="s">
        <v>60</v>
      </c>
      <c r="B74" s="193">
        <v>50</v>
      </c>
      <c r="C74" s="193">
        <v>566</v>
      </c>
      <c r="D74" s="202">
        <f>EXP(1.2549*LN(B74)+0.4026)*0.986</f>
        <v>199.87631397820368</v>
      </c>
      <c r="E74" s="203">
        <f>MAX(C74:D74)/MIN(C74:D74)</f>
        <v>2.8317512402281029</v>
      </c>
      <c r="F74" s="203">
        <f>G74/254</f>
        <v>0.30708661417322836</v>
      </c>
      <c r="G74" s="204">
        <v>78</v>
      </c>
      <c r="H74" s="97" t="s">
        <v>332</v>
      </c>
      <c r="I74" s="204"/>
      <c r="N74" s="320"/>
    </row>
    <row r="75" spans="1:14">
      <c r="A75" s="60" t="s">
        <v>60</v>
      </c>
      <c r="B75" s="193">
        <v>825.6</v>
      </c>
      <c r="C75" s="193">
        <v>2229</v>
      </c>
      <c r="D75" s="202">
        <f>EXP(1.2549*LN(B75)+0.4026)*0.986</f>
        <v>6744.9409229751182</v>
      </c>
      <c r="E75" s="203">
        <f>MAX(C75:D75)/MIN(C75:D75)</f>
        <v>3.025994133232444</v>
      </c>
      <c r="F75" s="203">
        <f>G75/254</f>
        <v>0.3110236220472441</v>
      </c>
      <c r="G75" s="204">
        <v>79</v>
      </c>
      <c r="H75" s="97" t="s">
        <v>332</v>
      </c>
      <c r="I75" s="204"/>
      <c r="N75" s="320"/>
    </row>
    <row r="76" spans="1:14">
      <c r="A76" s="196" t="s">
        <v>60</v>
      </c>
      <c r="B76" s="197">
        <v>189</v>
      </c>
      <c r="C76" s="197">
        <v>3290</v>
      </c>
      <c r="D76" s="206">
        <f>EXP(1.2549*LN(B76)+0.4026)*0.986</f>
        <v>1060.3659939456552</v>
      </c>
      <c r="E76" s="207">
        <f>MAX(C76:D76)/MIN(C76:D76)</f>
        <v>3.102702292213094</v>
      </c>
      <c r="F76" s="207">
        <f>G76/254</f>
        <v>0.31496062992125984</v>
      </c>
      <c r="G76" s="223">
        <v>80</v>
      </c>
      <c r="H76" s="97" t="s">
        <v>333</v>
      </c>
      <c r="I76" s="204"/>
      <c r="N76" s="320"/>
    </row>
    <row r="77" spans="1:14">
      <c r="A77" s="60" t="s">
        <v>60</v>
      </c>
      <c r="B77" s="193">
        <v>50</v>
      </c>
      <c r="C77" s="193">
        <v>657</v>
      </c>
      <c r="D77" s="202">
        <f>EXP(1.2549*LN(B77)+0.4026)*0.986</f>
        <v>199.87631397820368</v>
      </c>
      <c r="E77" s="203">
        <f>MAX(C77:D77)/MIN(C77:D77)</f>
        <v>3.2870328000527627</v>
      </c>
      <c r="F77" s="203">
        <f>G77/254</f>
        <v>0.31889763779527558</v>
      </c>
      <c r="G77" s="204">
        <v>81</v>
      </c>
      <c r="H77" s="97" t="s">
        <v>332</v>
      </c>
      <c r="I77" s="204"/>
      <c r="N77" s="320"/>
    </row>
    <row r="78" spans="1:14">
      <c r="A78" s="60" t="s">
        <v>60</v>
      </c>
      <c r="B78" s="193">
        <v>50</v>
      </c>
      <c r="C78" s="193">
        <v>664</v>
      </c>
      <c r="D78" s="202">
        <f>EXP(1.2549*LN(B78)+0.4026)*0.986</f>
        <v>199.87631397820368</v>
      </c>
      <c r="E78" s="203">
        <f>MAX(C78:D78)/MIN(C78:D78)</f>
        <v>3.3220544585008134</v>
      </c>
      <c r="F78" s="203">
        <f>G78/254</f>
        <v>0.32283464566929132</v>
      </c>
      <c r="G78" s="204">
        <v>82</v>
      </c>
      <c r="H78" s="97" t="s">
        <v>332</v>
      </c>
      <c r="I78" s="204"/>
      <c r="N78" s="320"/>
    </row>
    <row r="79" spans="1:14">
      <c r="A79" s="60" t="s">
        <v>60</v>
      </c>
      <c r="B79" s="193">
        <v>525.5</v>
      </c>
      <c r="C79" s="193">
        <v>1105</v>
      </c>
      <c r="D79" s="202">
        <f>EXP(1.2549*LN(B79)+0.4026)*0.986</f>
        <v>3826.2256620269413</v>
      </c>
      <c r="E79" s="203">
        <f>MAX(C79:D79)/MIN(C79:D79)</f>
        <v>3.4626476579429335</v>
      </c>
      <c r="F79" s="203">
        <f>G79/254</f>
        <v>0.32677165354330706</v>
      </c>
      <c r="G79" s="204">
        <v>83</v>
      </c>
      <c r="H79" s="97" t="s">
        <v>332</v>
      </c>
      <c r="I79" s="204"/>
      <c r="N79" s="341"/>
    </row>
    <row r="80" spans="1:14">
      <c r="A80" s="60" t="s">
        <v>60</v>
      </c>
      <c r="B80" s="193">
        <v>50</v>
      </c>
      <c r="C80" s="193">
        <v>718</v>
      </c>
      <c r="D80" s="202">
        <f>EXP(1.2549*LN(B80)+0.4026)*0.986</f>
        <v>199.87631397820368</v>
      </c>
      <c r="E80" s="203">
        <f>MAX(C80:D80)/MIN(C80:D80)</f>
        <v>3.5922215379572049</v>
      </c>
      <c r="F80" s="203">
        <f>G80/254</f>
        <v>0.33070866141732286</v>
      </c>
      <c r="G80" s="204">
        <v>84</v>
      </c>
      <c r="H80" s="97" t="s">
        <v>332</v>
      </c>
      <c r="I80" s="204"/>
      <c r="N80" s="320"/>
    </row>
    <row r="81" spans="1:14">
      <c r="A81" s="60" t="s">
        <v>60</v>
      </c>
      <c r="B81" s="193">
        <v>97</v>
      </c>
      <c r="C81" s="193">
        <v>1650</v>
      </c>
      <c r="D81" s="202">
        <f>EXP(1.2549*LN(B81)+0.4026)*0.986</f>
        <v>459.11736867341671</v>
      </c>
      <c r="E81" s="203">
        <f>MAX(C81:D81)/MIN(C81:D81)</f>
        <v>3.5938522752200477</v>
      </c>
      <c r="F81" s="203">
        <f>G81/254</f>
        <v>0.3346456692913386</v>
      </c>
      <c r="G81" s="204">
        <v>85</v>
      </c>
      <c r="H81" s="97" t="s">
        <v>359</v>
      </c>
      <c r="I81" s="204"/>
      <c r="N81" s="341"/>
    </row>
    <row r="82" spans="1:14">
      <c r="A82" s="60" t="s">
        <v>60</v>
      </c>
      <c r="B82" s="193">
        <v>122</v>
      </c>
      <c r="C82" s="193">
        <v>2260</v>
      </c>
      <c r="D82" s="202">
        <f>EXP(1.2549*LN(B82)+0.4026)*0.986</f>
        <v>612.20493321621439</v>
      </c>
      <c r="E82" s="203">
        <f>MAX(C82:D82)/MIN(C82:D82)</f>
        <v>3.6915743036030526</v>
      </c>
      <c r="F82" s="203">
        <f>G82/254</f>
        <v>0.34251968503937008</v>
      </c>
      <c r="G82" s="204">
        <v>87</v>
      </c>
      <c r="H82" s="97" t="s">
        <v>333</v>
      </c>
      <c r="I82" s="204"/>
      <c r="N82" s="341"/>
    </row>
    <row r="83" spans="1:14">
      <c r="A83" s="60" t="s">
        <v>60</v>
      </c>
      <c r="B83" s="193">
        <v>50</v>
      </c>
      <c r="C83" s="193">
        <v>747</v>
      </c>
      <c r="D83" s="202">
        <f>EXP(1.2549*LN(B83)+0.4026)*0.986</f>
        <v>199.87631397820368</v>
      </c>
      <c r="E83" s="203">
        <f>MAX(C83:D83)/MIN(C83:D83)</f>
        <v>3.7373112658134149</v>
      </c>
      <c r="F83" s="203">
        <f>G83/254</f>
        <v>0.34645669291338582</v>
      </c>
      <c r="G83" s="204">
        <v>88</v>
      </c>
      <c r="H83" s="97" t="s">
        <v>332</v>
      </c>
      <c r="I83" s="204"/>
      <c r="N83" s="341"/>
    </row>
    <row r="84" spans="1:14">
      <c r="A84" s="60" t="s">
        <v>60</v>
      </c>
      <c r="B84" s="193">
        <v>50</v>
      </c>
      <c r="C84" s="193">
        <v>804</v>
      </c>
      <c r="D84" s="202">
        <f>EXP(1.2549*LN(B84)+0.4026)*0.986</f>
        <v>199.87631397820368</v>
      </c>
      <c r="E84" s="203">
        <f>MAX(C84:D84)/MIN(C84:D84)</f>
        <v>4.0224876274618282</v>
      </c>
      <c r="F84" s="203">
        <f>G84/254</f>
        <v>0.35826771653543305</v>
      </c>
      <c r="G84" s="204">
        <v>91</v>
      </c>
      <c r="H84" s="97" t="s">
        <v>332</v>
      </c>
      <c r="I84" s="204"/>
      <c r="N84" s="320"/>
    </row>
    <row r="85" spans="1:14">
      <c r="A85" s="60" t="s">
        <v>60</v>
      </c>
      <c r="B85" s="193">
        <v>26</v>
      </c>
      <c r="C85" s="193">
        <v>354</v>
      </c>
      <c r="D85" s="202">
        <f>EXP(1.2549*LN(B85)+0.4026)*0.986</f>
        <v>87.977968148508594</v>
      </c>
      <c r="E85" s="203">
        <f>MAX(C85:D85)/MIN(C85:D85)</f>
        <v>4.0237346627787636</v>
      </c>
      <c r="F85" s="207">
        <f>G85/254</f>
        <v>0.36220472440944884</v>
      </c>
      <c r="G85" s="204">
        <v>92</v>
      </c>
      <c r="H85" s="97" t="s">
        <v>333</v>
      </c>
      <c r="I85" s="204"/>
      <c r="N85" s="341"/>
    </row>
    <row r="86" spans="1:14">
      <c r="A86" s="60" t="s">
        <v>60</v>
      </c>
      <c r="B86" s="193">
        <v>625.5</v>
      </c>
      <c r="C86" s="193">
        <v>1101</v>
      </c>
      <c r="D86" s="202">
        <f>EXP(1.2549*LN(B86)+0.4026)*0.986</f>
        <v>4761.1244081085879</v>
      </c>
      <c r="E86" s="203">
        <f>MAX(C86:D86)/MIN(C86:D86)</f>
        <v>4.324363676756211</v>
      </c>
      <c r="F86" s="207">
        <f>G86/254</f>
        <v>0.38188976377952755</v>
      </c>
      <c r="G86" s="204">
        <v>97</v>
      </c>
      <c r="H86" s="97" t="s">
        <v>332</v>
      </c>
      <c r="I86" s="204"/>
      <c r="N86" s="341"/>
    </row>
    <row r="87" spans="1:14">
      <c r="A87" s="60" t="s">
        <v>60</v>
      </c>
      <c r="B87" s="193">
        <v>725.6</v>
      </c>
      <c r="C87" s="193">
        <v>1112</v>
      </c>
      <c r="D87" s="202">
        <f>EXP(1.2549*LN(B87)+0.4026)*0.986</f>
        <v>5736.0493954687972</v>
      </c>
      <c r="E87" s="203">
        <f>MAX(C87:D87)/MIN(C87:D87)</f>
        <v>5.1583178016805729</v>
      </c>
      <c r="F87" s="207">
        <f>G87/254</f>
        <v>0.39763779527559057</v>
      </c>
      <c r="G87" s="204">
        <v>101</v>
      </c>
      <c r="H87" s="97" t="s">
        <v>332</v>
      </c>
      <c r="I87" s="204"/>
      <c r="N87" s="341"/>
    </row>
    <row r="88" spans="1:14">
      <c r="A88" s="60" t="s">
        <v>60</v>
      </c>
      <c r="B88" s="193">
        <v>50</v>
      </c>
      <c r="C88" s="193">
        <v>1120</v>
      </c>
      <c r="D88" s="202">
        <f>EXP(1.2549*LN(B88)+0.4026)*0.986</f>
        <v>199.87631397820368</v>
      </c>
      <c r="E88" s="203">
        <f>MAX(C88:D88)/MIN(C88:D88)</f>
        <v>5.6034653516881194</v>
      </c>
      <c r="F88" s="207">
        <f>G88/254</f>
        <v>0.41732283464566927</v>
      </c>
      <c r="G88" s="204">
        <v>106</v>
      </c>
      <c r="H88" s="97" t="s">
        <v>332</v>
      </c>
      <c r="I88" s="204"/>
      <c r="N88" s="320"/>
    </row>
    <row r="89" spans="1:14">
      <c r="A89" s="60" t="s">
        <v>60</v>
      </c>
      <c r="B89" s="193">
        <v>825.7</v>
      </c>
      <c r="C89" s="193">
        <v>910</v>
      </c>
      <c r="D89" s="202">
        <f>EXP(1.2549*LN(B89)+0.4026)*0.986</f>
        <v>6745.9661600178515</v>
      </c>
      <c r="E89" s="203">
        <f>MAX(C89:D89)/MIN(C89:D89)</f>
        <v>7.4131496263932437</v>
      </c>
      <c r="F89" s="207">
        <f>G89/254</f>
        <v>0.452755905511811</v>
      </c>
      <c r="G89" s="204">
        <v>115</v>
      </c>
      <c r="H89" s="97" t="s">
        <v>332</v>
      </c>
      <c r="I89" s="204"/>
      <c r="N89" s="320"/>
    </row>
    <row r="90" spans="1:14">
      <c r="A90" s="60" t="s">
        <v>60</v>
      </c>
      <c r="B90" s="193">
        <v>50</v>
      </c>
      <c r="C90" s="193">
        <v>1484</v>
      </c>
      <c r="D90" s="202">
        <f>EXP(1.2549*LN(B90)+0.4026)*0.986</f>
        <v>199.87631397820368</v>
      </c>
      <c r="E90" s="203">
        <f>MAX(C90:D90)/MIN(C90:D90)</f>
        <v>7.4245915909867577</v>
      </c>
      <c r="F90" s="207">
        <f>G90/254</f>
        <v>0.45669291338582679</v>
      </c>
      <c r="G90" s="204">
        <v>116</v>
      </c>
      <c r="H90" s="97" t="s">
        <v>332</v>
      </c>
      <c r="I90" s="204"/>
      <c r="N90" s="320"/>
    </row>
    <row r="91" spans="1:14">
      <c r="A91" s="60" t="s">
        <v>60</v>
      </c>
      <c r="B91" s="193">
        <v>50</v>
      </c>
      <c r="C91" s="193">
        <v>1579</v>
      </c>
      <c r="D91" s="202">
        <f>EXP(1.2549*LN(B91)+0.4026)*0.986</f>
        <v>199.87631397820368</v>
      </c>
      <c r="E91" s="203">
        <f>MAX(C91:D91)/MIN(C91:D91)</f>
        <v>7.899885527067446</v>
      </c>
      <c r="F91" s="207">
        <f>G91/254</f>
        <v>0.4763779527559055</v>
      </c>
      <c r="G91" s="204">
        <v>121</v>
      </c>
      <c r="H91" s="97" t="s">
        <v>332</v>
      </c>
      <c r="I91" s="204"/>
      <c r="N91" s="341"/>
    </row>
    <row r="92" spans="1:14">
      <c r="A92" s="60" t="s">
        <v>60</v>
      </c>
      <c r="B92" s="193">
        <v>50</v>
      </c>
      <c r="C92" s="193">
        <v>1673</v>
      </c>
      <c r="D92" s="202">
        <f>EXP(1.2549*LN(B92)+0.4026)*0.986</f>
        <v>199.87631397820368</v>
      </c>
      <c r="E92" s="203">
        <f>MAX(C92:D92)/MIN(C92:D92)</f>
        <v>8.3701763690841275</v>
      </c>
      <c r="F92" s="207">
        <f>G92/254</f>
        <v>0.48818897637795278</v>
      </c>
      <c r="G92" s="204">
        <v>124</v>
      </c>
      <c r="H92" s="97" t="s">
        <v>358</v>
      </c>
      <c r="I92" s="204"/>
      <c r="N92" s="320"/>
    </row>
    <row r="93" spans="1:14">
      <c r="A93" s="60" t="s">
        <v>60</v>
      </c>
      <c r="B93" s="193">
        <v>14</v>
      </c>
      <c r="C93" s="193">
        <v>356</v>
      </c>
      <c r="D93" s="202">
        <f>EXP(1.2549*LN(B93)+0.4026)*0.986</f>
        <v>40.457584076670365</v>
      </c>
      <c r="E93" s="203">
        <f>MAX(C93:D93)/MIN(C93:D93)</f>
        <v>8.7993390639775093</v>
      </c>
      <c r="F93" s="207">
        <f>G93/254</f>
        <v>0.5</v>
      </c>
      <c r="G93" s="204">
        <v>127</v>
      </c>
      <c r="H93" s="97" t="s">
        <v>333</v>
      </c>
      <c r="I93" s="204"/>
      <c r="N93" s="341"/>
    </row>
    <row r="94" spans="1:14">
      <c r="A94" s="194" t="s">
        <v>60</v>
      </c>
      <c r="B94" s="195">
        <v>50</v>
      </c>
      <c r="C94" s="195">
        <v>2021</v>
      </c>
      <c r="D94" s="205">
        <f>EXP(1.2549*LN(B94)+0.4026)*0.986</f>
        <v>199.87631397820368</v>
      </c>
      <c r="E94" s="208">
        <f>MAX(C94:D94)/MIN(C94:D94)</f>
        <v>10.111253103358651</v>
      </c>
      <c r="F94" s="208">
        <f>G94/254</f>
        <v>0.52362204724409445</v>
      </c>
      <c r="G94" s="209">
        <v>133</v>
      </c>
      <c r="H94" s="97" t="s">
        <v>332</v>
      </c>
      <c r="I94" s="223"/>
      <c r="N94" s="320"/>
    </row>
    <row r="95" spans="1:14">
      <c r="A95" s="196" t="s">
        <v>68</v>
      </c>
      <c r="B95" s="197">
        <v>45</v>
      </c>
      <c r="C95" s="197">
        <v>3314</v>
      </c>
      <c r="D95" s="206">
        <f>EXP(0.5603*LN(B95)+0.1461)*0.986</f>
        <v>9.6299118168448512</v>
      </c>
      <c r="E95" s="203">
        <f>MAX(C95:D95)/MIN(C95:D95)</f>
        <v>344.13606926317635</v>
      </c>
      <c r="F95" s="207">
        <f>G95/254</f>
        <v>0.90551181102362199</v>
      </c>
      <c r="G95" s="204">
        <v>230</v>
      </c>
      <c r="H95" s="97" t="s">
        <v>362</v>
      </c>
      <c r="I95" s="204"/>
      <c r="N95" s="320"/>
    </row>
    <row r="96" spans="1:14">
      <c r="A96" s="196" t="s">
        <v>68</v>
      </c>
      <c r="B96" s="197">
        <v>45</v>
      </c>
      <c r="C96" s="197">
        <v>3453</v>
      </c>
      <c r="D96" s="206">
        <f>EXP(0.5603*LN(B96)+0.1461)*0.986</f>
        <v>9.6299118168448512</v>
      </c>
      <c r="E96" s="203">
        <f>MAX(C96:D96)/MIN(C96:D96)</f>
        <v>358.57026166739524</v>
      </c>
      <c r="F96" s="207">
        <f>G96/254</f>
        <v>0.90944881889763785</v>
      </c>
      <c r="G96" s="204">
        <v>231</v>
      </c>
      <c r="H96" s="97" t="s">
        <v>362</v>
      </c>
      <c r="I96" s="204"/>
      <c r="N96" s="320"/>
    </row>
    <row r="97" spans="1:14">
      <c r="A97" s="196" t="s">
        <v>68</v>
      </c>
      <c r="B97" s="197">
        <v>45</v>
      </c>
      <c r="C97" s="197">
        <v>3500</v>
      </c>
      <c r="D97" s="206">
        <f>EXP(0.5603*LN(B97)+0.1461)*0.986</f>
        <v>9.6299118168448512</v>
      </c>
      <c r="E97" s="203">
        <f>MAX(C97:D97)/MIN(C97:D97)</f>
        <v>363.45088787601605</v>
      </c>
      <c r="F97" s="207">
        <f>G97/254</f>
        <v>0.91338582677165359</v>
      </c>
      <c r="G97" s="204">
        <v>232</v>
      </c>
      <c r="H97" s="97" t="s">
        <v>361</v>
      </c>
      <c r="I97" s="204"/>
      <c r="N97" s="320"/>
    </row>
    <row r="98" spans="1:14">
      <c r="A98" s="196" t="s">
        <v>68</v>
      </c>
      <c r="B98" s="197">
        <v>45</v>
      </c>
      <c r="C98" s="197">
        <v>3573</v>
      </c>
      <c r="D98" s="206">
        <f>EXP(0.5603*LN(B98)+0.1461)*0.986</f>
        <v>9.6299118168448512</v>
      </c>
      <c r="E98" s="203">
        <f>MAX(C98:D98)/MIN(C98:D98)</f>
        <v>371.03143496600154</v>
      </c>
      <c r="F98" s="207">
        <f>G98/254</f>
        <v>0.91732283464566933</v>
      </c>
      <c r="G98" s="204">
        <v>233</v>
      </c>
      <c r="H98" s="97" t="s">
        <v>362</v>
      </c>
      <c r="I98" s="204"/>
      <c r="N98" s="320"/>
    </row>
    <row r="99" spans="1:14">
      <c r="A99" s="196" t="s">
        <v>68</v>
      </c>
      <c r="B99" s="197">
        <v>26</v>
      </c>
      <c r="C99" s="197">
        <v>3000</v>
      </c>
      <c r="D99" s="206">
        <f>EXP(0.5603*LN(B99)+0.1461)*0.986</f>
        <v>7.0816899014779837</v>
      </c>
      <c r="E99" s="203">
        <f>MAX(C99:D99)/MIN(C99:D99)</f>
        <v>423.62769928317323</v>
      </c>
      <c r="F99" s="207">
        <f>G99/254</f>
        <v>0.92913385826771655</v>
      </c>
      <c r="G99" s="204">
        <v>236</v>
      </c>
      <c r="H99" s="97" t="s">
        <v>364</v>
      </c>
      <c r="I99" s="204"/>
      <c r="N99" s="320"/>
    </row>
    <row r="100" spans="1:14">
      <c r="A100" s="196" t="s">
        <v>68</v>
      </c>
      <c r="B100" s="197">
        <v>45</v>
      </c>
      <c r="C100" s="197">
        <v>4200</v>
      </c>
      <c r="D100" s="206">
        <f>EXP(0.5603*LN(B100)+0.1461)*0.986</f>
        <v>9.6299118168448512</v>
      </c>
      <c r="E100" s="203">
        <f>MAX(C100:D100)/MIN(C100:D100)</f>
        <v>436.14106545121928</v>
      </c>
      <c r="F100" s="207">
        <f>G100/254</f>
        <v>0.93700787401574803</v>
      </c>
      <c r="G100" s="204">
        <v>238</v>
      </c>
      <c r="H100" s="97" t="s">
        <v>361</v>
      </c>
      <c r="I100" s="204"/>
      <c r="N100" s="320"/>
    </row>
    <row r="101" spans="1:14">
      <c r="A101" s="196" t="s">
        <v>68</v>
      </c>
      <c r="B101" s="197">
        <v>26</v>
      </c>
      <c r="C101" s="197">
        <v>3600</v>
      </c>
      <c r="D101" s="206">
        <f>EXP(0.5603*LN(B101)+0.1461)*0.986</f>
        <v>7.0816899014779837</v>
      </c>
      <c r="E101" s="203">
        <f>MAX(C101:D101)/MIN(C101:D101)</f>
        <v>508.3532391398079</v>
      </c>
      <c r="F101" s="207">
        <f>G101/254</f>
        <v>0.94094488188976377</v>
      </c>
      <c r="G101" s="204">
        <v>239</v>
      </c>
      <c r="H101" s="97" t="s">
        <v>364</v>
      </c>
      <c r="I101" s="204"/>
      <c r="N101" s="320"/>
    </row>
    <row r="102" spans="1:14">
      <c r="A102" s="196" t="s">
        <v>68</v>
      </c>
      <c r="B102" s="197">
        <v>170</v>
      </c>
      <c r="C102" s="197">
        <v>12500</v>
      </c>
      <c r="D102" s="206">
        <f>EXP(0.5603*LN(B102)+0.1461)*0.986</f>
        <v>20.279062298344336</v>
      </c>
      <c r="E102" s="203">
        <f>MAX(C102:D102)/MIN(C102:D102)</f>
        <v>616.39930959828212</v>
      </c>
      <c r="F102" s="207">
        <f>G102/254</f>
        <v>0.94488188976377951</v>
      </c>
      <c r="G102" s="204">
        <v>240</v>
      </c>
      <c r="H102" s="97" t="s">
        <v>361</v>
      </c>
      <c r="I102" s="204"/>
      <c r="N102" s="320"/>
    </row>
    <row r="103" spans="1:14">
      <c r="A103" s="196" t="s">
        <v>68</v>
      </c>
      <c r="B103" s="197">
        <v>170</v>
      </c>
      <c r="C103" s="197">
        <v>12900</v>
      </c>
      <c r="D103" s="206">
        <f>EXP(0.5603*LN(B103)+0.1461)*0.986</f>
        <v>20.279062298344336</v>
      </c>
      <c r="E103" s="203">
        <f>MAX(C103:D103)/MIN(C103:D103)</f>
        <v>636.12408750542716</v>
      </c>
      <c r="F103" s="207">
        <f>G103/254</f>
        <v>0.94881889763779526</v>
      </c>
      <c r="G103" s="204">
        <v>241</v>
      </c>
      <c r="H103" s="97" t="s">
        <v>361</v>
      </c>
      <c r="I103" s="204"/>
      <c r="N103" s="320"/>
    </row>
    <row r="104" spans="1:14">
      <c r="A104" s="196" t="s">
        <v>68</v>
      </c>
      <c r="B104" s="197">
        <v>20</v>
      </c>
      <c r="C104" s="197">
        <v>4850</v>
      </c>
      <c r="D104" s="206">
        <f>EXP(0.5603*LN(B104)+0.1461)*0.986</f>
        <v>6.1135637512421388</v>
      </c>
      <c r="E104" s="203">
        <f>MAX(C104:D104)/MIN(C104:D104)</f>
        <v>793.31797251882574</v>
      </c>
      <c r="F104" s="207">
        <f>G104/254</f>
        <v>0.952755905511811</v>
      </c>
      <c r="G104" s="204">
        <v>242</v>
      </c>
      <c r="H104" s="97" t="s">
        <v>348</v>
      </c>
      <c r="I104" s="204"/>
      <c r="N104" s="320"/>
    </row>
    <row r="105" spans="1:14">
      <c r="A105" s="196" t="s">
        <v>68</v>
      </c>
      <c r="B105" s="197">
        <v>45</v>
      </c>
      <c r="C105" s="197">
        <v>8020</v>
      </c>
      <c r="D105" s="206">
        <f>EXP(0.5603*LN(B105)+0.1461)*0.986</f>
        <v>9.6299118168448512</v>
      </c>
      <c r="E105" s="203">
        <f>MAX(C105:D105)/MIN(C105:D105)</f>
        <v>832.82174879018532</v>
      </c>
      <c r="F105" s="207">
        <f>G105/254</f>
        <v>0.95669291338582674</v>
      </c>
      <c r="G105" s="204">
        <v>243</v>
      </c>
      <c r="H105" s="97" t="s">
        <v>361</v>
      </c>
      <c r="I105" s="204"/>
      <c r="N105" s="320"/>
    </row>
    <row r="106" spans="1:14">
      <c r="A106" s="196" t="s">
        <v>68</v>
      </c>
      <c r="B106" s="197">
        <v>20</v>
      </c>
      <c r="C106" s="197">
        <v>5370</v>
      </c>
      <c r="D106" s="206">
        <f>EXP(0.5603*LN(B106)+0.1461)*0.986</f>
        <v>6.1135637512421388</v>
      </c>
      <c r="E106" s="203">
        <f>MAX(C106:D106)/MIN(C106:D106)</f>
        <v>878.37474483012249</v>
      </c>
      <c r="F106" s="207">
        <f>G106/254</f>
        <v>0.96062992125984248</v>
      </c>
      <c r="G106" s="204">
        <v>244</v>
      </c>
      <c r="H106" s="97" t="s">
        <v>348</v>
      </c>
      <c r="I106" s="204"/>
      <c r="N106" s="320"/>
    </row>
    <row r="107" spans="1:14">
      <c r="A107" s="196" t="s">
        <v>68</v>
      </c>
      <c r="B107" s="197">
        <v>20</v>
      </c>
      <c r="C107" s="197">
        <v>5460</v>
      </c>
      <c r="D107" s="206">
        <f>EXP(0.5603*LN(B107)+0.1461)*0.986</f>
        <v>6.1135637512421388</v>
      </c>
      <c r="E107" s="203">
        <f>MAX(C107:D107)/MIN(C107:D107)</f>
        <v>893.09610926861615</v>
      </c>
      <c r="F107" s="207">
        <f>G107/254</f>
        <v>0.96456692913385822</v>
      </c>
      <c r="G107" s="204">
        <v>245</v>
      </c>
      <c r="H107" s="97" t="s">
        <v>348</v>
      </c>
      <c r="I107" s="204"/>
      <c r="N107" s="320"/>
    </row>
    <row r="108" spans="1:14">
      <c r="A108" s="196" t="s">
        <v>68</v>
      </c>
      <c r="B108" s="197">
        <v>20</v>
      </c>
      <c r="C108" s="197">
        <v>5820</v>
      </c>
      <c r="D108" s="206">
        <f>EXP(0.5603*LN(B108)+0.1461)*0.986</f>
        <v>6.1135637512421388</v>
      </c>
      <c r="E108" s="203">
        <f>MAX(C108:D108)/MIN(C108:D108)</f>
        <v>951.98156702259087</v>
      </c>
      <c r="F108" s="207">
        <f>G108/254</f>
        <v>0.96850393700787396</v>
      </c>
      <c r="G108" s="204">
        <v>246</v>
      </c>
      <c r="H108" s="97" t="s">
        <v>348</v>
      </c>
      <c r="I108" s="204"/>
      <c r="N108" s="320"/>
    </row>
    <row r="109" spans="1:14">
      <c r="A109" s="196" t="s">
        <v>68</v>
      </c>
      <c r="B109" s="197">
        <v>46</v>
      </c>
      <c r="C109" s="197">
        <v>9900</v>
      </c>
      <c r="D109" s="206">
        <f>EXP(0.5603*LN(B109)+0.1461)*0.986</f>
        <v>9.7492352893603371</v>
      </c>
      <c r="E109" s="203">
        <f>MAX(C109:D109)/MIN(C109:D109)</f>
        <v>1015.464260135787</v>
      </c>
      <c r="F109" s="207">
        <f>G109/254</f>
        <v>0.97244094488188981</v>
      </c>
      <c r="G109" s="204">
        <v>247</v>
      </c>
      <c r="H109" s="97" t="s">
        <v>363</v>
      </c>
      <c r="I109" s="204"/>
      <c r="N109" s="320"/>
    </row>
    <row r="110" spans="1:14">
      <c r="A110" s="196" t="s">
        <v>68</v>
      </c>
      <c r="B110" s="197">
        <v>20</v>
      </c>
      <c r="C110" s="197">
        <v>6440</v>
      </c>
      <c r="D110" s="206">
        <f>EXP(0.5603*LN(B110)+0.1461)*0.986</f>
        <v>6.1135637512421388</v>
      </c>
      <c r="E110" s="203">
        <f>MAX(C110:D110)/MIN(C110:D110)</f>
        <v>1053.395410932214</v>
      </c>
      <c r="F110" s="207">
        <f>G110/254</f>
        <v>0.97637795275590555</v>
      </c>
      <c r="G110" s="204">
        <v>248</v>
      </c>
      <c r="H110" s="97" t="s">
        <v>348</v>
      </c>
      <c r="I110" s="204"/>
      <c r="N110" s="320"/>
    </row>
    <row r="111" spans="1:14">
      <c r="A111" s="196" t="s">
        <v>68</v>
      </c>
      <c r="B111" s="197">
        <v>46</v>
      </c>
      <c r="C111" s="197">
        <v>12100</v>
      </c>
      <c r="D111" s="206">
        <f>EXP(0.5603*LN(B111)+0.1461)*0.986</f>
        <v>9.7492352893603371</v>
      </c>
      <c r="E111" s="203">
        <f>MAX(C111:D111)/MIN(C111:D111)</f>
        <v>1241.1229846104063</v>
      </c>
      <c r="F111" s="207">
        <f>G111/254</f>
        <v>0.98031496062992129</v>
      </c>
      <c r="G111" s="204">
        <v>249</v>
      </c>
      <c r="H111" s="97" t="s">
        <v>363</v>
      </c>
      <c r="I111" s="204"/>
      <c r="N111" s="320"/>
    </row>
    <row r="112" spans="1:14">
      <c r="A112" s="194" t="s">
        <v>68</v>
      </c>
      <c r="B112" s="195">
        <v>360</v>
      </c>
      <c r="C112" s="195">
        <v>40900</v>
      </c>
      <c r="D112" s="205">
        <f>EXP(0.5603*LN(B112)+0.1461)*0.986</f>
        <v>30.876184680851196</v>
      </c>
      <c r="E112" s="208">
        <f>MAX(C112:D112)/MIN(C112:D112)</f>
        <v>1324.6455293216775</v>
      </c>
      <c r="F112" s="208">
        <f>G112/254</f>
        <v>0.98425196850393704</v>
      </c>
      <c r="G112" s="209">
        <v>250</v>
      </c>
      <c r="H112" s="97" t="s">
        <v>348</v>
      </c>
      <c r="I112" s="223"/>
      <c r="N112" s="320"/>
    </row>
    <row r="113" spans="1:14">
      <c r="A113" s="196" t="s">
        <v>62</v>
      </c>
      <c r="B113" s="197">
        <v>229</v>
      </c>
      <c r="C113" s="197">
        <v>283</v>
      </c>
      <c r="D113" s="206">
        <f>EXP(0.8755*LN(B113)+0.1152)*0.986</f>
        <v>128.80822749955061</v>
      </c>
      <c r="E113" s="203">
        <f>MAX(C113:D113)/MIN(C113:D113)</f>
        <v>2.1970646246256851</v>
      </c>
      <c r="F113" s="203">
        <f>G113/254</f>
        <v>0.20078740157480315</v>
      </c>
      <c r="G113" s="204">
        <v>51</v>
      </c>
      <c r="H113" s="97" t="s">
        <v>335</v>
      </c>
      <c r="I113" s="204"/>
      <c r="N113" s="341"/>
    </row>
    <row r="114" spans="1:14">
      <c r="A114" s="196" t="s">
        <v>62</v>
      </c>
      <c r="B114" s="197">
        <v>139</v>
      </c>
      <c r="C114" s="197">
        <v>214</v>
      </c>
      <c r="D114" s="206">
        <f>EXP(0.8755*LN(B114)+0.1152)*0.986</f>
        <v>83.198806608496923</v>
      </c>
      <c r="E114" s="203">
        <f>MAX(C114:D114)/MIN(C114:D114)</f>
        <v>2.5721522786619468</v>
      </c>
      <c r="F114" s="203">
        <f>G114/254</f>
        <v>0.25984251968503935</v>
      </c>
      <c r="G114" s="204">
        <v>66</v>
      </c>
      <c r="H114" s="97" t="s">
        <v>335</v>
      </c>
      <c r="I114" s="204"/>
      <c r="N114" s="320"/>
    </row>
    <row r="115" spans="1:14">
      <c r="A115" s="196" t="s">
        <v>62</v>
      </c>
      <c r="B115" s="197">
        <v>334</v>
      </c>
      <c r="C115" s="197">
        <v>483</v>
      </c>
      <c r="D115" s="206">
        <f>EXP(0.8755*LN(B115)+0.1152)*0.986</f>
        <v>179.24525629968775</v>
      </c>
      <c r="E115" s="203">
        <f>MAX(C115:D115)/MIN(C115:D115)</f>
        <v>2.694631980622415</v>
      </c>
      <c r="F115" s="203">
        <f>G115/254</f>
        <v>0.27165354330708663</v>
      </c>
      <c r="G115" s="204">
        <v>69</v>
      </c>
      <c r="H115" s="97" t="s">
        <v>335</v>
      </c>
      <c r="I115" s="204"/>
      <c r="N115" s="320"/>
    </row>
    <row r="116" spans="1:14">
      <c r="A116" s="196" t="s">
        <v>62</v>
      </c>
      <c r="B116" s="197">
        <v>103</v>
      </c>
      <c r="C116" s="197">
        <v>175</v>
      </c>
      <c r="D116" s="206">
        <f>EXP(0.8755*LN(B116)+0.1152)*0.986</f>
        <v>63.995086361809207</v>
      </c>
      <c r="E116" s="203">
        <f>MAX(C116:D116)/MIN(C116:D116)</f>
        <v>2.7345849493913015</v>
      </c>
      <c r="F116" s="203">
        <f>G116/254</f>
        <v>0.28346456692913385</v>
      </c>
      <c r="G116" s="204">
        <v>72</v>
      </c>
      <c r="H116" s="97" t="s">
        <v>341</v>
      </c>
      <c r="I116" s="204"/>
      <c r="N116" s="320"/>
    </row>
    <row r="117" spans="1:14">
      <c r="A117" s="196" t="s">
        <v>62</v>
      </c>
      <c r="B117" s="197">
        <v>38</v>
      </c>
      <c r="C117" s="197">
        <v>105</v>
      </c>
      <c r="D117" s="206">
        <f>EXP(0.8755*LN(B117)+0.1152)*0.986</f>
        <v>26.730567438752413</v>
      </c>
      <c r="E117" s="203">
        <f>MAX(C117:D117)/MIN(C117:D117)</f>
        <v>3.9280872072987552</v>
      </c>
      <c r="F117" s="203">
        <f>G117/254</f>
        <v>0.35039370078740156</v>
      </c>
      <c r="G117" s="204">
        <v>89</v>
      </c>
      <c r="H117" s="97" t="s">
        <v>372</v>
      </c>
      <c r="I117" s="204"/>
      <c r="N117" s="320"/>
    </row>
    <row r="118" spans="1:14">
      <c r="A118" s="196" t="s">
        <v>62</v>
      </c>
      <c r="B118" s="197">
        <v>33</v>
      </c>
      <c r="C118" s="197">
        <v>95</v>
      </c>
      <c r="D118" s="206">
        <f>EXP(0.8755*LN(B118)+0.1152)*0.986</f>
        <v>23.624715847404918</v>
      </c>
      <c r="E118" s="203">
        <f>MAX(C118:D118)/MIN(C118:D118)</f>
        <v>4.0212123867909026</v>
      </c>
      <c r="F118" s="203">
        <f>G118/254</f>
        <v>0.3543307086614173</v>
      </c>
      <c r="G118" s="204">
        <v>90</v>
      </c>
      <c r="H118" s="97" t="s">
        <v>376</v>
      </c>
      <c r="I118" s="204"/>
    </row>
    <row r="119" spans="1:14">
      <c r="A119" s="196" t="s">
        <v>62</v>
      </c>
      <c r="B119" s="197">
        <v>332</v>
      </c>
      <c r="C119" s="197">
        <v>730</v>
      </c>
      <c r="D119" s="206">
        <f>EXP(0.8755*LN(B119)+0.1152)*0.986</f>
        <v>178.3052092956348</v>
      </c>
      <c r="E119" s="203">
        <f>MAX(C119:D119)/MIN(C119:D119)</f>
        <v>4.0941036040603871</v>
      </c>
      <c r="F119" s="207">
        <f>G119/254</f>
        <v>0.36614173228346458</v>
      </c>
      <c r="G119" s="204">
        <v>93</v>
      </c>
      <c r="H119" s="97" t="s">
        <v>335</v>
      </c>
      <c r="I119" s="204"/>
      <c r="N119" s="320"/>
    </row>
    <row r="120" spans="1:14">
      <c r="A120" s="196" t="s">
        <v>62</v>
      </c>
      <c r="B120" s="197">
        <v>103</v>
      </c>
      <c r="C120" s="197">
        <v>263</v>
      </c>
      <c r="D120" s="206">
        <f>EXP(0.8755*LN(B120)+0.1152)*0.986</f>
        <v>63.995086361809207</v>
      </c>
      <c r="E120" s="203">
        <f>MAX(C120:D120)/MIN(C120:D120)</f>
        <v>4.1096905239423558</v>
      </c>
      <c r="F120" s="207">
        <f>G120/254</f>
        <v>0.37007874015748032</v>
      </c>
      <c r="G120" s="204">
        <v>94</v>
      </c>
      <c r="H120" s="97" t="s">
        <v>341</v>
      </c>
      <c r="I120" s="204"/>
      <c r="N120" s="320"/>
    </row>
    <row r="121" spans="1:14">
      <c r="A121" s="196" t="s">
        <v>62</v>
      </c>
      <c r="B121" s="197">
        <v>250</v>
      </c>
      <c r="C121" s="197">
        <v>590</v>
      </c>
      <c r="D121" s="206">
        <f>EXP(0.8755*LN(B121)+0.1152)*0.986</f>
        <v>139.09262932516472</v>
      </c>
      <c r="E121" s="203">
        <f>MAX(C121:D121)/MIN(C121:D121)</f>
        <v>4.2417776043382105</v>
      </c>
      <c r="F121" s="207">
        <f>G121/254</f>
        <v>0.37795275590551181</v>
      </c>
      <c r="G121" s="204">
        <v>96</v>
      </c>
      <c r="H121" s="97" t="s">
        <v>377</v>
      </c>
      <c r="I121" s="204"/>
      <c r="N121" s="320"/>
    </row>
    <row r="122" spans="1:14">
      <c r="A122" s="196" t="s">
        <v>62</v>
      </c>
      <c r="B122" s="197">
        <v>33</v>
      </c>
      <c r="C122" s="197">
        <v>107</v>
      </c>
      <c r="D122" s="206">
        <f>EXP(0.8755*LN(B122)+0.1152)*0.986</f>
        <v>23.624715847404918</v>
      </c>
      <c r="E122" s="203">
        <f>MAX(C122:D122)/MIN(C122:D122)</f>
        <v>4.5291550040697537</v>
      </c>
      <c r="F122" s="207">
        <f>G122/254</f>
        <v>0.38582677165354329</v>
      </c>
      <c r="G122" s="204">
        <v>98</v>
      </c>
      <c r="H122" s="97" t="s">
        <v>376</v>
      </c>
      <c r="I122" s="204"/>
      <c r="N122" s="320"/>
    </row>
    <row r="123" spans="1:14">
      <c r="A123" s="196" t="s">
        <v>62</v>
      </c>
      <c r="B123" s="197">
        <v>45</v>
      </c>
      <c r="C123" s="197">
        <v>153</v>
      </c>
      <c r="D123" s="206">
        <f>EXP(0.8755*LN(B123)+0.1152)*0.986</f>
        <v>30.995253672193204</v>
      </c>
      <c r="E123" s="203">
        <f>MAX(C123:D123)/MIN(C123:D123)</f>
        <v>4.9362396455319546</v>
      </c>
      <c r="F123" s="207">
        <f>G123/254</f>
        <v>0.39370078740157483</v>
      </c>
      <c r="G123" s="204">
        <v>100</v>
      </c>
      <c r="H123" s="97" t="s">
        <v>335</v>
      </c>
      <c r="I123" s="204"/>
      <c r="N123" s="320"/>
    </row>
    <row r="124" spans="1:14">
      <c r="A124" s="196" t="s">
        <v>62</v>
      </c>
      <c r="B124" s="197">
        <v>28.9</v>
      </c>
      <c r="C124" s="197">
        <v>110</v>
      </c>
      <c r="D124" s="206">
        <f>EXP(0.8755*LN(B124)+0.1152)*0.986</f>
        <v>21.034088680557591</v>
      </c>
      <c r="E124" s="203">
        <f>MAX(C124:D124)/MIN(C124:D124)</f>
        <v>5.2296061726542087</v>
      </c>
      <c r="F124" s="207">
        <f>G124/254</f>
        <v>0.40157480314960631</v>
      </c>
      <c r="G124" s="204">
        <v>102</v>
      </c>
      <c r="H124" s="97" t="s">
        <v>379</v>
      </c>
      <c r="I124" s="204"/>
      <c r="N124" s="320"/>
    </row>
    <row r="125" spans="1:14">
      <c r="A125" s="196" t="s">
        <v>62</v>
      </c>
      <c r="B125" s="197">
        <v>33</v>
      </c>
      <c r="C125" s="197">
        <v>125</v>
      </c>
      <c r="D125" s="206">
        <f>EXP(0.8755*LN(B125)+0.1152)*0.986</f>
        <v>23.624715847404918</v>
      </c>
      <c r="E125" s="203">
        <f>MAX(C125:D125)/MIN(C125:D125)</f>
        <v>5.2910689299880298</v>
      </c>
      <c r="F125" s="207">
        <f>G125/254</f>
        <v>0.40551181102362205</v>
      </c>
      <c r="G125" s="204">
        <v>103</v>
      </c>
      <c r="H125" s="97" t="s">
        <v>342</v>
      </c>
      <c r="I125" s="204"/>
      <c r="N125" s="320"/>
    </row>
    <row r="126" spans="1:14">
      <c r="A126" s="196" t="s">
        <v>62</v>
      </c>
      <c r="B126" s="197">
        <v>23</v>
      </c>
      <c r="C126" s="197">
        <v>93</v>
      </c>
      <c r="D126" s="206">
        <f>EXP(0.8755*LN(B126)+0.1152)*0.986</f>
        <v>17.222665219356653</v>
      </c>
      <c r="E126" s="203">
        <f>MAX(C126:D126)/MIN(C126:D126)</f>
        <v>5.3998611025357892</v>
      </c>
      <c r="F126" s="207">
        <f>G126/254</f>
        <v>0.40944881889763779</v>
      </c>
      <c r="G126" s="204">
        <v>104</v>
      </c>
      <c r="H126" s="97" t="s">
        <v>367</v>
      </c>
      <c r="I126" s="204"/>
      <c r="N126" s="320"/>
    </row>
    <row r="127" spans="1:14">
      <c r="A127" s="196" t="s">
        <v>62</v>
      </c>
      <c r="B127" s="197">
        <v>33</v>
      </c>
      <c r="C127" s="197">
        <v>132</v>
      </c>
      <c r="D127" s="206">
        <f>EXP(0.8755*LN(B127)+0.1152)*0.986</f>
        <v>23.624715847404918</v>
      </c>
      <c r="E127" s="203">
        <f>MAX(C127:D127)/MIN(C127:D127)</f>
        <v>5.5873687900673596</v>
      </c>
      <c r="F127" s="207">
        <f>G127/254</f>
        <v>0.41338582677165353</v>
      </c>
      <c r="G127" s="204">
        <v>105</v>
      </c>
      <c r="H127" s="97" t="s">
        <v>376</v>
      </c>
      <c r="I127" s="204"/>
      <c r="N127" s="320"/>
    </row>
    <row r="128" spans="1:14">
      <c r="A128" s="196" t="s">
        <v>62</v>
      </c>
      <c r="B128" s="197">
        <v>33</v>
      </c>
      <c r="C128" s="197">
        <v>141</v>
      </c>
      <c r="D128" s="206">
        <f>EXP(0.8755*LN(B128)+0.1152)*0.986</f>
        <v>23.624715847404918</v>
      </c>
      <c r="E128" s="203">
        <f>MAX(C128:D128)/MIN(C128:D128)</f>
        <v>5.9683257530264981</v>
      </c>
      <c r="F128" s="207">
        <f>G128/254</f>
        <v>0.42519685039370081</v>
      </c>
      <c r="G128" s="204">
        <v>108</v>
      </c>
      <c r="H128" s="97" t="s">
        <v>376</v>
      </c>
      <c r="I128" s="204"/>
      <c r="N128" s="320"/>
    </row>
    <row r="129" spans="1:14">
      <c r="A129" s="196" t="s">
        <v>62</v>
      </c>
      <c r="B129" s="197">
        <v>29</v>
      </c>
      <c r="C129" s="197">
        <v>130</v>
      </c>
      <c r="D129" s="206">
        <f>EXP(0.8755*LN(B129)+0.1152)*0.986</f>
        <v>21.097795888682541</v>
      </c>
      <c r="E129" s="203">
        <f>MAX(C129:D129)/MIN(C129:D129)</f>
        <v>6.1617811019650501</v>
      </c>
      <c r="F129" s="207">
        <f>G129/254</f>
        <v>0.43307086614173229</v>
      </c>
      <c r="G129" s="204">
        <v>110</v>
      </c>
      <c r="H129" s="97" t="s">
        <v>335</v>
      </c>
      <c r="I129" s="204"/>
      <c r="N129" s="320"/>
    </row>
    <row r="130" spans="1:14">
      <c r="A130" s="196" t="s">
        <v>62</v>
      </c>
      <c r="B130" s="197">
        <v>145</v>
      </c>
      <c r="C130" s="197">
        <v>588</v>
      </c>
      <c r="D130" s="206">
        <f>EXP(0.8755*LN(B130)+0.1152)*0.986</f>
        <v>86.334688266057228</v>
      </c>
      <c r="E130" s="203">
        <f>MAX(C130:D130)/MIN(C130:D130)</f>
        <v>6.8107039222515402</v>
      </c>
      <c r="F130" s="207">
        <f>G130/254</f>
        <v>0.43700787401574803</v>
      </c>
      <c r="G130" s="204">
        <v>111</v>
      </c>
      <c r="H130" s="97" t="s">
        <v>342</v>
      </c>
      <c r="I130" s="204"/>
      <c r="N130" s="320"/>
    </row>
    <row r="131" spans="1:14">
      <c r="A131" s="196" t="s">
        <v>62</v>
      </c>
      <c r="B131" s="197">
        <v>38</v>
      </c>
      <c r="C131" s="197">
        <v>186</v>
      </c>
      <c r="D131" s="206">
        <f>EXP(0.8755*LN(B131)+0.1152)*0.986</f>
        <v>26.730567438752413</v>
      </c>
      <c r="E131" s="203">
        <f>MAX(C131:D131)/MIN(C131:D131)</f>
        <v>6.9583259100720802</v>
      </c>
      <c r="F131" s="207">
        <f>G131/254</f>
        <v>0.44094488188976377</v>
      </c>
      <c r="G131" s="204">
        <v>112</v>
      </c>
      <c r="H131" s="97" t="s">
        <v>372</v>
      </c>
      <c r="I131" s="204"/>
      <c r="N131" s="320"/>
    </row>
    <row r="132" spans="1:14">
      <c r="A132" s="196" t="s">
        <v>62</v>
      </c>
      <c r="B132" s="197">
        <v>312</v>
      </c>
      <c r="C132" s="197">
        <v>1190</v>
      </c>
      <c r="D132" s="206">
        <f>EXP(0.8755*LN(B132)+0.1152)*0.986</f>
        <v>168.86513296716339</v>
      </c>
      <c r="E132" s="203">
        <f>MAX(C132:D132)/MIN(C132:D132)</f>
        <v>7.0470438692124855</v>
      </c>
      <c r="F132" s="207">
        <f>G132/254</f>
        <v>0.44488188976377951</v>
      </c>
      <c r="G132" s="204">
        <v>113</v>
      </c>
      <c r="H132" s="97" t="s">
        <v>369</v>
      </c>
      <c r="I132" s="204"/>
      <c r="N132" s="320"/>
    </row>
    <row r="133" spans="1:14">
      <c r="A133" s="196" t="s">
        <v>62</v>
      </c>
      <c r="B133" s="197">
        <v>131</v>
      </c>
      <c r="C133" s="197">
        <v>580</v>
      </c>
      <c r="D133" s="206">
        <f>EXP(0.8755*LN(B133)+0.1152)*0.986</f>
        <v>78.99119038090582</v>
      </c>
      <c r="E133" s="203">
        <f>MAX(C133:D133)/MIN(C133:D133)</f>
        <v>7.3425909548034962</v>
      </c>
      <c r="F133" s="207">
        <f>G133/254</f>
        <v>0.44881889763779526</v>
      </c>
      <c r="G133" s="204">
        <v>114</v>
      </c>
      <c r="H133" s="97" t="s">
        <v>379</v>
      </c>
      <c r="I133" s="204"/>
      <c r="N133" s="320"/>
    </row>
    <row r="134" spans="1:14">
      <c r="A134" s="196" t="s">
        <v>62</v>
      </c>
      <c r="B134" s="197">
        <v>33</v>
      </c>
      <c r="C134" s="197">
        <v>181</v>
      </c>
      <c r="D134" s="206">
        <f>EXP(0.8755*LN(B134)+0.1152)*0.986</f>
        <v>23.624715847404918</v>
      </c>
      <c r="E134" s="203">
        <f>MAX(C134:D134)/MIN(C134:D134)</f>
        <v>7.6614678106226677</v>
      </c>
      <c r="F134" s="207">
        <f>G134/254</f>
        <v>0.46456692913385828</v>
      </c>
      <c r="G134" s="204">
        <v>118</v>
      </c>
      <c r="H134" s="97" t="s">
        <v>376</v>
      </c>
      <c r="I134" s="204"/>
      <c r="N134" s="320"/>
    </row>
    <row r="135" spans="1:14">
      <c r="A135" s="196" t="s">
        <v>62</v>
      </c>
      <c r="B135" s="197">
        <v>30</v>
      </c>
      <c r="C135" s="197">
        <v>171</v>
      </c>
      <c r="D135" s="206">
        <f>EXP(0.8755*LN(B135)+0.1152)*0.986</f>
        <v>21.733381211945876</v>
      </c>
      <c r="E135" s="203">
        <f>MAX(C135:D135)/MIN(C135:D135)</f>
        <v>7.8680808260984669</v>
      </c>
      <c r="F135" s="207">
        <f>G135/254</f>
        <v>0.46850393700787402</v>
      </c>
      <c r="G135" s="204">
        <v>119</v>
      </c>
      <c r="H135" s="97" t="s">
        <v>335</v>
      </c>
      <c r="I135" s="204"/>
      <c r="N135" s="320"/>
    </row>
    <row r="136" spans="1:14">
      <c r="A136" s="196" t="s">
        <v>62</v>
      </c>
      <c r="B136" s="197">
        <v>23</v>
      </c>
      <c r="C136" s="197">
        <v>136</v>
      </c>
      <c r="D136" s="206">
        <f>EXP(0.8755*LN(B136)+0.1152)*0.986</f>
        <v>17.222665219356653</v>
      </c>
      <c r="E136" s="203">
        <f>MAX(C136:D136)/MIN(C136:D136)</f>
        <v>7.8965710746759923</v>
      </c>
      <c r="F136" s="207">
        <f>G136/254</f>
        <v>0.47244094488188976</v>
      </c>
      <c r="G136" s="204">
        <v>120</v>
      </c>
      <c r="H136" s="97" t="s">
        <v>367</v>
      </c>
      <c r="I136" s="204"/>
      <c r="N136" s="320"/>
    </row>
    <row r="137" spans="1:14">
      <c r="A137" s="196" t="s">
        <v>62</v>
      </c>
      <c r="B137" s="197">
        <v>20</v>
      </c>
      <c r="C137" s="197">
        <v>123</v>
      </c>
      <c r="D137" s="206">
        <f>EXP(0.8755*LN(B137)+0.1152)*0.986</f>
        <v>15.239102860690968</v>
      </c>
      <c r="E137" s="203">
        <f>MAX(C137:D137)/MIN(C137:D137)</f>
        <v>8.0713412806784461</v>
      </c>
      <c r="F137" s="207">
        <f>G137/254</f>
        <v>0.48031496062992124</v>
      </c>
      <c r="G137" s="204">
        <v>122</v>
      </c>
      <c r="H137" s="97" t="s">
        <v>344</v>
      </c>
      <c r="I137" s="204"/>
      <c r="N137" s="320"/>
    </row>
    <row r="138" spans="1:14">
      <c r="A138" s="196" t="s">
        <v>62</v>
      </c>
      <c r="B138" s="197">
        <v>33</v>
      </c>
      <c r="C138" s="197">
        <v>191</v>
      </c>
      <c r="D138" s="206">
        <f>EXP(0.8755*LN(B138)+0.1152)*0.986</f>
        <v>23.624715847404918</v>
      </c>
      <c r="E138" s="203">
        <f>MAX(C138:D138)/MIN(C138:D138)</f>
        <v>8.0847533250217101</v>
      </c>
      <c r="F138" s="207">
        <f>G138/254</f>
        <v>0.48425196850393698</v>
      </c>
      <c r="G138" s="204">
        <v>123</v>
      </c>
      <c r="H138" s="97" t="s">
        <v>376</v>
      </c>
      <c r="I138" s="204"/>
      <c r="N138" s="320"/>
    </row>
    <row r="139" spans="1:14">
      <c r="A139" s="196" t="s">
        <v>62</v>
      </c>
      <c r="B139" s="197">
        <v>9.1999999999999993</v>
      </c>
      <c r="C139" s="197">
        <v>66</v>
      </c>
      <c r="D139" s="206">
        <f>EXP(0.8755*LN(B139)+0.1152)*0.986</f>
        <v>7.7215392270934835</v>
      </c>
      <c r="E139" s="203">
        <f>MAX(C139:D139)/MIN(C139:D139)</f>
        <v>8.5475185787333618</v>
      </c>
      <c r="F139" s="207">
        <f>G139/254</f>
        <v>0.49212598425196852</v>
      </c>
      <c r="G139" s="204">
        <v>125</v>
      </c>
      <c r="H139" s="97" t="s">
        <v>374</v>
      </c>
      <c r="I139" s="204"/>
      <c r="N139" s="320"/>
    </row>
    <row r="140" spans="1:14">
      <c r="A140" s="196" t="s">
        <v>62</v>
      </c>
      <c r="B140" s="197">
        <v>33</v>
      </c>
      <c r="C140" s="197">
        <v>204</v>
      </c>
      <c r="D140" s="206">
        <f>EXP(0.8755*LN(B140)+0.1152)*0.986</f>
        <v>23.624715847404918</v>
      </c>
      <c r="E140" s="203">
        <f>MAX(C140:D140)/MIN(C140:D140)</f>
        <v>8.635024493740465</v>
      </c>
      <c r="F140" s="207">
        <f>G140/254</f>
        <v>0.49606299212598426</v>
      </c>
      <c r="G140" s="204">
        <v>126</v>
      </c>
      <c r="H140" s="97" t="s">
        <v>376</v>
      </c>
      <c r="I140" s="204"/>
      <c r="N140" s="320"/>
    </row>
    <row r="141" spans="1:14">
      <c r="A141" s="196" t="s">
        <v>62</v>
      </c>
      <c r="B141" s="197">
        <v>33</v>
      </c>
      <c r="C141" s="197">
        <v>212</v>
      </c>
      <c r="D141" s="206">
        <f>EXP(0.8755*LN(B141)+0.1152)*0.986</f>
        <v>23.624715847404918</v>
      </c>
      <c r="E141" s="203">
        <f>MAX(C141:D141)/MIN(C141:D141)</f>
        <v>8.9736529052596996</v>
      </c>
      <c r="F141" s="207">
        <f>G141/254</f>
        <v>0.50393700787401574</v>
      </c>
      <c r="G141" s="204">
        <v>128</v>
      </c>
      <c r="H141" s="97" t="s">
        <v>376</v>
      </c>
      <c r="I141" s="204"/>
      <c r="N141" s="320"/>
    </row>
    <row r="142" spans="1:14">
      <c r="A142" s="196" t="s">
        <v>62</v>
      </c>
      <c r="B142" s="197">
        <v>29</v>
      </c>
      <c r="C142" s="197">
        <v>194</v>
      </c>
      <c r="D142" s="206">
        <f>EXP(0.8755*LN(B142)+0.1152)*0.986</f>
        <v>21.097795888682541</v>
      </c>
      <c r="E142" s="203">
        <f>MAX(C142:D142)/MIN(C142:D142)</f>
        <v>9.1952733367786124</v>
      </c>
      <c r="F142" s="207">
        <f>G142/254</f>
        <v>0.51181102362204722</v>
      </c>
      <c r="G142" s="204">
        <v>130</v>
      </c>
      <c r="H142" s="97" t="s">
        <v>335</v>
      </c>
      <c r="I142" s="204"/>
      <c r="N142" s="320"/>
    </row>
    <row r="143" spans="1:14">
      <c r="A143" s="196" t="s">
        <v>62</v>
      </c>
      <c r="B143" s="197">
        <v>33</v>
      </c>
      <c r="C143" s="197">
        <v>226</v>
      </c>
      <c r="D143" s="206">
        <f>EXP(0.8755*LN(B143)+0.1152)*0.986</f>
        <v>23.624715847404918</v>
      </c>
      <c r="E143" s="203">
        <f>MAX(C143:D143)/MIN(C143:D143)</f>
        <v>9.5662526254183593</v>
      </c>
      <c r="F143" s="207">
        <f>G143/254</f>
        <v>0.51574803149606296</v>
      </c>
      <c r="G143" s="204">
        <v>131</v>
      </c>
      <c r="H143" s="97" t="s">
        <v>376</v>
      </c>
      <c r="I143" s="204"/>
      <c r="N143" s="320"/>
    </row>
    <row r="144" spans="1:14">
      <c r="A144" s="196" t="s">
        <v>62</v>
      </c>
      <c r="B144" s="197">
        <v>30</v>
      </c>
      <c r="C144" s="197">
        <v>209</v>
      </c>
      <c r="D144" s="206">
        <f>EXP(0.8755*LN(B144)+0.1152)*0.986</f>
        <v>21.733381211945876</v>
      </c>
      <c r="E144" s="203">
        <f>MAX(C144:D144)/MIN(C144:D144)</f>
        <v>9.6165432318981257</v>
      </c>
      <c r="F144" s="207">
        <f>G144/254</f>
        <v>0.51968503937007871</v>
      </c>
      <c r="G144" s="204">
        <v>132</v>
      </c>
      <c r="H144" s="97" t="s">
        <v>335</v>
      </c>
      <c r="I144" s="204"/>
      <c r="N144" s="320"/>
    </row>
    <row r="145" spans="1:14">
      <c r="A145" s="196" t="s">
        <v>62</v>
      </c>
      <c r="B145" s="197">
        <v>33</v>
      </c>
      <c r="C145" s="197">
        <v>246</v>
      </c>
      <c r="D145" s="206">
        <f>EXP(0.8755*LN(B145)+0.1152)*0.986</f>
        <v>23.624715847404918</v>
      </c>
      <c r="E145" s="203">
        <f>MAX(C145:D145)/MIN(C145:D145)</f>
        <v>10.412823654216444</v>
      </c>
      <c r="F145" s="207">
        <f>G145/254</f>
        <v>0.52755905511811019</v>
      </c>
      <c r="G145" s="204">
        <v>134</v>
      </c>
      <c r="H145" s="97" t="s">
        <v>376</v>
      </c>
      <c r="I145" s="204"/>
      <c r="N145" s="320"/>
    </row>
    <row r="146" spans="1:14">
      <c r="A146" s="196" t="s">
        <v>62</v>
      </c>
      <c r="B146" s="197">
        <v>33</v>
      </c>
      <c r="C146" s="197">
        <v>251</v>
      </c>
      <c r="D146" s="206">
        <f>EXP(0.8755*LN(B146)+0.1152)*0.986</f>
        <v>23.624715847404918</v>
      </c>
      <c r="E146" s="203">
        <f>MAX(C146:D146)/MIN(C146:D146)</f>
        <v>10.624466411415964</v>
      </c>
      <c r="F146" s="207">
        <f>G146/254</f>
        <v>0.53149606299212604</v>
      </c>
      <c r="G146" s="204">
        <v>135</v>
      </c>
      <c r="H146" s="97" t="s">
        <v>376</v>
      </c>
      <c r="I146" s="204"/>
      <c r="N146" s="320"/>
    </row>
    <row r="147" spans="1:14">
      <c r="A147" s="196" t="s">
        <v>62</v>
      </c>
      <c r="B147" s="197">
        <v>20</v>
      </c>
      <c r="C147" s="197">
        <v>162</v>
      </c>
      <c r="D147" s="206">
        <f>EXP(0.8755*LN(B147)+0.1152)*0.986</f>
        <v>15.239102860690968</v>
      </c>
      <c r="E147" s="203">
        <f>MAX(C147:D147)/MIN(C147:D147)</f>
        <v>10.63054705260088</v>
      </c>
      <c r="F147" s="207">
        <f>G147/254</f>
        <v>0.53543307086614178</v>
      </c>
      <c r="G147" s="204">
        <v>136</v>
      </c>
      <c r="H147" s="97" t="s">
        <v>378</v>
      </c>
      <c r="I147" s="204"/>
      <c r="N147" s="341"/>
    </row>
    <row r="148" spans="1:14">
      <c r="A148" s="196" t="s">
        <v>62</v>
      </c>
      <c r="B148" s="197">
        <v>396</v>
      </c>
      <c r="C148" s="197">
        <v>2280</v>
      </c>
      <c r="D148" s="206">
        <f>EXP(0.8755*LN(B148)+0.1152)*0.986</f>
        <v>208.06056549350197</v>
      </c>
      <c r="E148" s="203">
        <f>MAX(C148:D148)/MIN(C148:D148)</f>
        <v>10.958347607063519</v>
      </c>
      <c r="F148" s="207">
        <f>G148/254</f>
        <v>0.53937007874015752</v>
      </c>
      <c r="G148" s="204">
        <v>137</v>
      </c>
      <c r="H148" s="97" t="s">
        <v>335</v>
      </c>
      <c r="I148" s="204"/>
      <c r="N148" s="320"/>
    </row>
    <row r="149" spans="1:14">
      <c r="A149" s="196" t="s">
        <v>62</v>
      </c>
      <c r="B149" s="197">
        <v>33</v>
      </c>
      <c r="C149" s="197">
        <v>271</v>
      </c>
      <c r="D149" s="206">
        <f>EXP(0.8755*LN(B149)+0.1152)*0.986</f>
        <v>23.624715847404918</v>
      </c>
      <c r="E149" s="203">
        <f>MAX(C149:D149)/MIN(C149:D149)</f>
        <v>11.471037440214049</v>
      </c>
      <c r="F149" s="207">
        <f>G149/254</f>
        <v>0.54330708661417326</v>
      </c>
      <c r="G149" s="204">
        <v>138</v>
      </c>
      <c r="H149" s="97" t="s">
        <v>376</v>
      </c>
      <c r="I149" s="204"/>
      <c r="N149" s="320"/>
    </row>
    <row r="150" spans="1:14">
      <c r="A150" s="196" t="s">
        <v>62</v>
      </c>
      <c r="B150" s="197">
        <v>250</v>
      </c>
      <c r="C150" s="197">
        <v>1600</v>
      </c>
      <c r="D150" s="206">
        <f>EXP(0.8755*LN(B150)+0.1152)*0.986</f>
        <v>139.09262932516472</v>
      </c>
      <c r="E150" s="203">
        <f>MAX(C150:D150)/MIN(C150:D150)</f>
        <v>11.503125706679894</v>
      </c>
      <c r="F150" s="207">
        <f>G150/254</f>
        <v>0.547244094488189</v>
      </c>
      <c r="G150" s="204">
        <v>139</v>
      </c>
      <c r="H150" s="97" t="s">
        <v>377</v>
      </c>
      <c r="I150" s="204"/>
      <c r="N150" s="320"/>
    </row>
    <row r="151" spans="1:14">
      <c r="A151" s="196" t="s">
        <v>62</v>
      </c>
      <c r="B151" s="197">
        <v>46.8</v>
      </c>
      <c r="C151" s="197">
        <v>370</v>
      </c>
      <c r="D151" s="206">
        <f>EXP(0.8755*LN(B151)+0.1152)*0.986</f>
        <v>32.078044359571734</v>
      </c>
      <c r="E151" s="203">
        <f>MAX(C151:D151)/MIN(C151:D151)</f>
        <v>11.534368986231422</v>
      </c>
      <c r="F151" s="207">
        <f>G151/254</f>
        <v>0.55118110236220474</v>
      </c>
      <c r="G151" s="204">
        <v>140</v>
      </c>
      <c r="H151" s="97" t="s">
        <v>371</v>
      </c>
      <c r="I151" s="204"/>
      <c r="N151" s="320"/>
    </row>
    <row r="152" spans="1:14">
      <c r="A152" s="196" t="s">
        <v>62</v>
      </c>
      <c r="B152" s="197">
        <v>120</v>
      </c>
      <c r="C152" s="197">
        <v>869</v>
      </c>
      <c r="D152" s="206">
        <f>EXP(0.8755*LN(B152)+0.1152)*0.986</f>
        <v>73.152777482156083</v>
      </c>
      <c r="E152" s="203">
        <f>MAX(C152:D152)/MIN(C152:D152)</f>
        <v>11.879248196857219</v>
      </c>
      <c r="F152" s="207">
        <f>G152/254</f>
        <v>0.55511811023622049</v>
      </c>
      <c r="G152" s="204">
        <v>141</v>
      </c>
      <c r="H152" s="97" t="s">
        <v>378</v>
      </c>
      <c r="I152" s="204"/>
      <c r="N152" s="320"/>
    </row>
    <row r="153" spans="1:14">
      <c r="A153" s="196" t="s">
        <v>62</v>
      </c>
      <c r="B153" s="197">
        <v>398</v>
      </c>
      <c r="C153" s="197">
        <v>2560</v>
      </c>
      <c r="D153" s="206">
        <f>EXP(0.8755*LN(B153)+0.1152)*0.986</f>
        <v>208.9802617770923</v>
      </c>
      <c r="E153" s="203">
        <f>MAX(C153:D153)/MIN(C153:D153)</f>
        <v>12.249960729452098</v>
      </c>
      <c r="F153" s="207">
        <f>G153/254</f>
        <v>0.56299212598425197</v>
      </c>
      <c r="G153" s="204">
        <v>143</v>
      </c>
      <c r="H153" s="97" t="s">
        <v>335</v>
      </c>
      <c r="I153" s="204"/>
      <c r="N153" s="320"/>
    </row>
    <row r="154" spans="1:14">
      <c r="A154" s="196" t="s">
        <v>62</v>
      </c>
      <c r="B154" s="197">
        <v>33</v>
      </c>
      <c r="C154" s="197">
        <v>297</v>
      </c>
      <c r="D154" s="206">
        <f>EXP(0.8755*LN(B154)+0.1152)*0.986</f>
        <v>23.624715847404918</v>
      </c>
      <c r="E154" s="203">
        <f>MAX(C154:D154)/MIN(C154:D154)</f>
        <v>12.571579777651559</v>
      </c>
      <c r="F154" s="207">
        <f>G154/254</f>
        <v>0.57086614173228345</v>
      </c>
      <c r="G154" s="204">
        <v>145</v>
      </c>
      <c r="H154" s="97" t="s">
        <v>376</v>
      </c>
      <c r="I154" s="204"/>
      <c r="N154" s="341"/>
    </row>
    <row r="155" spans="1:14">
      <c r="A155" s="196" t="s">
        <v>62</v>
      </c>
      <c r="B155" s="197">
        <v>190</v>
      </c>
      <c r="C155" s="197">
        <v>1470</v>
      </c>
      <c r="D155" s="206">
        <f>EXP(0.8755*LN(B155)+0.1152)*0.986</f>
        <v>109.38465890825432</v>
      </c>
      <c r="E155" s="203">
        <f>MAX(C155:D155)/MIN(C155:D155)</f>
        <v>13.438813218158435</v>
      </c>
      <c r="F155" s="207">
        <f>G155/254</f>
        <v>0.57480314960629919</v>
      </c>
      <c r="G155" s="204">
        <v>146</v>
      </c>
      <c r="H155" s="97" t="s">
        <v>335</v>
      </c>
      <c r="I155" s="204"/>
      <c r="N155" s="320"/>
    </row>
    <row r="156" spans="1:14">
      <c r="A156" s="196" t="s">
        <v>62</v>
      </c>
      <c r="B156" s="197">
        <v>102</v>
      </c>
      <c r="C156" s="197">
        <v>904</v>
      </c>
      <c r="D156" s="206">
        <f>EXP(0.8755*LN(B156)+0.1152)*0.986</f>
        <v>63.450798173691254</v>
      </c>
      <c r="E156" s="203">
        <f>MAX(C156:D156)/MIN(C156:D156)</f>
        <v>14.247259703894908</v>
      </c>
      <c r="F156" s="207">
        <f>G156/254</f>
        <v>0.58267716535433067</v>
      </c>
      <c r="G156" s="204">
        <v>148</v>
      </c>
      <c r="H156" s="97" t="s">
        <v>335</v>
      </c>
      <c r="I156" s="204"/>
      <c r="N156" s="320"/>
    </row>
    <row r="157" spans="1:14">
      <c r="A157" s="196" t="s">
        <v>62</v>
      </c>
      <c r="B157" s="197">
        <v>22</v>
      </c>
      <c r="C157" s="197">
        <v>240</v>
      </c>
      <c r="D157" s="206">
        <f>EXP(0.8755*LN(B157)+0.1152)*0.986</f>
        <v>16.565276766751463</v>
      </c>
      <c r="E157" s="203">
        <f>MAX(C157:D157)/MIN(C157:D157)</f>
        <v>14.488137045902509</v>
      </c>
      <c r="F157" s="207">
        <f>G157/254</f>
        <v>0.58661417322834641</v>
      </c>
      <c r="G157" s="204">
        <v>149</v>
      </c>
      <c r="H157" s="97" t="s">
        <v>369</v>
      </c>
      <c r="I157" s="204"/>
      <c r="N157" s="320"/>
    </row>
    <row r="158" spans="1:14">
      <c r="A158" s="196" t="s">
        <v>62</v>
      </c>
      <c r="B158" s="197">
        <v>33</v>
      </c>
      <c r="C158" s="197">
        <v>344</v>
      </c>
      <c r="D158" s="206">
        <f>EXP(0.8755*LN(B158)+0.1152)*0.986</f>
        <v>23.624715847404918</v>
      </c>
      <c r="E158" s="203">
        <f>MAX(C158:D158)/MIN(C158:D158)</f>
        <v>14.561021695327058</v>
      </c>
      <c r="F158" s="207">
        <f>G158/254</f>
        <v>0.59055118110236215</v>
      </c>
      <c r="G158" s="204">
        <v>150</v>
      </c>
      <c r="H158" s="97" t="s">
        <v>376</v>
      </c>
      <c r="I158" s="204"/>
    </row>
    <row r="159" spans="1:14">
      <c r="A159" s="196" t="s">
        <v>62</v>
      </c>
      <c r="B159" s="197">
        <v>102</v>
      </c>
      <c r="C159" s="197">
        <v>1000</v>
      </c>
      <c r="D159" s="206">
        <f>EXP(0.8755*LN(B159)+0.1152)*0.986</f>
        <v>63.450798173691254</v>
      </c>
      <c r="E159" s="203">
        <f>MAX(C159:D159)/MIN(C159:D159)</f>
        <v>15.760243035281977</v>
      </c>
      <c r="F159" s="207">
        <f>G159/254</f>
        <v>0.60629921259842523</v>
      </c>
      <c r="G159" s="204">
        <v>154</v>
      </c>
      <c r="H159" s="97" t="s">
        <v>369</v>
      </c>
      <c r="I159" s="204"/>
      <c r="N159" s="320"/>
    </row>
    <row r="160" spans="1:14">
      <c r="A160" s="196" t="s">
        <v>62</v>
      </c>
      <c r="B160" s="197">
        <v>47</v>
      </c>
      <c r="C160" s="197">
        <v>517</v>
      </c>
      <c r="D160" s="206">
        <f>EXP(0.8755*LN(B160)+0.1152)*0.986</f>
        <v>32.198030977631873</v>
      </c>
      <c r="E160" s="203">
        <f>MAX(C160:D160)/MIN(C160:D160)</f>
        <v>16.056882495676906</v>
      </c>
      <c r="F160" s="207">
        <f>G160/254</f>
        <v>0.61023622047244097</v>
      </c>
      <c r="G160" s="204">
        <v>155</v>
      </c>
      <c r="H160" s="97" t="s">
        <v>371</v>
      </c>
      <c r="I160" s="204"/>
      <c r="N160" s="320"/>
    </row>
    <row r="161" spans="1:15">
      <c r="A161" s="196" t="s">
        <v>62</v>
      </c>
      <c r="B161" s="197">
        <v>105</v>
      </c>
      <c r="C161" s="197">
        <v>1170</v>
      </c>
      <c r="D161" s="206">
        <f>EXP(0.8755*LN(B161)+0.1152)*0.986</f>
        <v>65.081697297636325</v>
      </c>
      <c r="E161" s="203">
        <f>MAX(C161:D161)/MIN(C161:D161)</f>
        <v>17.97740453278702</v>
      </c>
      <c r="F161" s="207">
        <f>G161/254</f>
        <v>0.62204724409448819</v>
      </c>
      <c r="G161" s="204">
        <v>158</v>
      </c>
      <c r="H161" s="97" t="s">
        <v>335</v>
      </c>
      <c r="I161" s="204"/>
      <c r="N161" s="320"/>
    </row>
    <row r="162" spans="1:15">
      <c r="A162" s="196" t="s">
        <v>62</v>
      </c>
      <c r="B162" s="197">
        <v>30</v>
      </c>
      <c r="C162" s="197">
        <v>410</v>
      </c>
      <c r="D162" s="206">
        <f>EXP(0.8755*LN(B162)+0.1152)*0.986</f>
        <v>21.733381211945876</v>
      </c>
      <c r="E162" s="203">
        <f>MAX(C162:D162)/MIN(C162:D162)</f>
        <v>18.86498911520685</v>
      </c>
      <c r="F162" s="207">
        <f>G162/254</f>
        <v>0.62598425196850394</v>
      </c>
      <c r="G162" s="204">
        <v>159</v>
      </c>
      <c r="H162" s="97" t="s">
        <v>368</v>
      </c>
      <c r="I162" s="204"/>
      <c r="N162" s="320"/>
      <c r="O162" s="340"/>
    </row>
    <row r="163" spans="1:15">
      <c r="A163" s="196" t="s">
        <v>62</v>
      </c>
      <c r="B163" s="197">
        <v>170</v>
      </c>
      <c r="C163" s="197">
        <v>1910</v>
      </c>
      <c r="D163" s="206">
        <f>EXP(0.8755*LN(B163)+0.1152)*0.986</f>
        <v>99.235181859595102</v>
      </c>
      <c r="E163" s="203">
        <f>MAX(C163:D163)/MIN(C163:D163)</f>
        <v>19.247206123957145</v>
      </c>
      <c r="F163" s="207">
        <f>G163/254</f>
        <v>0.63385826771653542</v>
      </c>
      <c r="G163" s="204">
        <v>161</v>
      </c>
      <c r="H163" s="97" t="s">
        <v>371</v>
      </c>
      <c r="I163" s="204"/>
      <c r="N163" s="320"/>
    </row>
    <row r="164" spans="1:15">
      <c r="A164" s="196" t="s">
        <v>62</v>
      </c>
      <c r="B164" s="197">
        <v>30</v>
      </c>
      <c r="C164" s="197">
        <v>430</v>
      </c>
      <c r="D164" s="206">
        <f>EXP(0.8755*LN(B164)+0.1152)*0.986</f>
        <v>21.733381211945876</v>
      </c>
      <c r="E164" s="203">
        <f>MAX(C164:D164)/MIN(C164:D164)</f>
        <v>19.785232486680354</v>
      </c>
      <c r="F164" s="207">
        <f>G164/254</f>
        <v>0.6417322834645669</v>
      </c>
      <c r="G164" s="204">
        <v>163</v>
      </c>
      <c r="H164" s="97" t="s">
        <v>343</v>
      </c>
      <c r="I164" s="204"/>
      <c r="N164" s="341"/>
    </row>
    <row r="165" spans="1:15">
      <c r="A165" s="196" t="s">
        <v>62</v>
      </c>
      <c r="B165" s="197">
        <v>33</v>
      </c>
      <c r="C165" s="197">
        <v>469</v>
      </c>
      <c r="D165" s="206">
        <f>EXP(0.8755*LN(B165)+0.1152)*0.986</f>
        <v>23.624715847404918</v>
      </c>
      <c r="E165" s="203">
        <f>MAX(C165:D165)/MIN(C165:D165)</f>
        <v>19.852090625315089</v>
      </c>
      <c r="F165" s="207">
        <f>G165/254</f>
        <v>0.64566929133858264</v>
      </c>
      <c r="G165" s="204">
        <v>164</v>
      </c>
      <c r="H165" s="97" t="s">
        <v>376</v>
      </c>
      <c r="I165" s="204"/>
      <c r="N165" s="320"/>
    </row>
    <row r="166" spans="1:15">
      <c r="A166" s="196" t="s">
        <v>62</v>
      </c>
      <c r="B166" s="197">
        <v>30</v>
      </c>
      <c r="C166" s="197">
        <v>441</v>
      </c>
      <c r="D166" s="206">
        <f>EXP(0.8755*LN(B166)+0.1152)*0.986</f>
        <v>21.733381211945876</v>
      </c>
      <c r="E166" s="203">
        <f>MAX(C166:D166)/MIN(C166:D166)</f>
        <v>20.291366340990784</v>
      </c>
      <c r="F166" s="207">
        <f>G166/254</f>
        <v>0.65354330708661412</v>
      </c>
      <c r="G166" s="204">
        <v>166</v>
      </c>
      <c r="H166" s="97" t="s">
        <v>335</v>
      </c>
      <c r="I166" s="204"/>
      <c r="N166" s="320"/>
    </row>
    <row r="167" spans="1:15">
      <c r="A167" s="196" t="s">
        <v>62</v>
      </c>
      <c r="B167" s="197">
        <v>25</v>
      </c>
      <c r="C167" s="197">
        <v>430</v>
      </c>
      <c r="D167" s="206">
        <f>EXP(0.8755*LN(B167)+0.1152)*0.986</f>
        <v>18.526957994238732</v>
      </c>
      <c r="E167" s="203">
        <f>MAX(C167:D167)/MIN(C167:D167)</f>
        <v>23.209422730580794</v>
      </c>
      <c r="F167" s="207">
        <f>G167/254</f>
        <v>0.66535433070866146</v>
      </c>
      <c r="G167" s="204">
        <v>169</v>
      </c>
      <c r="H167" s="97" t="s">
        <v>368</v>
      </c>
      <c r="I167" s="204"/>
      <c r="N167" s="320"/>
    </row>
    <row r="168" spans="1:15">
      <c r="A168" s="196" t="s">
        <v>62</v>
      </c>
      <c r="B168" s="197">
        <v>178</v>
      </c>
      <c r="C168" s="197">
        <v>2510</v>
      </c>
      <c r="D168" s="206">
        <f>EXP(0.8755*LN(B168)+0.1152)*0.986</f>
        <v>103.31190061567112</v>
      </c>
      <c r="E168" s="203">
        <f>MAX(C168:D168)/MIN(C168:D168)</f>
        <v>24.295361764153476</v>
      </c>
      <c r="F168" s="207">
        <f>G168/254</f>
        <v>0.67322834645669294</v>
      </c>
      <c r="G168" s="204">
        <v>171</v>
      </c>
      <c r="H168" s="97" t="s">
        <v>371</v>
      </c>
      <c r="I168" s="204"/>
      <c r="N168" s="320"/>
    </row>
    <row r="169" spans="1:15">
      <c r="A169" s="196" t="s">
        <v>62</v>
      </c>
      <c r="B169" s="197">
        <v>44.4</v>
      </c>
      <c r="C169" s="197">
        <v>756</v>
      </c>
      <c r="D169" s="206">
        <f>EXP(0.8755*LN(B169)+0.1152)*0.986</f>
        <v>30.633133923851204</v>
      </c>
      <c r="E169" s="203">
        <f>MAX(C169:D169)/MIN(C169:D169)</f>
        <v>24.679159562299056</v>
      </c>
      <c r="F169" s="207">
        <f>G169/254</f>
        <v>0.67716535433070868</v>
      </c>
      <c r="G169" s="204">
        <v>172</v>
      </c>
      <c r="H169" s="97" t="s">
        <v>371</v>
      </c>
      <c r="I169" s="204"/>
      <c r="N169" s="320"/>
    </row>
    <row r="170" spans="1:15">
      <c r="A170" s="196" t="s">
        <v>62</v>
      </c>
      <c r="B170" s="197">
        <v>29</v>
      </c>
      <c r="C170" s="197">
        <v>548</v>
      </c>
      <c r="D170" s="206">
        <f>EXP(0.8755*LN(B170)+0.1152)*0.986</f>
        <v>21.097795888682541</v>
      </c>
      <c r="E170" s="203">
        <f>MAX(C170:D170)/MIN(C170:D170)</f>
        <v>25.974277260591133</v>
      </c>
      <c r="F170" s="207">
        <f>G170/254</f>
        <v>0.68503937007874016</v>
      </c>
      <c r="G170" s="204">
        <v>174</v>
      </c>
      <c r="H170" s="97" t="s">
        <v>335</v>
      </c>
      <c r="I170" s="204"/>
      <c r="N170" s="320"/>
    </row>
    <row r="171" spans="1:15">
      <c r="A171" s="196" t="s">
        <v>62</v>
      </c>
      <c r="B171" s="197">
        <v>312</v>
      </c>
      <c r="C171" s="197">
        <v>4520</v>
      </c>
      <c r="D171" s="206">
        <f>EXP(0.8755*LN(B171)+0.1152)*0.986</f>
        <v>168.86513296716339</v>
      </c>
      <c r="E171" s="203">
        <f>MAX(C171:D171)/MIN(C171:D171)</f>
        <v>26.766922931798685</v>
      </c>
      <c r="F171" s="207">
        <f>G171/254</f>
        <v>0.6889763779527559</v>
      </c>
      <c r="G171" s="204">
        <v>175</v>
      </c>
      <c r="H171" s="97" t="s">
        <v>369</v>
      </c>
      <c r="I171" s="204"/>
      <c r="N171" s="320"/>
    </row>
    <row r="172" spans="1:15">
      <c r="A172" s="196" t="s">
        <v>62</v>
      </c>
      <c r="B172" s="197">
        <v>143</v>
      </c>
      <c r="C172" s="197">
        <v>2400</v>
      </c>
      <c r="D172" s="206">
        <f>EXP(0.8755*LN(B172)+0.1152)*0.986</f>
        <v>85.291222647909549</v>
      </c>
      <c r="E172" s="203">
        <f>MAX(C172:D172)/MIN(C172:D172)</f>
        <v>28.138886106808823</v>
      </c>
      <c r="F172" s="207">
        <f>G172/254</f>
        <v>0.69291338582677164</v>
      </c>
      <c r="G172" s="204">
        <v>176</v>
      </c>
      <c r="H172" s="97" t="s">
        <v>375</v>
      </c>
      <c r="I172" s="204"/>
      <c r="N172" s="320"/>
    </row>
    <row r="173" spans="1:15">
      <c r="A173" s="196" t="s">
        <v>62</v>
      </c>
      <c r="B173" s="197">
        <v>179</v>
      </c>
      <c r="C173" s="197">
        <v>2960</v>
      </c>
      <c r="D173" s="206">
        <f>EXP(0.8755*LN(B173)+0.1152)*0.986</f>
        <v>103.81986692724253</v>
      </c>
      <c r="E173" s="203">
        <f>MAX(C173:D173)/MIN(C173:D173)</f>
        <v>28.510920766970184</v>
      </c>
      <c r="F173" s="207">
        <f>G173/254</f>
        <v>0.69685039370078738</v>
      </c>
      <c r="G173" s="204">
        <v>177</v>
      </c>
      <c r="H173" s="97" t="s">
        <v>371</v>
      </c>
      <c r="I173" s="204"/>
      <c r="N173" s="320"/>
    </row>
    <row r="174" spans="1:15">
      <c r="A174" s="196" t="s">
        <v>62</v>
      </c>
      <c r="B174" s="197">
        <v>28</v>
      </c>
      <c r="C174" s="197">
        <v>610</v>
      </c>
      <c r="D174" s="206">
        <f>EXP(0.8755*LN(B174)+0.1152)*0.986</f>
        <v>20.459475489158937</v>
      </c>
      <c r="E174" s="203">
        <f>MAX(C174:D174)/MIN(C174:D174)</f>
        <v>29.815036085515814</v>
      </c>
      <c r="F174" s="207">
        <f>G174/254</f>
        <v>0.70078740157480313</v>
      </c>
      <c r="G174" s="204">
        <v>178</v>
      </c>
      <c r="H174" s="97" t="s">
        <v>335</v>
      </c>
      <c r="I174" s="204"/>
      <c r="N174" s="320"/>
    </row>
    <row r="175" spans="1:15">
      <c r="A175" s="196" t="s">
        <v>62</v>
      </c>
      <c r="B175" s="197">
        <v>137</v>
      </c>
      <c r="C175" s="197">
        <v>2600</v>
      </c>
      <c r="D175" s="206">
        <f>EXP(0.8755*LN(B175)+0.1152)*0.986</f>
        <v>82.149797229384262</v>
      </c>
      <c r="E175" s="203">
        <f>MAX(C175:D175)/MIN(C175:D175)</f>
        <v>31.649499909781916</v>
      </c>
      <c r="F175" s="207">
        <f>G175/254</f>
        <v>0.70472440944881887</v>
      </c>
      <c r="G175" s="204">
        <v>179</v>
      </c>
      <c r="H175" s="97" t="s">
        <v>375</v>
      </c>
      <c r="I175" s="204"/>
      <c r="N175" s="320"/>
    </row>
    <row r="176" spans="1:15">
      <c r="A176" s="196" t="s">
        <v>62</v>
      </c>
      <c r="B176" s="197">
        <v>23</v>
      </c>
      <c r="C176" s="197">
        <v>560</v>
      </c>
      <c r="D176" s="206">
        <f>EXP(0.8755*LN(B176)+0.1152)*0.986</f>
        <v>17.222665219356653</v>
      </c>
      <c r="E176" s="203">
        <f>MAX(C176:D176)/MIN(C176:D176)</f>
        <v>32.515292660430553</v>
      </c>
      <c r="F176" s="207">
        <f>G176/254</f>
        <v>0.70866141732283461</v>
      </c>
      <c r="G176" s="204">
        <v>180</v>
      </c>
      <c r="H176" s="97" t="s">
        <v>369</v>
      </c>
      <c r="I176" s="204"/>
      <c r="N176" s="320"/>
    </row>
    <row r="177" spans="1:14">
      <c r="A177" s="196" t="s">
        <v>62</v>
      </c>
      <c r="B177" s="197">
        <v>83</v>
      </c>
      <c r="C177" s="197">
        <v>1755</v>
      </c>
      <c r="D177" s="206">
        <f>EXP(0.8755*LN(B177)+0.1152)*0.986</f>
        <v>52.973724567643224</v>
      </c>
      <c r="E177" s="203">
        <f>MAX(C177:D177)/MIN(C177:D177)</f>
        <v>33.129631988760863</v>
      </c>
      <c r="F177" s="207">
        <f>G177/254</f>
        <v>0.71259842519685035</v>
      </c>
      <c r="G177" s="204">
        <v>181</v>
      </c>
      <c r="H177" s="97" t="s">
        <v>366</v>
      </c>
      <c r="I177" s="204"/>
      <c r="N177" s="320"/>
    </row>
    <row r="178" spans="1:14">
      <c r="A178" s="196" t="s">
        <v>62</v>
      </c>
      <c r="B178" s="197">
        <v>30</v>
      </c>
      <c r="C178" s="197">
        <v>810</v>
      </c>
      <c r="D178" s="206">
        <f>EXP(0.8755*LN(B178)+0.1152)*0.986</f>
        <v>21.733381211945876</v>
      </c>
      <c r="E178" s="203">
        <f>MAX(C178:D178)/MIN(C178:D178)</f>
        <v>37.269856544676948</v>
      </c>
      <c r="F178" s="207">
        <f>G178/254</f>
        <v>0.72047244094488194</v>
      </c>
      <c r="G178" s="204">
        <v>183</v>
      </c>
      <c r="H178" s="97" t="s">
        <v>368</v>
      </c>
      <c r="I178" s="204"/>
      <c r="N178" s="320"/>
    </row>
    <row r="179" spans="1:14">
      <c r="A179" s="196" t="s">
        <v>62</v>
      </c>
      <c r="B179" s="197">
        <v>23</v>
      </c>
      <c r="C179" s="197">
        <v>651</v>
      </c>
      <c r="D179" s="206">
        <f>EXP(0.8755*LN(B179)+0.1152)*0.986</f>
        <v>17.222665219356653</v>
      </c>
      <c r="E179" s="203">
        <f>MAX(C179:D179)/MIN(C179:D179)</f>
        <v>37.799027717750519</v>
      </c>
      <c r="F179" s="207">
        <f>G179/254</f>
        <v>0.72440944881889768</v>
      </c>
      <c r="G179" s="204">
        <v>184</v>
      </c>
      <c r="H179" s="97" t="s">
        <v>367</v>
      </c>
      <c r="I179" s="204"/>
      <c r="N179" s="320"/>
    </row>
    <row r="180" spans="1:14">
      <c r="A180" s="196" t="s">
        <v>62</v>
      </c>
      <c r="B180" s="197">
        <v>30</v>
      </c>
      <c r="C180" s="197">
        <v>830</v>
      </c>
      <c r="D180" s="206">
        <f>EXP(0.8755*LN(B180)+0.1152)*0.986</f>
        <v>21.733381211945876</v>
      </c>
      <c r="E180" s="203">
        <f>MAX(C180:D180)/MIN(C180:D180)</f>
        <v>38.190099916150452</v>
      </c>
      <c r="F180" s="207">
        <f>G180/254</f>
        <v>0.72834645669291342</v>
      </c>
      <c r="G180" s="204">
        <v>185</v>
      </c>
      <c r="H180" s="97" t="s">
        <v>369</v>
      </c>
      <c r="I180" s="204"/>
      <c r="N180" s="320"/>
    </row>
    <row r="181" spans="1:14">
      <c r="A181" s="196" t="s">
        <v>62</v>
      </c>
      <c r="B181" s="197">
        <v>330</v>
      </c>
      <c r="C181" s="197">
        <v>7210</v>
      </c>
      <c r="D181" s="206">
        <f>EXP(0.8755*LN(B181)+0.1152)*0.986</f>
        <v>177.3644569873415</v>
      </c>
      <c r="E181" s="203">
        <f>MAX(C181:D181)/MIN(C181:D181)</f>
        <v>40.650760149281645</v>
      </c>
      <c r="F181" s="207">
        <f>G181/254</f>
        <v>0.73228346456692917</v>
      </c>
      <c r="G181" s="204">
        <v>186</v>
      </c>
      <c r="H181" s="97" t="s">
        <v>343</v>
      </c>
      <c r="I181" s="204"/>
      <c r="N181" s="320"/>
    </row>
    <row r="182" spans="1:14">
      <c r="A182" s="196" t="s">
        <v>62</v>
      </c>
      <c r="B182" s="197">
        <v>314</v>
      </c>
      <c r="C182" s="197">
        <v>7210</v>
      </c>
      <c r="D182" s="206">
        <f>EXP(0.8755*LN(B182)+0.1152)*0.986</f>
        <v>169.81245713875418</v>
      </c>
      <c r="E182" s="207">
        <f>MAX(C182:D182)/MIN(C182:D182)</f>
        <v>42.458604754235971</v>
      </c>
      <c r="F182" s="207">
        <f>G182/254</f>
        <v>0.74803149606299213</v>
      </c>
      <c r="G182" s="223">
        <v>190</v>
      </c>
      <c r="H182" s="97" t="s">
        <v>369</v>
      </c>
      <c r="I182" s="204"/>
      <c r="N182" s="320"/>
    </row>
    <row r="183" spans="1:14">
      <c r="A183" s="196" t="s">
        <v>62</v>
      </c>
      <c r="B183" s="197">
        <v>23</v>
      </c>
      <c r="C183" s="197">
        <v>815</v>
      </c>
      <c r="D183" s="206">
        <f>EXP(0.8755*LN(B183)+0.1152)*0.986</f>
        <v>17.222665219356653</v>
      </c>
      <c r="E183" s="203">
        <f>MAX(C183:D183)/MIN(C183:D183)</f>
        <v>47.321363425448041</v>
      </c>
      <c r="F183" s="207">
        <f>G183/254</f>
        <v>0.75590551181102361</v>
      </c>
      <c r="G183" s="204">
        <v>192</v>
      </c>
      <c r="H183" s="97" t="s">
        <v>367</v>
      </c>
      <c r="I183" s="204"/>
      <c r="N183" s="320"/>
    </row>
    <row r="184" spans="1:14">
      <c r="A184" s="196" t="s">
        <v>62</v>
      </c>
      <c r="B184" s="197">
        <v>14</v>
      </c>
      <c r="C184" s="197">
        <v>560</v>
      </c>
      <c r="D184" s="206">
        <f>EXP(0.8755*LN(B184)+0.1152)*0.986</f>
        <v>11.151742544336678</v>
      </c>
      <c r="E184" s="203">
        <f>MAX(C184:D184)/MIN(C184:D184)</f>
        <v>50.216367332152181</v>
      </c>
      <c r="F184" s="207">
        <f>G184/254</f>
        <v>0.75984251968503935</v>
      </c>
      <c r="G184" s="204">
        <v>193</v>
      </c>
      <c r="H184" s="97" t="s">
        <v>373</v>
      </c>
      <c r="I184" s="204"/>
      <c r="N184" s="320"/>
    </row>
    <row r="185" spans="1:14">
      <c r="A185" s="196" t="s">
        <v>62</v>
      </c>
      <c r="B185" s="197">
        <v>5</v>
      </c>
      <c r="C185" s="197">
        <v>280</v>
      </c>
      <c r="D185" s="206">
        <f>EXP(0.8755*LN(B185)+0.1152)*0.986</f>
        <v>4.527473093967477</v>
      </c>
      <c r="E185" s="203">
        <f>MAX(C185:D185)/MIN(C185:D185)</f>
        <v>61.844652455931609</v>
      </c>
      <c r="F185" s="207">
        <f>G185/254</f>
        <v>0.77559055118110232</v>
      </c>
      <c r="G185" s="204">
        <v>197</v>
      </c>
      <c r="H185" s="97" t="s">
        <v>370</v>
      </c>
      <c r="I185" s="204"/>
      <c r="N185" s="320"/>
    </row>
    <row r="186" spans="1:14">
      <c r="A186" s="194" t="s">
        <v>62</v>
      </c>
      <c r="B186" s="195">
        <v>29</v>
      </c>
      <c r="C186" s="195">
        <v>1510</v>
      </c>
      <c r="D186" s="205">
        <f>EXP(0.8755*LN(B186)+0.1152)*0.986</f>
        <v>21.097795888682541</v>
      </c>
      <c r="E186" s="208">
        <f>MAX(C186:D186)/MIN(C186:D186)</f>
        <v>71.5714574151325</v>
      </c>
      <c r="F186" s="208">
        <f>G186/254</f>
        <v>0.79133858267716539</v>
      </c>
      <c r="G186" s="209">
        <v>201</v>
      </c>
      <c r="H186" s="97" t="s">
        <v>335</v>
      </c>
      <c r="I186" s="223"/>
      <c r="N186" s="320"/>
    </row>
    <row r="187" spans="1:14">
      <c r="A187" s="196" t="s">
        <v>69</v>
      </c>
      <c r="B187" s="197">
        <v>100</v>
      </c>
      <c r="C187" s="197">
        <v>434</v>
      </c>
      <c r="D187" s="206">
        <f>EXP(0.9296*LN(B187)+0.259)*0.986</f>
        <v>92.376007008149301</v>
      </c>
      <c r="E187" s="203">
        <f>MAX(C187:D187)/MIN(C187:D187)</f>
        <v>4.6981896496317823</v>
      </c>
      <c r="F187" s="207">
        <f>G187/254</f>
        <v>0.38976377952755903</v>
      </c>
      <c r="G187" s="204">
        <v>99</v>
      </c>
      <c r="H187" s="97" t="s">
        <v>360</v>
      </c>
      <c r="I187" s="204"/>
      <c r="N187" s="320"/>
    </row>
    <row r="188" spans="1:14">
      <c r="A188" s="196" t="s">
        <v>69</v>
      </c>
      <c r="B188" s="197">
        <v>100</v>
      </c>
      <c r="C188" s="197">
        <v>1110</v>
      </c>
      <c r="D188" s="206">
        <f>EXP(0.9296*LN(B188)+0.259)*0.986</f>
        <v>92.376007008149301</v>
      </c>
      <c r="E188" s="203">
        <f>MAX(C188:D188)/MIN(C188:D188)</f>
        <v>12.016107168413082</v>
      </c>
      <c r="F188" s="207">
        <f>G188/254</f>
        <v>0.55905511811023623</v>
      </c>
      <c r="G188" s="204">
        <v>142</v>
      </c>
      <c r="H188" s="97" t="s">
        <v>381</v>
      </c>
      <c r="I188" s="204"/>
      <c r="N188" s="320"/>
    </row>
    <row r="189" spans="1:14">
      <c r="A189" s="196" t="s">
        <v>69</v>
      </c>
      <c r="B189" s="197">
        <v>20</v>
      </c>
      <c r="C189" s="197">
        <v>303</v>
      </c>
      <c r="D189" s="206">
        <f>EXP(0.9296*LN(B189)+0.259)*0.986</f>
        <v>20.691723659668373</v>
      </c>
      <c r="E189" s="203">
        <f>MAX(C189:D189)/MIN(C189:D189)</f>
        <v>14.643535984901908</v>
      </c>
      <c r="F189" s="207">
        <f>G189/254</f>
        <v>0.59448818897637801</v>
      </c>
      <c r="G189" s="204">
        <v>151</v>
      </c>
      <c r="H189" s="97" t="s">
        <v>360</v>
      </c>
      <c r="I189" s="204"/>
      <c r="N189" s="320"/>
    </row>
    <row r="190" spans="1:14">
      <c r="A190" s="196" t="s">
        <v>69</v>
      </c>
      <c r="B190" s="197">
        <v>100</v>
      </c>
      <c r="C190" s="197">
        <v>1390</v>
      </c>
      <c r="D190" s="206">
        <f>EXP(0.9296*LN(B190)+0.259)*0.986</f>
        <v>92.376007008149301</v>
      </c>
      <c r="E190" s="203">
        <f>MAX(C190:D190)/MIN(C190:D190)</f>
        <v>15.047197264949716</v>
      </c>
      <c r="F190" s="207">
        <f>G190/254</f>
        <v>0.59842519685039375</v>
      </c>
      <c r="G190" s="204">
        <v>152</v>
      </c>
      <c r="H190" s="97" t="s">
        <v>360</v>
      </c>
      <c r="I190" s="204"/>
      <c r="N190" s="320"/>
    </row>
    <row r="191" spans="1:14">
      <c r="A191" s="196" t="s">
        <v>69</v>
      </c>
      <c r="B191" s="197">
        <v>20</v>
      </c>
      <c r="C191" s="197">
        <v>350</v>
      </c>
      <c r="D191" s="206">
        <f>EXP(0.9296*LN(B191)+0.259)*0.986</f>
        <v>20.691723659668373</v>
      </c>
      <c r="E191" s="203">
        <f>MAX(C191:D191)/MIN(C191:D191)</f>
        <v>16.914975560117714</v>
      </c>
      <c r="F191" s="207">
        <f>G191/254</f>
        <v>0.61811023622047245</v>
      </c>
      <c r="G191" s="204">
        <v>157</v>
      </c>
      <c r="H191" s="97" t="s">
        <v>360</v>
      </c>
      <c r="I191" s="204"/>
      <c r="N191" s="320"/>
    </row>
    <row r="192" spans="1:14">
      <c r="A192" s="196" t="s">
        <v>69</v>
      </c>
      <c r="B192" s="197">
        <v>20</v>
      </c>
      <c r="C192" s="197">
        <v>434</v>
      </c>
      <c r="D192" s="206">
        <f>EXP(0.9296*LN(B192)+0.259)*0.986</f>
        <v>20.691723659668373</v>
      </c>
      <c r="E192" s="203">
        <f>MAX(C192:D192)/MIN(C192:D192)</f>
        <v>20.974569694545966</v>
      </c>
      <c r="F192" s="207">
        <f>G192/254</f>
        <v>0.65748031496062997</v>
      </c>
      <c r="G192" s="204">
        <v>167</v>
      </c>
      <c r="H192" s="97" t="s">
        <v>360</v>
      </c>
      <c r="I192" s="204"/>
      <c r="N192" s="320"/>
    </row>
    <row r="193" spans="1:14">
      <c r="A193" s="196" t="s">
        <v>69</v>
      </c>
      <c r="B193" s="197">
        <v>45</v>
      </c>
      <c r="C193" s="197">
        <v>1000</v>
      </c>
      <c r="D193" s="206">
        <f>EXP(0.9296*LN(B193)+0.259)*0.986</f>
        <v>43.972943578641036</v>
      </c>
      <c r="E193" s="203">
        <f>MAX(C193:D193)/MIN(C193:D193)</f>
        <v>22.741256750565356</v>
      </c>
      <c r="F193" s="207">
        <f>G193/254</f>
        <v>0.66141732283464572</v>
      </c>
      <c r="G193" s="204">
        <v>168</v>
      </c>
      <c r="H193" s="97" t="s">
        <v>380</v>
      </c>
      <c r="I193" s="204"/>
      <c r="N193" s="320"/>
    </row>
    <row r="194" spans="1:14">
      <c r="A194" s="196" t="s">
        <v>69</v>
      </c>
      <c r="B194" s="197">
        <v>100</v>
      </c>
      <c r="C194" s="197">
        <v>3160</v>
      </c>
      <c r="D194" s="206">
        <f>EXP(0.9296*LN(B194)+0.259)*0.986</f>
        <v>92.376007008149301</v>
      </c>
      <c r="E194" s="203">
        <f>MAX(C194:D194)/MIN(C194:D194)</f>
        <v>34.208016803770576</v>
      </c>
      <c r="F194" s="207">
        <f>G194/254</f>
        <v>0.71653543307086609</v>
      </c>
      <c r="G194" s="204">
        <v>182</v>
      </c>
      <c r="H194" s="97" t="s">
        <v>381</v>
      </c>
      <c r="I194" s="204"/>
      <c r="N194" s="320"/>
    </row>
    <row r="195" spans="1:14">
      <c r="A195" s="196" t="s">
        <v>69</v>
      </c>
      <c r="B195" s="197">
        <v>45</v>
      </c>
      <c r="C195" s="197">
        <v>1800</v>
      </c>
      <c r="D195" s="206">
        <f>EXP(0.9296*LN(B195)+0.259)*0.986</f>
        <v>43.972943578641036</v>
      </c>
      <c r="E195" s="203">
        <f>MAX(C195:D195)/MIN(C195:D195)</f>
        <v>40.934262151017641</v>
      </c>
      <c r="F195" s="207">
        <f>G195/254</f>
        <v>0.73622047244094491</v>
      </c>
      <c r="G195" s="204">
        <v>187</v>
      </c>
      <c r="H195" s="97" t="s">
        <v>380</v>
      </c>
      <c r="I195" s="204"/>
      <c r="N195" s="320"/>
    </row>
    <row r="196" spans="1:14">
      <c r="A196" s="196" t="s">
        <v>69</v>
      </c>
      <c r="B196" s="197">
        <v>170</v>
      </c>
      <c r="C196" s="197">
        <v>6200</v>
      </c>
      <c r="D196" s="206">
        <f>EXP(0.9296*LN(B196)+0.259)*0.986</f>
        <v>151.28104056070254</v>
      </c>
      <c r="E196" s="203">
        <f>MAX(C196:D196)/MIN(C196:D196)</f>
        <v>40.983324658665396</v>
      </c>
      <c r="F196" s="207">
        <f>G196/254</f>
        <v>0.74015748031496065</v>
      </c>
      <c r="G196" s="204">
        <v>188</v>
      </c>
      <c r="H196" s="97" t="s">
        <v>380</v>
      </c>
      <c r="I196" s="204"/>
      <c r="N196" s="320"/>
    </row>
    <row r="197" spans="1:14">
      <c r="A197" s="196" t="s">
        <v>69</v>
      </c>
      <c r="B197" s="197">
        <v>170</v>
      </c>
      <c r="C197" s="197">
        <v>7100</v>
      </c>
      <c r="D197" s="206">
        <f>EXP(0.9296*LN(B197)+0.259)*0.986</f>
        <v>151.28104056070254</v>
      </c>
      <c r="E197" s="207">
        <f>MAX(C197:D197)/MIN(C197:D197)</f>
        <v>46.9325169478265</v>
      </c>
      <c r="F197" s="207">
        <f>G197/254</f>
        <v>0.75196850393700787</v>
      </c>
      <c r="G197" s="223">
        <v>191</v>
      </c>
      <c r="H197" s="97" t="s">
        <v>380</v>
      </c>
      <c r="I197" s="204"/>
      <c r="N197" s="320"/>
    </row>
    <row r="198" spans="1:14">
      <c r="A198" s="194" t="s">
        <v>69</v>
      </c>
      <c r="B198" s="195">
        <v>20</v>
      </c>
      <c r="C198" s="195">
        <v>1110</v>
      </c>
      <c r="D198" s="205">
        <f>EXP(0.9296*LN(B198)+0.259)*0.986</f>
        <v>20.691723659668373</v>
      </c>
      <c r="E198" s="208">
        <f>MAX(C198:D198)/MIN(C198:D198)</f>
        <v>53.644636776373325</v>
      </c>
      <c r="F198" s="208">
        <f>G198/254</f>
        <v>0.76771653543307083</v>
      </c>
      <c r="G198" s="209">
        <v>195</v>
      </c>
      <c r="H198" s="97" t="s">
        <v>360</v>
      </c>
      <c r="I198" s="223"/>
      <c r="N198" s="320"/>
    </row>
    <row r="199" spans="1:14">
      <c r="A199" s="196" t="s">
        <v>70</v>
      </c>
      <c r="B199" s="197">
        <v>290</v>
      </c>
      <c r="C199" s="197">
        <v>330</v>
      </c>
      <c r="D199" s="206">
        <f>EXP(0.831*LN(B199)+0.2217)*0.986</f>
        <v>136.9029283665252</v>
      </c>
      <c r="E199" s="203">
        <f>MAX(C199:D199)/MIN(C199:D199)</f>
        <v>2.4104670655145015</v>
      </c>
      <c r="F199" s="203">
        <f>G199/254</f>
        <v>0.22440944881889763</v>
      </c>
      <c r="G199" s="204">
        <v>57</v>
      </c>
      <c r="H199" s="97" t="s">
        <v>365</v>
      </c>
      <c r="I199" s="204"/>
      <c r="N199" s="320"/>
    </row>
    <row r="200" spans="1:14">
      <c r="A200" s="196" t="s">
        <v>70</v>
      </c>
      <c r="B200" s="197">
        <v>290</v>
      </c>
      <c r="C200" s="197">
        <v>500</v>
      </c>
      <c r="D200" s="206">
        <f>EXP(0.831*LN(B200)+0.2217)*0.986</f>
        <v>136.9029283665252</v>
      </c>
      <c r="E200" s="203">
        <f>MAX(C200:D200)/MIN(C200:D200)</f>
        <v>3.6522228265371233</v>
      </c>
      <c r="F200" s="203">
        <f>G200/254</f>
        <v>0.33858267716535434</v>
      </c>
      <c r="G200" s="204">
        <v>86</v>
      </c>
      <c r="H200" s="97" t="s">
        <v>365</v>
      </c>
      <c r="I200" s="204"/>
      <c r="N200" s="320"/>
    </row>
    <row r="201" spans="1:14">
      <c r="A201" s="196" t="s">
        <v>70</v>
      </c>
      <c r="B201" s="197">
        <v>290</v>
      </c>
      <c r="C201" s="197">
        <v>780</v>
      </c>
      <c r="D201" s="206">
        <f>EXP(0.831*LN(B201)+0.2217)*0.986</f>
        <v>136.9029283665252</v>
      </c>
      <c r="E201" s="203">
        <f>MAX(C201:D201)/MIN(C201:D201)</f>
        <v>5.6974676093979122</v>
      </c>
      <c r="F201" s="207">
        <f>G201/254</f>
        <v>0.42125984251968501</v>
      </c>
      <c r="G201" s="204">
        <v>107</v>
      </c>
      <c r="H201" s="97" t="s">
        <v>365</v>
      </c>
      <c r="I201" s="204"/>
      <c r="N201" s="320"/>
    </row>
    <row r="202" spans="1:14">
      <c r="A202" s="196" t="s">
        <v>70</v>
      </c>
      <c r="B202" s="197">
        <v>186</v>
      </c>
      <c r="C202" s="197">
        <v>870</v>
      </c>
      <c r="D202" s="206">
        <f>EXP(0.831*LN(B202)+0.2217)*0.986</f>
        <v>94.65101122904413</v>
      </c>
      <c r="E202" s="203">
        <f>MAX(C202:D202)/MIN(C202:D202)</f>
        <v>9.1916609099368625</v>
      </c>
      <c r="F202" s="207">
        <f>G202/254</f>
        <v>0.50787401574803148</v>
      </c>
      <c r="G202" s="204">
        <v>129</v>
      </c>
      <c r="H202" s="97" t="s">
        <v>382</v>
      </c>
      <c r="I202" s="204"/>
      <c r="N202" s="320"/>
    </row>
    <row r="203" spans="1:14">
      <c r="A203" s="196" t="s">
        <v>70</v>
      </c>
      <c r="B203" s="197">
        <v>45</v>
      </c>
      <c r="C203" s="197">
        <v>396</v>
      </c>
      <c r="D203" s="206">
        <f>EXP(0.831*LN(B203)+0.2217)*0.986</f>
        <v>29.105804004596006</v>
      </c>
      <c r="E203" s="203">
        <f>MAX(C203:D203)/MIN(C203:D203)</f>
        <v>13.605533794478548</v>
      </c>
      <c r="F203" s="207">
        <f>G203/254</f>
        <v>0.57874015748031493</v>
      </c>
      <c r="G203" s="204">
        <v>147</v>
      </c>
      <c r="H203" s="97" t="s">
        <v>351</v>
      </c>
      <c r="I203" s="204"/>
      <c r="N203" s="320"/>
    </row>
    <row r="204" spans="1:14">
      <c r="A204" s="196" t="s">
        <v>70</v>
      </c>
      <c r="B204" s="197">
        <v>52</v>
      </c>
      <c r="C204" s="197">
        <v>551</v>
      </c>
      <c r="D204" s="206">
        <f>EXP(0.831*LN(B204)+0.2217)*0.986</f>
        <v>32.821526825186552</v>
      </c>
      <c r="E204" s="203">
        <f>MAX(C204:D204)/MIN(C204:D204)</f>
        <v>16.787762584438155</v>
      </c>
      <c r="F204" s="207">
        <f>G204/254</f>
        <v>0.61417322834645671</v>
      </c>
      <c r="G204" s="204">
        <v>156</v>
      </c>
      <c r="H204" s="97" t="s">
        <v>349</v>
      </c>
      <c r="I204" s="204"/>
      <c r="N204" s="320"/>
    </row>
    <row r="205" spans="1:14">
      <c r="A205" s="196" t="s">
        <v>70</v>
      </c>
      <c r="B205" s="197">
        <v>186</v>
      </c>
      <c r="C205" s="197">
        <v>1820</v>
      </c>
      <c r="D205" s="206">
        <f>EXP(0.831*LN(B205)+0.2217)*0.986</f>
        <v>94.65101122904413</v>
      </c>
      <c r="E205" s="203">
        <f>MAX(C205:D205)/MIN(C205:D205)</f>
        <v>19.228532018488611</v>
      </c>
      <c r="F205" s="207">
        <f>G205/254</f>
        <v>0.62992125984251968</v>
      </c>
      <c r="G205" s="204">
        <v>160</v>
      </c>
      <c r="H205" s="97" t="s">
        <v>382</v>
      </c>
      <c r="I205" s="204"/>
      <c r="N205" s="320"/>
    </row>
    <row r="206" spans="1:14">
      <c r="A206" s="196" t="s">
        <v>70</v>
      </c>
      <c r="B206" s="197">
        <v>186</v>
      </c>
      <c r="C206" s="197">
        <v>1850</v>
      </c>
      <c r="D206" s="206">
        <f>EXP(0.831*LN(B206)+0.2217)*0.986</f>
        <v>94.65101122904413</v>
      </c>
      <c r="E206" s="203">
        <f>MAX(C206:D206)/MIN(C206:D206)</f>
        <v>19.545485842969192</v>
      </c>
      <c r="F206" s="207">
        <f>G206/254</f>
        <v>0.63779527559055116</v>
      </c>
      <c r="G206" s="204">
        <v>162</v>
      </c>
      <c r="H206" s="97" t="s">
        <v>382</v>
      </c>
      <c r="I206" s="204"/>
      <c r="N206" s="320"/>
    </row>
    <row r="207" spans="1:14">
      <c r="A207" s="196" t="s">
        <v>70</v>
      </c>
      <c r="B207" s="197">
        <v>46</v>
      </c>
      <c r="C207" s="197">
        <v>600</v>
      </c>
      <c r="D207" s="206">
        <f>EXP(0.831*LN(B207)+0.2217)*0.986</f>
        <v>29.642290539508842</v>
      </c>
      <c r="E207" s="203">
        <f>MAX(C207:D207)/MIN(C207:D207)</f>
        <v>20.24135075527607</v>
      </c>
      <c r="F207" s="207">
        <f>G207/254</f>
        <v>0.64960629921259838</v>
      </c>
      <c r="G207" s="204">
        <v>165</v>
      </c>
      <c r="H207" s="97" t="s">
        <v>345</v>
      </c>
      <c r="I207" s="204"/>
      <c r="N207" s="320"/>
    </row>
    <row r="208" spans="1:14">
      <c r="A208" s="196" t="s">
        <v>70</v>
      </c>
      <c r="B208" s="197">
        <v>220</v>
      </c>
      <c r="C208" s="197">
        <v>2610</v>
      </c>
      <c r="D208" s="206">
        <f>EXP(0.831*LN(B208)+0.2217)*0.986</f>
        <v>108.82113451769632</v>
      </c>
      <c r="E208" s="203">
        <f>MAX(C208:D208)/MIN(C208:D208)</f>
        <v>23.984311609759647</v>
      </c>
      <c r="F208" s="207">
        <f>G208/254</f>
        <v>0.6692913385826772</v>
      </c>
      <c r="G208" s="204">
        <v>170</v>
      </c>
      <c r="H208" s="97" t="s">
        <v>387</v>
      </c>
      <c r="I208" s="204"/>
      <c r="N208" s="320"/>
    </row>
    <row r="209" spans="1:14">
      <c r="A209" s="196" t="s">
        <v>70</v>
      </c>
      <c r="B209" s="197">
        <v>20</v>
      </c>
      <c r="C209" s="197">
        <v>770</v>
      </c>
      <c r="D209" s="206">
        <f>EXP(0.831*LN(B209)+0.2217)*0.986</f>
        <v>14.835969368387513</v>
      </c>
      <c r="E209" s="203">
        <f>MAX(C209:D209)/MIN(C209:D209)</f>
        <v>51.900889040706446</v>
      </c>
      <c r="F209" s="207">
        <f>G209/254</f>
        <v>0.76377952755905509</v>
      </c>
      <c r="G209" s="204">
        <v>194</v>
      </c>
      <c r="H209" s="97" t="s">
        <v>348</v>
      </c>
      <c r="I209" s="204"/>
      <c r="N209" s="320"/>
    </row>
    <row r="210" spans="1:14">
      <c r="A210" s="196" t="s">
        <v>70</v>
      </c>
      <c r="B210" s="197">
        <v>20</v>
      </c>
      <c r="C210" s="197">
        <v>960</v>
      </c>
      <c r="D210" s="206">
        <f>EXP(0.831*LN(B210)+0.2217)*0.986</f>
        <v>14.835969368387513</v>
      </c>
      <c r="E210" s="203">
        <f>MAX(C210:D210)/MIN(C210:D210)</f>
        <v>64.707601920880762</v>
      </c>
      <c r="F210" s="207">
        <f>G210/254</f>
        <v>0.77952755905511806</v>
      </c>
      <c r="G210" s="204">
        <v>198</v>
      </c>
      <c r="H210" s="97" t="s">
        <v>348</v>
      </c>
      <c r="I210" s="204"/>
      <c r="N210" s="320"/>
    </row>
    <row r="211" spans="1:14">
      <c r="A211" s="196" t="s">
        <v>70</v>
      </c>
      <c r="B211" s="197">
        <v>203</v>
      </c>
      <c r="C211" s="197">
        <v>8400</v>
      </c>
      <c r="D211" s="206">
        <f>EXP(0.831*LN(B211)+0.2217)*0.986</f>
        <v>101.78627218662481</v>
      </c>
      <c r="E211" s="203">
        <f>MAX(C211:D211)/MIN(C211:D211)</f>
        <v>82.525863454343096</v>
      </c>
      <c r="F211" s="207">
        <f>G211/254</f>
        <v>0.80708661417322836</v>
      </c>
      <c r="G211" s="204">
        <v>205</v>
      </c>
      <c r="H211" s="97" t="s">
        <v>385</v>
      </c>
      <c r="I211" s="204"/>
      <c r="N211" s="320"/>
    </row>
    <row r="212" spans="1:14">
      <c r="A212" s="196" t="s">
        <v>70</v>
      </c>
      <c r="B212" s="197">
        <v>193</v>
      </c>
      <c r="C212" s="197">
        <v>8200</v>
      </c>
      <c r="D212" s="206">
        <f>EXP(0.831*LN(B212)+0.2217)*0.986</f>
        <v>97.601867025963045</v>
      </c>
      <c r="E212" s="203">
        <f>MAX(C212:D212)/MIN(C212:D212)</f>
        <v>84.014786293163027</v>
      </c>
      <c r="F212" s="207">
        <f>G212/254</f>
        <v>0.8110236220472441</v>
      </c>
      <c r="G212" s="204">
        <v>206</v>
      </c>
      <c r="H212" s="97" t="s">
        <v>383</v>
      </c>
      <c r="I212" s="204"/>
      <c r="N212" s="320"/>
    </row>
    <row r="213" spans="1:14">
      <c r="A213" s="196" t="s">
        <v>70</v>
      </c>
      <c r="B213" s="197">
        <v>166</v>
      </c>
      <c r="C213" s="197">
        <v>7630</v>
      </c>
      <c r="D213" s="206">
        <f>EXP(0.831*LN(B213)+0.2217)*0.986</f>
        <v>86.113218769008157</v>
      </c>
      <c r="E213" s="203">
        <f>MAX(C213:D213)/MIN(C213:D213)</f>
        <v>88.604282932064891</v>
      </c>
      <c r="F213" s="207">
        <f>G213/254</f>
        <v>0.81496062992125984</v>
      </c>
      <c r="G213" s="204">
        <v>207</v>
      </c>
      <c r="H213" s="97" t="s">
        <v>384</v>
      </c>
      <c r="I213" s="204"/>
      <c r="N213" s="320"/>
    </row>
    <row r="214" spans="1:14">
      <c r="A214" s="196" t="s">
        <v>70</v>
      </c>
      <c r="B214" s="197">
        <v>203</v>
      </c>
      <c r="C214" s="197">
        <v>10000</v>
      </c>
      <c r="D214" s="206">
        <f>EXP(0.831*LN(B214)+0.2217)*0.986</f>
        <v>101.78627218662481</v>
      </c>
      <c r="E214" s="203">
        <f>MAX(C214:D214)/MIN(C214:D214)</f>
        <v>98.245075540884642</v>
      </c>
      <c r="F214" s="207">
        <f>G214/254</f>
        <v>0.82677165354330706</v>
      </c>
      <c r="G214" s="204">
        <v>210</v>
      </c>
      <c r="H214" s="97" t="s">
        <v>385</v>
      </c>
      <c r="I214" s="204"/>
      <c r="N214" s="320"/>
    </row>
    <row r="215" spans="1:14">
      <c r="A215" s="196" t="s">
        <v>70</v>
      </c>
      <c r="B215" s="197">
        <v>45</v>
      </c>
      <c r="C215" s="197">
        <v>3100</v>
      </c>
      <c r="D215" s="206">
        <f>EXP(0.831*LN(B215)+0.2217)*0.986</f>
        <v>29.105804004596006</v>
      </c>
      <c r="E215" s="203">
        <f>MAX(C215:D215)/MIN(C215:D215)</f>
        <v>106.50796657293812</v>
      </c>
      <c r="F215" s="207">
        <f>G215/254</f>
        <v>0.8307086614173228</v>
      </c>
      <c r="G215" s="204">
        <v>211</v>
      </c>
      <c r="H215" s="97" t="s">
        <v>386</v>
      </c>
      <c r="I215" s="204"/>
      <c r="N215" s="320"/>
    </row>
    <row r="216" spans="1:14">
      <c r="A216" s="196" t="s">
        <v>70</v>
      </c>
      <c r="B216" s="197">
        <v>203</v>
      </c>
      <c r="C216" s="197">
        <v>12000</v>
      </c>
      <c r="D216" s="206">
        <f>EXP(0.831*LN(B216)+0.2217)*0.986</f>
        <v>101.78627218662481</v>
      </c>
      <c r="E216" s="203">
        <f>MAX(C216:D216)/MIN(C216:D216)</f>
        <v>117.89409064906157</v>
      </c>
      <c r="F216" s="207">
        <f>G216/254</f>
        <v>0.83464566929133854</v>
      </c>
      <c r="G216" s="204">
        <v>212</v>
      </c>
      <c r="H216" s="97" t="s">
        <v>385</v>
      </c>
      <c r="I216" s="204"/>
      <c r="N216" s="320"/>
    </row>
    <row r="217" spans="1:14">
      <c r="A217" s="196" t="s">
        <v>70</v>
      </c>
      <c r="B217" s="197">
        <v>203</v>
      </c>
      <c r="C217" s="197">
        <v>13000</v>
      </c>
      <c r="D217" s="206">
        <f>EXP(0.831*LN(B217)+0.2217)*0.986</f>
        <v>101.78627218662481</v>
      </c>
      <c r="E217" s="203">
        <f>MAX(C217:D217)/MIN(C217:D217)</f>
        <v>127.71859820315004</v>
      </c>
      <c r="F217" s="207">
        <f>G217/254</f>
        <v>0.83858267716535428</v>
      </c>
      <c r="G217" s="204">
        <v>213</v>
      </c>
      <c r="H217" s="97" t="s">
        <v>385</v>
      </c>
      <c r="I217" s="204"/>
      <c r="N217" s="320"/>
    </row>
    <row r="218" spans="1:14">
      <c r="A218" s="196" t="s">
        <v>70</v>
      </c>
      <c r="B218" s="197">
        <v>195</v>
      </c>
      <c r="C218" s="197">
        <v>13600</v>
      </c>
      <c r="D218" s="206">
        <f>EXP(0.831*LN(B218)+0.2217)*0.986</f>
        <v>98.441622625892663</v>
      </c>
      <c r="E218" s="203">
        <f>MAX(C218:D218)/MIN(C218:D218)</f>
        <v>138.15294422445706</v>
      </c>
      <c r="F218" s="207">
        <f>G218/254</f>
        <v>0.84251968503937003</v>
      </c>
      <c r="G218" s="204">
        <v>214</v>
      </c>
      <c r="H218" s="97" t="s">
        <v>383</v>
      </c>
      <c r="I218" s="204"/>
      <c r="N218" s="320"/>
    </row>
    <row r="219" spans="1:14">
      <c r="A219" s="196" t="s">
        <v>70</v>
      </c>
      <c r="B219" s="197">
        <v>54</v>
      </c>
      <c r="C219" s="197">
        <v>4700</v>
      </c>
      <c r="D219" s="206">
        <f>EXP(0.831*LN(B219)+0.2217)*0.986</f>
        <v>33.867194037058212</v>
      </c>
      <c r="E219" s="203">
        <f>MAX(C219:D219)/MIN(C219:D219)</f>
        <v>138.77736652340192</v>
      </c>
      <c r="F219" s="207">
        <f>G219/254</f>
        <v>0.84645669291338588</v>
      </c>
      <c r="G219" s="204">
        <v>215</v>
      </c>
      <c r="H219" s="97" t="s">
        <v>383</v>
      </c>
      <c r="I219" s="204"/>
      <c r="N219" s="320"/>
    </row>
    <row r="220" spans="1:14">
      <c r="A220" s="196" t="s">
        <v>70</v>
      </c>
      <c r="B220" s="197">
        <v>216</v>
      </c>
      <c r="C220" s="197">
        <v>15500</v>
      </c>
      <c r="D220" s="206">
        <f>EXP(0.831*LN(B220)+0.2217)*0.986</f>
        <v>107.17440195680884</v>
      </c>
      <c r="E220" s="203">
        <f>MAX(C220:D220)/MIN(C220:D220)</f>
        <v>144.62408669419477</v>
      </c>
      <c r="F220" s="207">
        <f>G220/254</f>
        <v>0.85039370078740162</v>
      </c>
      <c r="G220" s="204">
        <v>216</v>
      </c>
      <c r="H220" s="97" t="s">
        <v>383</v>
      </c>
      <c r="I220" s="204"/>
      <c r="N220" s="320"/>
    </row>
    <row r="221" spans="1:14">
      <c r="A221" s="196" t="s">
        <v>70</v>
      </c>
      <c r="B221" s="197">
        <v>98</v>
      </c>
      <c r="C221" s="197">
        <v>8100</v>
      </c>
      <c r="D221" s="206">
        <f>EXP(0.831*LN(B221)+0.2217)*0.986</f>
        <v>55.573643461121485</v>
      </c>
      <c r="E221" s="203">
        <f>MAX(C221:D221)/MIN(C221:D221)</f>
        <v>145.75254555096146</v>
      </c>
      <c r="F221" s="207">
        <f>G221/254</f>
        <v>0.85433070866141736</v>
      </c>
      <c r="G221" s="204">
        <v>217</v>
      </c>
      <c r="H221" s="97" t="s">
        <v>383</v>
      </c>
      <c r="I221" s="204"/>
      <c r="N221" s="320"/>
    </row>
    <row r="222" spans="1:14">
      <c r="A222" s="196" t="s">
        <v>70</v>
      </c>
      <c r="B222" s="197">
        <v>20</v>
      </c>
      <c r="C222" s="197">
        <v>2330</v>
      </c>
      <c r="D222" s="206">
        <f>EXP(0.831*LN(B222)+0.2217)*0.986</f>
        <v>14.835969368387513</v>
      </c>
      <c r="E222" s="203">
        <f>MAX(C222:D222)/MIN(C222:D222)</f>
        <v>157.05074216213768</v>
      </c>
      <c r="F222" s="207">
        <f>G222/254</f>
        <v>0.8582677165354331</v>
      </c>
      <c r="G222" s="204">
        <v>218</v>
      </c>
      <c r="H222" s="97" t="s">
        <v>348</v>
      </c>
      <c r="I222" s="204"/>
      <c r="N222" s="320"/>
    </row>
    <row r="223" spans="1:14">
      <c r="A223" s="196" t="s">
        <v>70</v>
      </c>
      <c r="B223" s="197">
        <v>63</v>
      </c>
      <c r="C223" s="197">
        <v>6200</v>
      </c>
      <c r="D223" s="206">
        <f>EXP(0.831*LN(B223)+0.2217)*0.986</f>
        <v>38.49568023274859</v>
      </c>
      <c r="E223" s="203">
        <f>MAX(C223:D223)/MIN(C223:D223)</f>
        <v>161.05703191927518</v>
      </c>
      <c r="F223" s="207">
        <f>G223/254</f>
        <v>0.86220472440944884</v>
      </c>
      <c r="G223" s="204">
        <v>219</v>
      </c>
      <c r="H223" s="97" t="s">
        <v>383</v>
      </c>
      <c r="I223" s="204"/>
      <c r="N223" s="320"/>
    </row>
    <row r="224" spans="1:14">
      <c r="A224" s="196" t="s">
        <v>70</v>
      </c>
      <c r="B224" s="197">
        <v>49</v>
      </c>
      <c r="C224" s="197">
        <v>5100</v>
      </c>
      <c r="D224" s="206">
        <f>EXP(0.831*LN(B224)+0.2217)*0.986</f>
        <v>31.240138030463129</v>
      </c>
      <c r="E224" s="203">
        <f>MAX(C224:D224)/MIN(C224:D224)</f>
        <v>163.25151940836011</v>
      </c>
      <c r="F224" s="207">
        <f>G224/254</f>
        <v>0.86614173228346458</v>
      </c>
      <c r="G224" s="204">
        <v>220</v>
      </c>
      <c r="H224" s="97" t="s">
        <v>383</v>
      </c>
      <c r="I224" s="204"/>
      <c r="N224" s="320"/>
    </row>
    <row r="225" spans="1:14">
      <c r="A225" s="196" t="s">
        <v>70</v>
      </c>
      <c r="B225" s="197">
        <v>20</v>
      </c>
      <c r="C225" s="197">
        <v>2550</v>
      </c>
      <c r="D225" s="206">
        <f>EXP(0.831*LN(B225)+0.2217)*0.986</f>
        <v>14.835969368387513</v>
      </c>
      <c r="E225" s="203">
        <f>MAX(C225:D225)/MIN(C225:D225)</f>
        <v>171.87956760233953</v>
      </c>
      <c r="F225" s="207">
        <f>G225/254</f>
        <v>0.87007874015748032</v>
      </c>
      <c r="G225" s="204">
        <v>221</v>
      </c>
      <c r="H225" s="97" t="s">
        <v>348</v>
      </c>
      <c r="I225" s="204"/>
      <c r="N225" s="320"/>
    </row>
    <row r="226" spans="1:14">
      <c r="A226" s="196" t="s">
        <v>70</v>
      </c>
      <c r="B226" s="197">
        <v>102</v>
      </c>
      <c r="C226" s="197">
        <v>9900</v>
      </c>
      <c r="D226" s="206">
        <f>EXP(0.831*LN(B226)+0.2217)*0.986</f>
        <v>57.452210670559197</v>
      </c>
      <c r="E226" s="203">
        <f>MAX(C226:D226)/MIN(C226:D226)</f>
        <v>172.31712904431637</v>
      </c>
      <c r="F226" s="207">
        <f>G226/254</f>
        <v>0.87401574803149606</v>
      </c>
      <c r="G226" s="204">
        <v>222</v>
      </c>
      <c r="H226" s="97" t="s">
        <v>383</v>
      </c>
      <c r="I226" s="204"/>
      <c r="N226" s="320"/>
    </row>
    <row r="227" spans="1:14">
      <c r="A227" s="196" t="s">
        <v>70</v>
      </c>
      <c r="B227" s="197">
        <v>186</v>
      </c>
      <c r="C227" s="197">
        <v>19000</v>
      </c>
      <c r="D227" s="206">
        <f>EXP(0.831*LN(B227)+0.2217)*0.986</f>
        <v>94.65101122904413</v>
      </c>
      <c r="E227" s="203">
        <f>MAX(C227:D227)/MIN(C227:D227)</f>
        <v>200.73742217103495</v>
      </c>
      <c r="F227" s="207">
        <f>G227/254</f>
        <v>0.87795275590551181</v>
      </c>
      <c r="G227" s="204">
        <v>223</v>
      </c>
      <c r="H227" s="97" t="s">
        <v>383</v>
      </c>
      <c r="I227" s="204"/>
      <c r="N227" s="320"/>
    </row>
    <row r="228" spans="1:14">
      <c r="A228" s="196" t="s">
        <v>70</v>
      </c>
      <c r="B228" s="197">
        <v>100</v>
      </c>
      <c r="C228" s="197">
        <v>12500</v>
      </c>
      <c r="D228" s="206">
        <f>EXP(0.831*LN(B228)+0.2217)*0.986</f>
        <v>56.5145145684086</v>
      </c>
      <c r="E228" s="203">
        <f>MAX(C228:D228)/MIN(C228:D228)</f>
        <v>221.1821174694731</v>
      </c>
      <c r="F228" s="207">
        <f>G228/254</f>
        <v>0.88188976377952755</v>
      </c>
      <c r="G228" s="204">
        <v>224</v>
      </c>
      <c r="H228" s="97" t="s">
        <v>383</v>
      </c>
      <c r="I228" s="204"/>
      <c r="N228" s="320"/>
    </row>
    <row r="229" spans="1:14">
      <c r="A229" s="196" t="s">
        <v>70</v>
      </c>
      <c r="B229" s="197">
        <v>99</v>
      </c>
      <c r="C229" s="197">
        <v>12500</v>
      </c>
      <c r="D229" s="206">
        <f>EXP(0.831*LN(B229)+0.2217)*0.986</f>
        <v>56.044480555449496</v>
      </c>
      <c r="E229" s="203">
        <f>MAX(C229:D229)/MIN(C229:D229)</f>
        <v>223.03712829727635</v>
      </c>
      <c r="F229" s="207">
        <f>G229/254</f>
        <v>0.88582677165354329</v>
      </c>
      <c r="G229" s="204">
        <v>225</v>
      </c>
      <c r="H229" s="97" t="s">
        <v>383</v>
      </c>
      <c r="I229" s="204"/>
      <c r="N229" s="320"/>
    </row>
    <row r="230" spans="1:14">
      <c r="A230" s="196" t="s">
        <v>70</v>
      </c>
      <c r="B230" s="197">
        <v>212</v>
      </c>
      <c r="C230" s="197">
        <v>29000</v>
      </c>
      <c r="D230" s="206">
        <f>EXP(0.831*LN(B230)+0.2217)*0.986</f>
        <v>105.52250733945768</v>
      </c>
      <c r="E230" s="203">
        <f>MAX(C230:D230)/MIN(C230:D230)</f>
        <v>274.82288595274997</v>
      </c>
      <c r="F230" s="207">
        <f>G230/254</f>
        <v>0.88976377952755903</v>
      </c>
      <c r="G230" s="204">
        <v>226</v>
      </c>
      <c r="H230" s="97" t="s">
        <v>383</v>
      </c>
      <c r="I230" s="204"/>
      <c r="N230" s="320"/>
    </row>
    <row r="231" spans="1:14">
      <c r="A231" s="196" t="s">
        <v>70</v>
      </c>
      <c r="B231" s="197">
        <v>63</v>
      </c>
      <c r="C231" s="197">
        <v>12500</v>
      </c>
      <c r="D231" s="206">
        <f>EXP(0.831*LN(B231)+0.2217)*0.986</f>
        <v>38.49568023274859</v>
      </c>
      <c r="E231" s="203">
        <f>MAX(C231:D231)/MIN(C231:D231)</f>
        <v>324.71175790176449</v>
      </c>
      <c r="F231" s="207">
        <f>G231/254</f>
        <v>0.89370078740157477</v>
      </c>
      <c r="G231" s="204">
        <v>227</v>
      </c>
      <c r="H231" s="97" t="s">
        <v>383</v>
      </c>
      <c r="I231" s="204"/>
      <c r="N231" s="320"/>
    </row>
    <row r="232" spans="1:14">
      <c r="A232" s="196" t="s">
        <v>70</v>
      </c>
      <c r="B232" s="197">
        <v>97</v>
      </c>
      <c r="C232" s="197">
        <v>18500</v>
      </c>
      <c r="D232" s="206">
        <f>EXP(0.831*LN(B232)+0.2217)*0.986</f>
        <v>55.101993697214859</v>
      </c>
      <c r="E232" s="203">
        <f>MAX(C232:D232)/MIN(C232:D232)</f>
        <v>335.74102784115934</v>
      </c>
      <c r="F232" s="207">
        <f>G232/254</f>
        <v>0.89763779527559051</v>
      </c>
      <c r="G232" s="204">
        <v>228</v>
      </c>
      <c r="H232" s="97" t="s">
        <v>383</v>
      </c>
      <c r="I232" s="204"/>
      <c r="N232" s="320"/>
    </row>
    <row r="233" spans="1:14">
      <c r="A233" s="196" t="s">
        <v>70</v>
      </c>
      <c r="B233" s="197">
        <v>208</v>
      </c>
      <c r="C233" s="197">
        <v>35500</v>
      </c>
      <c r="D233" s="206">
        <f>EXP(0.831*LN(B233)+0.2217)*0.986</f>
        <v>103.86533661305572</v>
      </c>
      <c r="E233" s="207">
        <f>MAX(C233:D233)/MIN(C233:D233)</f>
        <v>341.78871563525752</v>
      </c>
      <c r="F233" s="207">
        <f>G233/254</f>
        <v>0.90157480314960625</v>
      </c>
      <c r="G233" s="223">
        <v>229</v>
      </c>
      <c r="H233" s="97" t="s">
        <v>383</v>
      </c>
      <c r="I233" s="204"/>
      <c r="N233" s="320"/>
    </row>
    <row r="234" spans="1:14">
      <c r="A234" s="196" t="s">
        <v>70</v>
      </c>
      <c r="B234" s="197">
        <v>54</v>
      </c>
      <c r="C234" s="197">
        <v>13700</v>
      </c>
      <c r="D234" s="206">
        <f>EXP(0.831*LN(B234)+0.2217)*0.986</f>
        <v>33.867194037058212</v>
      </c>
      <c r="E234" s="203">
        <f>MAX(C234:D234)/MIN(C234:D234)</f>
        <v>404.5212598660865</v>
      </c>
      <c r="F234" s="207">
        <f>G234/254</f>
        <v>0.92125984251968507</v>
      </c>
      <c r="G234" s="204">
        <v>234</v>
      </c>
      <c r="H234" s="97" t="s">
        <v>383</v>
      </c>
      <c r="I234" s="204"/>
      <c r="N234" s="320"/>
    </row>
    <row r="235" spans="1:14">
      <c r="A235" s="196" t="s">
        <v>70</v>
      </c>
      <c r="B235" s="197">
        <v>54</v>
      </c>
      <c r="C235" s="197">
        <v>13800</v>
      </c>
      <c r="D235" s="206">
        <f>EXP(0.831*LN(B235)+0.2217)*0.986</f>
        <v>33.867194037058212</v>
      </c>
      <c r="E235" s="203">
        <f>MAX(C235:D235)/MIN(C235:D235)</f>
        <v>407.47396979211635</v>
      </c>
      <c r="F235" s="207">
        <f>G235/254</f>
        <v>0.92519685039370081</v>
      </c>
      <c r="G235" s="204">
        <v>235</v>
      </c>
      <c r="H235" s="97" t="s">
        <v>383</v>
      </c>
      <c r="I235" s="204"/>
      <c r="N235" s="320"/>
    </row>
    <row r="236" spans="1:14">
      <c r="A236" s="196" t="s">
        <v>70</v>
      </c>
      <c r="B236" s="197">
        <v>103</v>
      </c>
      <c r="C236" s="197">
        <v>25000</v>
      </c>
      <c r="D236" s="206">
        <f>EXP(0.831*LN(B236)+0.2217)*0.986</f>
        <v>57.919890922949932</v>
      </c>
      <c r="E236" s="203">
        <f>MAX(C236:D236)/MIN(C236:D236)</f>
        <v>431.63064711667312</v>
      </c>
      <c r="F236" s="207">
        <f>G236/254</f>
        <v>0.93307086614173229</v>
      </c>
      <c r="G236" s="204">
        <v>237</v>
      </c>
      <c r="H236" s="97" t="s">
        <v>383</v>
      </c>
      <c r="I236" s="204"/>
      <c r="N236" s="320"/>
    </row>
    <row r="237" spans="1:14">
      <c r="A237" s="194" t="s">
        <v>70</v>
      </c>
      <c r="B237" s="195">
        <v>20</v>
      </c>
      <c r="C237" s="195">
        <v>33400</v>
      </c>
      <c r="D237" s="205">
        <f>EXP(0.831*LN(B237)+0.2217)*0.986</f>
        <v>14.835969368387513</v>
      </c>
      <c r="E237" s="208">
        <f>MAX(C237:D237)/MIN(C237:D237)</f>
        <v>2251.2853168306433</v>
      </c>
      <c r="F237" s="208">
        <f>G237/254</f>
        <v>0.98818897637795278</v>
      </c>
      <c r="G237" s="209">
        <v>251</v>
      </c>
      <c r="H237" s="97" t="s">
        <v>348</v>
      </c>
      <c r="I237" s="223"/>
      <c r="N237" s="320"/>
    </row>
    <row r="238" spans="1:14">
      <c r="A238" s="196" t="s">
        <v>71</v>
      </c>
      <c r="B238" s="197">
        <v>30</v>
      </c>
      <c r="C238" s="197">
        <v>1740</v>
      </c>
      <c r="D238" s="206">
        <f>EXP(1.6441*LN(B238)+0.4432)*0.986</f>
        <v>411.99437272065938</v>
      </c>
      <c r="E238" s="203">
        <f>MAX(C238:D238)/MIN(C238:D238)</f>
        <v>4.2233586553857023</v>
      </c>
      <c r="F238" s="207">
        <f>G238/254</f>
        <v>0.37401574803149606</v>
      </c>
      <c r="G238" s="204">
        <v>95</v>
      </c>
      <c r="H238" s="97" t="s">
        <v>346</v>
      </c>
      <c r="I238" s="204"/>
      <c r="N238" s="320"/>
    </row>
    <row r="239" spans="1:14">
      <c r="A239" s="196" t="s">
        <v>71</v>
      </c>
      <c r="B239" s="197">
        <v>20</v>
      </c>
      <c r="C239" s="197">
        <v>1270</v>
      </c>
      <c r="D239" s="206">
        <f>EXP(1.6441*LN(B239)+0.4432)*0.986</f>
        <v>211.5337386505478</v>
      </c>
      <c r="E239" s="203">
        <f>MAX(C239:D239)/MIN(C239:D239)</f>
        <v>6.0037704060912516</v>
      </c>
      <c r="F239" s="207">
        <f>G239/254</f>
        <v>0.42913385826771655</v>
      </c>
      <c r="G239" s="204">
        <v>109</v>
      </c>
      <c r="H239" s="97" t="s">
        <v>348</v>
      </c>
      <c r="I239" s="204"/>
      <c r="N239" s="320"/>
    </row>
    <row r="240" spans="1:14">
      <c r="A240" s="196" t="s">
        <v>71</v>
      </c>
      <c r="B240" s="197">
        <v>120</v>
      </c>
      <c r="C240" s="197">
        <v>30000</v>
      </c>
      <c r="D240" s="206">
        <f>EXP(1.6441*LN(B240)+0.4432)*0.986</f>
        <v>4024.7426500326324</v>
      </c>
      <c r="E240" s="203">
        <f>MAX(C240:D240)/MIN(C240:D240)</f>
        <v>7.453892735168238</v>
      </c>
      <c r="F240" s="207">
        <f>G240/254</f>
        <v>0.46062992125984253</v>
      </c>
      <c r="G240" s="204">
        <v>117</v>
      </c>
      <c r="H240" s="97" t="s">
        <v>347</v>
      </c>
      <c r="I240" s="204"/>
      <c r="N240" s="320"/>
    </row>
    <row r="241" spans="1:14">
      <c r="A241" s="196" t="s">
        <v>71</v>
      </c>
      <c r="B241" s="197">
        <v>30</v>
      </c>
      <c r="C241" s="197">
        <v>5050</v>
      </c>
      <c r="D241" s="206">
        <f>EXP(1.6441*LN(B241)+0.4432)*0.986</f>
        <v>411.99437272065938</v>
      </c>
      <c r="E241" s="203">
        <f>MAX(C241:D241)/MIN(C241:D241)</f>
        <v>12.257448971090689</v>
      </c>
      <c r="F241" s="207">
        <f>G241/254</f>
        <v>0.56692913385826771</v>
      </c>
      <c r="G241" s="204">
        <v>144</v>
      </c>
      <c r="H241" s="97" t="s">
        <v>346</v>
      </c>
      <c r="I241" s="204"/>
      <c r="N241" s="320"/>
    </row>
    <row r="242" spans="1:14">
      <c r="A242" s="196" t="s">
        <v>71</v>
      </c>
      <c r="B242" s="197">
        <v>30</v>
      </c>
      <c r="C242" s="197">
        <v>6400</v>
      </c>
      <c r="D242" s="206">
        <f>EXP(1.6441*LN(B242)+0.4432)*0.986</f>
        <v>411.99437272065938</v>
      </c>
      <c r="E242" s="203">
        <f>MAX(C242:D242)/MIN(C242:D242)</f>
        <v>15.534192755441664</v>
      </c>
      <c r="F242" s="207">
        <f>G242/254</f>
        <v>0.60236220472440949</v>
      </c>
      <c r="G242" s="204">
        <v>153</v>
      </c>
      <c r="H242" s="97" t="s">
        <v>346</v>
      </c>
      <c r="I242" s="204"/>
      <c r="N242" s="320"/>
    </row>
    <row r="243" spans="1:14">
      <c r="A243" s="196" t="s">
        <v>71</v>
      </c>
      <c r="B243" s="197">
        <v>118</v>
      </c>
      <c r="C243" s="197">
        <v>278000</v>
      </c>
      <c r="D243" s="206">
        <f>EXP(1.6441*LN(B243)+0.4432)*0.986</f>
        <v>3915.0511234984001</v>
      </c>
      <c r="E243" s="203">
        <f>MAX(C243:D243)/MIN(C243:D243)</f>
        <v>71.008012725919542</v>
      </c>
      <c r="F243" s="207">
        <f>G243/254</f>
        <v>0.78740157480314965</v>
      </c>
      <c r="G243" s="204">
        <v>200</v>
      </c>
      <c r="H243" s="97" t="s">
        <v>388</v>
      </c>
      <c r="I243" s="204"/>
      <c r="N243" s="320"/>
    </row>
    <row r="244" spans="1:14">
      <c r="A244" s="194" t="s">
        <v>71</v>
      </c>
      <c r="B244" s="195">
        <v>118</v>
      </c>
      <c r="C244" s="195">
        <v>300000</v>
      </c>
      <c r="D244" s="205">
        <f>EXP(1.6441*LN(B244)+0.4432)*0.986</f>
        <v>3915.0511234984001</v>
      </c>
      <c r="E244" s="208">
        <f>MAX(C244:D244)/MIN(C244:D244)</f>
        <v>76.627351862503104</v>
      </c>
      <c r="F244" s="208">
        <f>G244/254</f>
        <v>0.79527559055118113</v>
      </c>
      <c r="G244" s="209">
        <v>202</v>
      </c>
      <c r="H244" s="97" t="s">
        <v>388</v>
      </c>
      <c r="I244" s="223"/>
      <c r="N244" s="320"/>
    </row>
    <row r="245" spans="1:14">
      <c r="A245" s="196" t="s">
        <v>72</v>
      </c>
      <c r="B245" s="197">
        <v>52.6</v>
      </c>
      <c r="C245" s="197">
        <v>738</v>
      </c>
      <c r="D245" s="206">
        <f>EXP(0.8179*LN(B245)+0.1243)*0.986</f>
        <v>28.539999369555705</v>
      </c>
      <c r="E245" s="203">
        <f>MAX(C245:D245)/MIN(C245:D245)</f>
        <v>25.858444859926735</v>
      </c>
      <c r="F245" s="207">
        <f>G245/254</f>
        <v>0.68110236220472442</v>
      </c>
      <c r="G245" s="204">
        <v>173</v>
      </c>
      <c r="H245" s="97" t="s">
        <v>389</v>
      </c>
      <c r="I245" s="204"/>
      <c r="N245" s="341"/>
    </row>
    <row r="246" spans="1:14">
      <c r="A246" s="196" t="s">
        <v>72</v>
      </c>
      <c r="B246" s="197">
        <v>52.6</v>
      </c>
      <c r="C246" s="197">
        <v>1178</v>
      </c>
      <c r="D246" s="206">
        <f>EXP(0.8179*LN(B246)+0.1243)*0.986</f>
        <v>28.539999369555705</v>
      </c>
      <c r="E246" s="203">
        <f>MAX(C246:D246)/MIN(C246:D246)</f>
        <v>41.27540385500501</v>
      </c>
      <c r="F246" s="207">
        <f>G246/254</f>
        <v>0.74409448818897639</v>
      </c>
      <c r="G246" s="204">
        <v>189</v>
      </c>
      <c r="H246" s="97" t="s">
        <v>389</v>
      </c>
      <c r="I246" s="204"/>
      <c r="N246" s="341"/>
    </row>
    <row r="247" spans="1:14">
      <c r="A247" s="196" t="s">
        <v>72</v>
      </c>
      <c r="B247" s="197">
        <v>46.8</v>
      </c>
      <c r="C247" s="197">
        <v>1550</v>
      </c>
      <c r="D247" s="206">
        <f>EXP(0.8179*LN(B247)+0.1243)*0.986</f>
        <v>25.93903423036323</v>
      </c>
      <c r="E247" s="203">
        <f>MAX(C247:D247)/MIN(C247:D247)</f>
        <v>59.75550154390983</v>
      </c>
      <c r="F247" s="207">
        <f>G247/254</f>
        <v>0.77165354330708658</v>
      </c>
      <c r="G247" s="204">
        <v>196</v>
      </c>
      <c r="H247" s="97" t="s">
        <v>371</v>
      </c>
      <c r="I247" s="204"/>
      <c r="N247" s="341"/>
    </row>
    <row r="248" spans="1:14">
      <c r="A248" s="196" t="s">
        <v>72</v>
      </c>
      <c r="B248" s="197">
        <v>170</v>
      </c>
      <c r="C248" s="197">
        <v>4980</v>
      </c>
      <c r="D248" s="206">
        <f>EXP(0.8179*LN(B248)+0.1243)*0.986</f>
        <v>74.497876176703528</v>
      </c>
      <c r="E248" s="203">
        <f>MAX(C248:D248)/MIN(C248:D248)</f>
        <v>66.847543253284201</v>
      </c>
      <c r="F248" s="207">
        <f>G248/254</f>
        <v>0.78346456692913391</v>
      </c>
      <c r="G248" s="204">
        <v>199</v>
      </c>
      <c r="H248" s="97" t="s">
        <v>371</v>
      </c>
      <c r="I248" s="204"/>
      <c r="N248" s="341"/>
    </row>
    <row r="249" spans="1:14">
      <c r="A249" s="196" t="s">
        <v>72</v>
      </c>
      <c r="B249" s="197">
        <v>178</v>
      </c>
      <c r="C249" s="197">
        <v>6140</v>
      </c>
      <c r="D249" s="206">
        <f>EXP(0.8179*LN(B249)+0.1243)*0.986</f>
        <v>77.35319186605922</v>
      </c>
      <c r="E249" s="203">
        <f>MAX(C249:D249)/MIN(C249:D249)</f>
        <v>79.376168608939963</v>
      </c>
      <c r="F249" s="207">
        <f>G249/254</f>
        <v>0.79921259842519687</v>
      </c>
      <c r="G249" s="204">
        <v>203</v>
      </c>
      <c r="H249" s="97" t="s">
        <v>371</v>
      </c>
      <c r="I249" s="204"/>
      <c r="N249" s="341"/>
    </row>
    <row r="250" spans="1:14">
      <c r="A250" s="196" t="s">
        <v>72</v>
      </c>
      <c r="B250" s="197">
        <v>47</v>
      </c>
      <c r="C250" s="197">
        <v>2120</v>
      </c>
      <c r="D250" s="206">
        <f>EXP(0.8179*LN(B250)+0.1243)*0.986</f>
        <v>26.0296636959438</v>
      </c>
      <c r="E250" s="203">
        <f>MAX(C250:D250)/MIN(C250:D250)</f>
        <v>81.445539395515098</v>
      </c>
      <c r="F250" s="207">
        <f>G250/254</f>
        <v>0.80314960629921262</v>
      </c>
      <c r="G250" s="204">
        <v>204</v>
      </c>
      <c r="H250" s="97" t="s">
        <v>371</v>
      </c>
      <c r="I250" s="204"/>
      <c r="N250" s="320"/>
    </row>
    <row r="251" spans="1:14">
      <c r="A251" s="196" t="s">
        <v>72</v>
      </c>
      <c r="B251" s="197">
        <v>179</v>
      </c>
      <c r="C251" s="197">
        <v>6980</v>
      </c>
      <c r="D251" s="206">
        <f>EXP(0.8179*LN(B251)+0.1243)*0.986</f>
        <v>77.708444027975759</v>
      </c>
      <c r="E251" s="207">
        <f>MAX(C251:D251)/MIN(C251:D251)</f>
        <v>89.822928348522012</v>
      </c>
      <c r="F251" s="207">
        <f>G251/254</f>
        <v>0.81889763779527558</v>
      </c>
      <c r="G251" s="223">
        <v>208</v>
      </c>
      <c r="H251" s="97" t="s">
        <v>371</v>
      </c>
      <c r="I251" s="204"/>
      <c r="N251" s="320"/>
    </row>
    <row r="252" spans="1:14">
      <c r="A252" s="194" t="s">
        <v>72</v>
      </c>
      <c r="B252" s="195">
        <v>44.4</v>
      </c>
      <c r="C252" s="195">
        <v>2420</v>
      </c>
      <c r="D252" s="205">
        <f>EXP(0.8179*LN(B252)+0.1243)*0.986</f>
        <v>24.845872388352305</v>
      </c>
      <c r="E252" s="208">
        <f>MAX(C252:D252)/MIN(C252:D252)</f>
        <v>97.400484159875631</v>
      </c>
      <c r="F252" s="208">
        <f>G252/254</f>
        <v>0.82283464566929132</v>
      </c>
      <c r="G252" s="209">
        <v>209</v>
      </c>
      <c r="H252" s="97" t="s">
        <v>371</v>
      </c>
      <c r="I252" s="223"/>
      <c r="N252" s="320"/>
    </row>
    <row r="253" spans="1:14">
      <c r="N253" s="320"/>
    </row>
    <row r="254" spans="1:14">
      <c r="N254" s="320"/>
    </row>
    <row r="255" spans="1:14">
      <c r="N255" s="320"/>
    </row>
    <row r="256" spans="1:14">
      <c r="N256" s="320"/>
    </row>
    <row r="270" spans="15:15">
      <c r="O270" s="320"/>
    </row>
    <row r="271" spans="15:15">
      <c r="O271" s="320"/>
    </row>
    <row r="272" spans="15:15">
      <c r="O272" s="320"/>
    </row>
    <row r="273" spans="8:15">
      <c r="O273" s="320"/>
    </row>
    <row r="274" spans="8:15">
      <c r="O274" s="320"/>
    </row>
    <row r="275" spans="8:15">
      <c r="O275" s="320"/>
    </row>
    <row r="276" spans="8:15">
      <c r="O276" s="320"/>
    </row>
    <row r="277" spans="8:15">
      <c r="O277" s="320"/>
    </row>
    <row r="278" spans="8:15">
      <c r="O278" s="320"/>
    </row>
    <row r="279" spans="8:15">
      <c r="O279" s="320"/>
    </row>
    <row r="280" spans="8:15">
      <c r="O280" s="320"/>
    </row>
    <row r="283" spans="8:15">
      <c r="H283" s="327"/>
      <c r="M283" s="321"/>
      <c r="N283" s="342"/>
      <c r="O283" s="342"/>
    </row>
    <row r="284" spans="8:15">
      <c r="H284" s="327"/>
      <c r="M284" s="321"/>
      <c r="N284" s="342"/>
      <c r="O284" s="342"/>
    </row>
    <row r="285" spans="8:15">
      <c r="H285" s="327"/>
      <c r="M285" s="321"/>
      <c r="N285" s="342"/>
      <c r="O285" s="342"/>
    </row>
    <row r="286" spans="8:15">
      <c r="H286" s="327"/>
      <c r="M286" s="321"/>
      <c r="N286" s="342"/>
      <c r="O286" s="342"/>
    </row>
    <row r="287" spans="8:15">
      <c r="H287" s="327"/>
      <c r="M287" s="321"/>
      <c r="N287" s="342"/>
      <c r="O287" s="342"/>
    </row>
    <row r="288" spans="8:15">
      <c r="H288" s="327"/>
      <c r="M288" s="321"/>
      <c r="N288" s="342"/>
      <c r="O288" s="342"/>
    </row>
    <row r="289" spans="8:15">
      <c r="H289" s="327"/>
      <c r="M289" s="321"/>
      <c r="N289" s="342"/>
      <c r="O289" s="342"/>
    </row>
  </sheetData>
  <sortState xmlns:xlrd2="http://schemas.microsoft.com/office/spreadsheetml/2017/richdata2" ref="A2:H252">
    <sortCondition ref="A2:A252"/>
    <sortCondition ref="G2:G252"/>
  </sortState>
  <mergeCells count="1">
    <mergeCell ref="J11:K1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6"/>
  <cols>
    <col min="1" max="1" width="27.5" style="198" bestFit="1" customWidth="1"/>
    <col min="2" max="2" width="5.33203125" style="199" bestFit="1" customWidth="1"/>
    <col min="3" max="3" width="8.83203125" style="199" bestFit="1" customWidth="1"/>
    <col min="4" max="4" width="6.6640625" style="199" bestFit="1" customWidth="1"/>
    <col min="5" max="5" width="12" style="200" customWidth="1"/>
    <col min="6" max="6" width="10.83203125" style="199" customWidth="1"/>
    <col min="7" max="7" width="12.1640625" style="199" customWidth="1"/>
    <col min="8" max="11" width="8.33203125" style="220" customWidth="1"/>
    <col min="12" max="12" width="29.5" style="220" bestFit="1" customWidth="1"/>
    <col min="13" max="13" width="12.1640625" style="97" customWidth="1"/>
    <col min="14" max="14" width="33.5" style="97" bestFit="1" customWidth="1"/>
    <col min="15" max="15" width="29.6640625" style="97" bestFit="1" customWidth="1"/>
    <col min="16" max="17" width="10.83203125" style="97"/>
    <col min="18" max="18" width="24.1640625" style="97" bestFit="1" customWidth="1"/>
    <col min="19" max="23" width="8.83203125"/>
    <col min="24" max="24" width="31.5" style="316" bestFit="1" customWidth="1"/>
    <col min="25" max="16384" width="10.83203125" style="97"/>
  </cols>
  <sheetData>
    <row r="1" spans="1:24" ht="32" customHeight="1">
      <c r="A1" s="211" t="s">
        <v>0</v>
      </c>
      <c r="B1" s="212" t="s">
        <v>4</v>
      </c>
      <c r="C1" s="213" t="s">
        <v>5</v>
      </c>
      <c r="D1" s="212" t="s">
        <v>89</v>
      </c>
      <c r="E1" s="214" t="s">
        <v>286</v>
      </c>
      <c r="F1" s="214" t="s">
        <v>287</v>
      </c>
      <c r="G1" s="215" t="s">
        <v>100</v>
      </c>
      <c r="H1" s="215" t="s">
        <v>219</v>
      </c>
      <c r="I1" s="215" t="s">
        <v>220</v>
      </c>
      <c r="J1" s="218" t="s">
        <v>221</v>
      </c>
      <c r="K1" s="218" t="s">
        <v>222</v>
      </c>
      <c r="L1" s="218" t="s">
        <v>301</v>
      </c>
      <c r="N1" s="210" t="s">
        <v>0</v>
      </c>
      <c r="O1" s="210" t="s">
        <v>299</v>
      </c>
      <c r="S1" s="306"/>
      <c r="T1" s="309"/>
      <c r="U1" s="309"/>
      <c r="V1" s="306"/>
      <c r="W1" s="306"/>
      <c r="X1" s="317"/>
    </row>
    <row r="2" spans="1:24">
      <c r="A2" s="270" t="s">
        <v>38</v>
      </c>
      <c r="B2" s="271">
        <v>8</v>
      </c>
      <c r="C2" s="271">
        <v>183.08930049215184</v>
      </c>
      <c r="D2" s="271">
        <v>9.8699999999999992</v>
      </c>
      <c r="E2" s="223">
        <v>254</v>
      </c>
      <c r="F2" s="217">
        <f>EXP(0.391*LN(D2) + 4.643)</f>
        <v>254.21857861689492</v>
      </c>
      <c r="G2" s="216">
        <f>MAX(E2:F2)/MIN(E2:F2)</f>
        <v>1.0008605457358069</v>
      </c>
      <c r="H2" s="278">
        <f>I2/33</f>
        <v>3.0303030303030304E-2</v>
      </c>
      <c r="I2" s="219">
        <v>1</v>
      </c>
      <c r="J2" s="221">
        <f>K2/78</f>
        <v>1.282051282051282E-2</v>
      </c>
      <c r="K2" s="219">
        <v>1</v>
      </c>
      <c r="L2" s="312" t="s">
        <v>305</v>
      </c>
      <c r="N2" s="60" t="s">
        <v>38</v>
      </c>
      <c r="O2" s="192" t="s">
        <v>216</v>
      </c>
      <c r="S2" s="307"/>
      <c r="T2" s="310"/>
      <c r="U2" s="313"/>
      <c r="V2" s="312"/>
      <c r="W2" s="312"/>
      <c r="X2" s="321"/>
    </row>
    <row r="3" spans="1:24">
      <c r="A3" s="270" t="s">
        <v>38</v>
      </c>
      <c r="B3" s="271">
        <v>7.7</v>
      </c>
      <c r="C3" s="271">
        <v>65.203377740818169</v>
      </c>
      <c r="D3" s="271">
        <v>1</v>
      </c>
      <c r="E3" s="204">
        <v>100</v>
      </c>
      <c r="F3" s="217">
        <f>EXP(0.391*LN(D3) + 4.643)</f>
        <v>103.85544704189422</v>
      </c>
      <c r="G3" s="216">
        <f>MAX(E3:F3)/MIN(E3:F3)</f>
        <v>1.0385544704189422</v>
      </c>
      <c r="H3" s="279">
        <f>I3/33</f>
        <v>6.0606060606060608E-2</v>
      </c>
      <c r="I3" s="219">
        <v>2</v>
      </c>
      <c r="J3" s="221">
        <f>K3/78</f>
        <v>5.128205128205128E-2</v>
      </c>
      <c r="K3" s="219">
        <v>4</v>
      </c>
      <c r="L3" s="312" t="s">
        <v>313</v>
      </c>
      <c r="N3" s="60" t="s">
        <v>26</v>
      </c>
      <c r="O3" s="192" t="s">
        <v>218</v>
      </c>
      <c r="S3" s="307"/>
      <c r="T3" s="310"/>
      <c r="U3" s="313"/>
      <c r="V3" s="312"/>
      <c r="W3" s="312"/>
      <c r="X3" s="321"/>
    </row>
    <row r="4" spans="1:24">
      <c r="A4" s="270" t="s">
        <v>38</v>
      </c>
      <c r="B4" s="271">
        <v>7.7</v>
      </c>
      <c r="C4" s="271">
        <v>65.203377740818169</v>
      </c>
      <c r="D4" s="271">
        <v>1</v>
      </c>
      <c r="E4" s="204">
        <v>100</v>
      </c>
      <c r="F4" s="217">
        <f>EXP(0.391*LN(D4) + 4.643)</f>
        <v>103.85544704189422</v>
      </c>
      <c r="G4" s="216">
        <f>MAX(E4:F4)/MIN(E4:F4)</f>
        <v>1.0385544704189422</v>
      </c>
      <c r="H4" s="279">
        <f>I4/33</f>
        <v>9.0909090909090912E-2</v>
      </c>
      <c r="I4" s="219">
        <v>3</v>
      </c>
      <c r="J4" s="221">
        <f>K4/78</f>
        <v>6.4102564102564097E-2</v>
      </c>
      <c r="K4" s="219">
        <v>5</v>
      </c>
      <c r="L4" s="312" t="s">
        <v>313</v>
      </c>
      <c r="N4" s="96" t="s">
        <v>54</v>
      </c>
      <c r="O4" s="192" t="s">
        <v>217</v>
      </c>
      <c r="S4" s="307"/>
      <c r="T4" s="310"/>
      <c r="U4" s="313"/>
      <c r="V4" s="311"/>
      <c r="W4" s="312"/>
      <c r="X4" s="321"/>
    </row>
    <row r="5" spans="1:24">
      <c r="A5" s="270" t="s">
        <v>38</v>
      </c>
      <c r="B5" s="271">
        <v>8</v>
      </c>
      <c r="C5" s="271">
        <v>189.30427457627138</v>
      </c>
      <c r="D5" s="271">
        <v>7.49</v>
      </c>
      <c r="E5" s="204">
        <v>244</v>
      </c>
      <c r="F5" s="217">
        <f>EXP(0.391*LN(D5) + 4.643)</f>
        <v>228.21893280637431</v>
      </c>
      <c r="G5" s="216">
        <f>MAX(E5:F5)/MIN(E5:F5)</f>
        <v>1.0691488081184513</v>
      </c>
      <c r="H5" s="279">
        <f>I5/33</f>
        <v>0.12121212121212122</v>
      </c>
      <c r="I5" s="219">
        <v>4</v>
      </c>
      <c r="J5" s="221">
        <f>K5/78</f>
        <v>8.9743589743589744E-2</v>
      </c>
      <c r="K5" s="219">
        <v>7</v>
      </c>
      <c r="L5" s="312" t="s">
        <v>305</v>
      </c>
      <c r="S5" s="307"/>
      <c r="T5" s="310"/>
      <c r="U5" s="313"/>
      <c r="V5" s="311"/>
      <c r="W5" s="312"/>
      <c r="X5" s="321"/>
    </row>
    <row r="6" spans="1:24">
      <c r="A6" s="270" t="s">
        <v>38</v>
      </c>
      <c r="B6" s="271">
        <v>6</v>
      </c>
      <c r="C6" s="271">
        <v>50.067216268867867</v>
      </c>
      <c r="D6" s="271">
        <v>5</v>
      </c>
      <c r="E6" s="204">
        <v>168</v>
      </c>
      <c r="F6" s="217">
        <f>EXP(0.391*LN(D6) + 4.643)</f>
        <v>194.86172875970632</v>
      </c>
      <c r="G6" s="216">
        <f>MAX(E6:F6)/MIN(E6:F6)</f>
        <v>1.1598912426172996</v>
      </c>
      <c r="H6" s="279">
        <f>I6/33</f>
        <v>0.15151515151515152</v>
      </c>
      <c r="I6" s="219">
        <v>5</v>
      </c>
      <c r="J6" s="221">
        <f>K6/78</f>
        <v>0.16666666666666666</v>
      </c>
      <c r="K6" s="219">
        <v>13</v>
      </c>
      <c r="L6" s="312" t="s">
        <v>314</v>
      </c>
      <c r="N6" s="285" t="s">
        <v>225</v>
      </c>
      <c r="O6" s="285"/>
      <c r="S6" s="307"/>
      <c r="T6" s="310"/>
      <c r="U6" s="313"/>
      <c r="V6" s="311"/>
      <c r="W6" s="312"/>
      <c r="X6" s="321"/>
    </row>
    <row r="7" spans="1:24">
      <c r="A7" s="270" t="s">
        <v>38</v>
      </c>
      <c r="B7" s="271">
        <v>6.6</v>
      </c>
      <c r="C7" s="271">
        <v>125.17199387601144</v>
      </c>
      <c r="D7" s="271">
        <v>0.3</v>
      </c>
      <c r="E7" s="223">
        <v>54.273699999999998</v>
      </c>
      <c r="F7" s="217">
        <f>EXP(0.391*LN(D7) + 4.643)</f>
        <v>64.861007454166227</v>
      </c>
      <c r="G7" s="216">
        <f>MAX(E7:F7)/MIN(E7:F7)</f>
        <v>1.1950725204687764</v>
      </c>
      <c r="H7" s="279">
        <f>I7/33</f>
        <v>0.18181818181818182</v>
      </c>
      <c r="I7" s="219">
        <v>6</v>
      </c>
      <c r="J7" s="279">
        <f>K7/78</f>
        <v>0.19230769230769232</v>
      </c>
      <c r="K7" s="219">
        <v>15</v>
      </c>
      <c r="L7" s="312" t="s">
        <v>314</v>
      </c>
      <c r="N7" s="228" t="s">
        <v>223</v>
      </c>
      <c r="O7" s="229" t="s">
        <v>224</v>
      </c>
      <c r="S7" s="307"/>
      <c r="T7" s="310"/>
      <c r="U7" s="313"/>
      <c r="V7" s="311"/>
      <c r="W7" s="312"/>
    </row>
    <row r="8" spans="1:24">
      <c r="A8" s="270" t="s">
        <v>38</v>
      </c>
      <c r="B8" s="271">
        <v>6.5</v>
      </c>
      <c r="C8" s="271">
        <v>50.067216268867867</v>
      </c>
      <c r="D8" s="271">
        <v>5</v>
      </c>
      <c r="E8" s="204">
        <v>161</v>
      </c>
      <c r="F8" s="217">
        <f>EXP(0.391*LN(D8) + 4.643)</f>
        <v>194.86172875970632</v>
      </c>
      <c r="G8" s="216">
        <f>MAX(E8:F8)/MIN(E8:F8)</f>
        <v>1.2103212966441386</v>
      </c>
      <c r="H8" s="279">
        <f>I8/33</f>
        <v>0.21212121212121213</v>
      </c>
      <c r="I8" s="219">
        <v>7</v>
      </c>
      <c r="J8" s="221">
        <f>K8/78</f>
        <v>0.20512820512820512</v>
      </c>
      <c r="K8" s="219">
        <v>16</v>
      </c>
      <c r="L8" s="312" t="s">
        <v>314</v>
      </c>
      <c r="N8" s="231">
        <v>0.54</v>
      </c>
      <c r="O8" s="232">
        <v>3.83</v>
      </c>
      <c r="S8" s="307"/>
      <c r="T8" s="310"/>
      <c r="U8" s="313"/>
      <c r="V8" s="311"/>
      <c r="W8" s="312"/>
    </row>
    <row r="9" spans="1:24">
      <c r="A9" s="270" t="s">
        <v>38</v>
      </c>
      <c r="B9" s="271">
        <v>6.6</v>
      </c>
      <c r="C9" s="271">
        <v>50.098339151963692</v>
      </c>
      <c r="D9" s="271">
        <v>0.3</v>
      </c>
      <c r="E9" s="204">
        <v>79</v>
      </c>
      <c r="F9" s="217">
        <f>EXP(0.391*LN(D9) + 4.643)</f>
        <v>64.861007454166227</v>
      </c>
      <c r="G9" s="216">
        <f>MAX(E9:F9)/MIN(E9:F9)</f>
        <v>1.2179890985477682</v>
      </c>
      <c r="H9" s="279">
        <f>I9/33</f>
        <v>0.24242424242424243</v>
      </c>
      <c r="I9" s="219">
        <v>8</v>
      </c>
      <c r="J9" s="221">
        <f>K9/78</f>
        <v>0.21794871794871795</v>
      </c>
      <c r="K9" s="219">
        <v>17</v>
      </c>
      <c r="L9" s="312" t="s">
        <v>314</v>
      </c>
      <c r="N9" s="224"/>
      <c r="S9" s="307"/>
      <c r="T9" s="314"/>
      <c r="U9" s="343"/>
      <c r="V9" s="344"/>
      <c r="W9" s="312"/>
    </row>
    <row r="10" spans="1:24">
      <c r="A10" s="270" t="s">
        <v>38</v>
      </c>
      <c r="B10" s="271">
        <v>7</v>
      </c>
      <c r="C10" s="271">
        <v>50.067216268867867</v>
      </c>
      <c r="D10" s="271">
        <v>5</v>
      </c>
      <c r="E10" s="204">
        <v>154</v>
      </c>
      <c r="F10" s="217">
        <f>EXP(0.391*LN(D10) + 4.643)</f>
        <v>194.86172875970632</v>
      </c>
      <c r="G10" s="216">
        <f>MAX(E10:F10)/MIN(E10:F10)</f>
        <v>1.265335901037054</v>
      </c>
      <c r="H10" s="279">
        <f>I10/33</f>
        <v>0.27272727272727271</v>
      </c>
      <c r="I10" s="219">
        <v>9</v>
      </c>
      <c r="J10" s="221">
        <f>K10/78</f>
        <v>0.24358974358974358</v>
      </c>
      <c r="K10" s="219">
        <v>19</v>
      </c>
      <c r="L10" s="312" t="s">
        <v>314</v>
      </c>
      <c r="N10" s="286" t="s">
        <v>226</v>
      </c>
      <c r="O10" s="287"/>
      <c r="S10" s="307"/>
      <c r="T10" s="310"/>
      <c r="U10" s="313"/>
      <c r="V10" s="312"/>
      <c r="W10" s="312"/>
    </row>
    <row r="11" spans="1:24">
      <c r="A11" s="270" t="s">
        <v>38</v>
      </c>
      <c r="B11" s="271">
        <v>6.6</v>
      </c>
      <c r="C11" s="271">
        <v>75.102142137915735</v>
      </c>
      <c r="D11" s="271">
        <v>0.3</v>
      </c>
      <c r="E11" s="204">
        <v>49.696400000000004</v>
      </c>
      <c r="F11" s="217">
        <f>EXP(0.391*LN(D11) + 4.643)</f>
        <v>64.861007454166227</v>
      </c>
      <c r="G11" s="216">
        <f>MAX(E11:F11)/MIN(E11:F11)</f>
        <v>1.3051449894593214</v>
      </c>
      <c r="H11" s="279">
        <f>I11/33</f>
        <v>0.30303030303030304</v>
      </c>
      <c r="I11" s="219">
        <v>10</v>
      </c>
      <c r="J11" s="221">
        <f>K11/78</f>
        <v>0.26923076923076922</v>
      </c>
      <c r="K11" s="219">
        <v>21</v>
      </c>
      <c r="L11" s="312" t="s">
        <v>314</v>
      </c>
      <c r="N11" s="228" t="s">
        <v>223</v>
      </c>
      <c r="O11" s="229" t="s">
        <v>224</v>
      </c>
      <c r="S11" s="307"/>
      <c r="T11" s="310"/>
      <c r="U11" s="313"/>
      <c r="V11" s="311"/>
      <c r="W11" s="312"/>
    </row>
    <row r="12" spans="1:24">
      <c r="A12" s="270" t="s">
        <v>38</v>
      </c>
      <c r="B12" s="271">
        <v>6.6</v>
      </c>
      <c r="C12" s="271">
        <v>50.098339151963692</v>
      </c>
      <c r="D12" s="271">
        <v>0.3</v>
      </c>
      <c r="E12" s="204">
        <v>47.734699999999997</v>
      </c>
      <c r="F12" s="217">
        <f>EXP(0.391*LN(D12) + 4.643)</f>
        <v>64.861007454166227</v>
      </c>
      <c r="G12" s="216">
        <f>MAX(E12:F12)/MIN(E12:F12)</f>
        <v>1.358781084916554</v>
      </c>
      <c r="H12" s="279">
        <f>I12/33</f>
        <v>0.33333333333333331</v>
      </c>
      <c r="I12" s="219">
        <v>11</v>
      </c>
      <c r="J12" s="221">
        <f>K12/78</f>
        <v>0.29487179487179488</v>
      </c>
      <c r="K12" s="219">
        <v>23</v>
      </c>
      <c r="L12" s="312" t="s">
        <v>314</v>
      </c>
      <c r="N12" s="231">
        <v>0.33</v>
      </c>
      <c r="O12" s="232">
        <v>5.47</v>
      </c>
      <c r="S12" s="307"/>
      <c r="T12" s="310"/>
      <c r="U12" s="313"/>
      <c r="V12" s="311"/>
      <c r="W12" s="312"/>
    </row>
    <row r="13" spans="1:24">
      <c r="A13" s="270" t="s">
        <v>38</v>
      </c>
      <c r="B13" s="271">
        <v>6.6</v>
      </c>
      <c r="C13" s="271">
        <v>75.099506668687866</v>
      </c>
      <c r="D13" s="271">
        <v>0.3</v>
      </c>
      <c r="E13" s="204">
        <v>47.734699999999997</v>
      </c>
      <c r="F13" s="217">
        <f>EXP(0.391*LN(D13) + 4.643)</f>
        <v>64.861007454166227</v>
      </c>
      <c r="G13" s="216">
        <f>MAX(E13:F13)/MIN(E13:F13)</f>
        <v>1.358781084916554</v>
      </c>
      <c r="H13" s="279">
        <f>I13/33</f>
        <v>0.36363636363636365</v>
      </c>
      <c r="I13" s="219">
        <v>12</v>
      </c>
      <c r="J13" s="221">
        <f>K13/78</f>
        <v>0.30769230769230771</v>
      </c>
      <c r="K13" s="219">
        <v>24</v>
      </c>
      <c r="L13" s="312" t="s">
        <v>314</v>
      </c>
      <c r="S13" s="307"/>
      <c r="T13" s="314"/>
      <c r="U13" s="343"/>
      <c r="V13" s="344"/>
      <c r="W13" s="312"/>
    </row>
    <row r="14" spans="1:24">
      <c r="A14" s="270" t="s">
        <v>38</v>
      </c>
      <c r="B14" s="271">
        <v>7.7</v>
      </c>
      <c r="C14" s="271">
        <v>46.992560431986078</v>
      </c>
      <c r="D14" s="271">
        <v>1</v>
      </c>
      <c r="E14" s="204">
        <v>74</v>
      </c>
      <c r="F14" s="217">
        <f>EXP(0.391*LN(D14) + 4.643)</f>
        <v>103.85544704189422</v>
      </c>
      <c r="G14" s="216">
        <f>MAX(E14:F14)/MIN(E14:F14)</f>
        <v>1.4034519870526245</v>
      </c>
      <c r="H14" s="279">
        <f>I14/33</f>
        <v>0.39393939393939392</v>
      </c>
      <c r="I14" s="219">
        <v>13</v>
      </c>
      <c r="J14" s="221">
        <f>K14/78</f>
        <v>0.34615384615384615</v>
      </c>
      <c r="K14" s="219">
        <v>27</v>
      </c>
      <c r="L14" s="312" t="s">
        <v>312</v>
      </c>
      <c r="N14" s="285" t="s">
        <v>227</v>
      </c>
      <c r="O14" s="285"/>
      <c r="S14" s="307"/>
      <c r="T14" s="310"/>
      <c r="U14" s="313"/>
      <c r="V14" s="311"/>
      <c r="W14" s="312"/>
    </row>
    <row r="15" spans="1:24">
      <c r="A15" s="270" t="s">
        <v>38</v>
      </c>
      <c r="B15" s="271">
        <v>6.6</v>
      </c>
      <c r="C15" s="271">
        <v>225.31169735220288</v>
      </c>
      <c r="D15" s="271">
        <v>0.3</v>
      </c>
      <c r="E15" s="204">
        <v>92.1999</v>
      </c>
      <c r="F15" s="217">
        <f>EXP(0.391*LN(D15) + 4.643)</f>
        <v>64.861007454166227</v>
      </c>
      <c r="G15" s="216">
        <f>MAX(E15:F15)/MIN(E15:F15)</f>
        <v>1.4214996593315743</v>
      </c>
      <c r="H15" s="279">
        <f>I15/33</f>
        <v>0.42424242424242425</v>
      </c>
      <c r="I15" s="219">
        <v>14</v>
      </c>
      <c r="J15" s="221">
        <f>K15/78</f>
        <v>0.35897435897435898</v>
      </c>
      <c r="K15" s="219">
        <v>28</v>
      </c>
      <c r="L15" s="312" t="s">
        <v>314</v>
      </c>
      <c r="N15" s="228" t="s">
        <v>223</v>
      </c>
      <c r="O15" s="229" t="s">
        <v>224</v>
      </c>
      <c r="S15" s="307"/>
      <c r="T15" s="310"/>
      <c r="U15" s="313"/>
      <c r="V15" s="312"/>
      <c r="W15" s="312"/>
    </row>
    <row r="16" spans="1:24">
      <c r="A16" s="270" t="s">
        <v>38</v>
      </c>
      <c r="B16" s="271">
        <v>7.5</v>
      </c>
      <c r="C16" s="271">
        <v>50.067216268867867</v>
      </c>
      <c r="D16" s="271">
        <v>5</v>
      </c>
      <c r="E16" s="204">
        <v>133</v>
      </c>
      <c r="F16" s="217">
        <f>EXP(0.391*LN(D16) + 4.643)</f>
        <v>194.86172875970632</v>
      </c>
      <c r="G16" s="216">
        <f>MAX(E16:F16)/MIN(E16:F16)</f>
        <v>1.4651257801481679</v>
      </c>
      <c r="H16" s="279">
        <f>I16/33</f>
        <v>0.45454545454545453</v>
      </c>
      <c r="I16" s="219">
        <v>15</v>
      </c>
      <c r="J16" s="221">
        <f>K16/78</f>
        <v>0.37179487179487181</v>
      </c>
      <c r="K16" s="219">
        <v>29</v>
      </c>
      <c r="L16" s="312" t="s">
        <v>314</v>
      </c>
      <c r="N16" s="231">
        <v>0.64</v>
      </c>
      <c r="O16" s="232">
        <v>2.4500000000000002</v>
      </c>
      <c r="S16" s="307"/>
      <c r="T16" s="310"/>
      <c r="U16" s="313"/>
      <c r="V16" s="312"/>
      <c r="W16" s="312"/>
    </row>
    <row r="17" spans="1:23">
      <c r="A17" s="270" t="s">
        <v>38</v>
      </c>
      <c r="B17" s="271">
        <v>6.6</v>
      </c>
      <c r="C17" s="271">
        <v>425.60345193204262</v>
      </c>
      <c r="D17" s="271">
        <v>0.3</v>
      </c>
      <c r="E17" s="204">
        <v>98.084999999999994</v>
      </c>
      <c r="F17" s="217">
        <f>EXP(0.391*LN(D17) + 4.643)</f>
        <v>64.861007454166227</v>
      </c>
      <c r="G17" s="216">
        <f>MAX(E17:F17)/MIN(E17:F17)</f>
        <v>1.5122336801399727</v>
      </c>
      <c r="H17" s="279">
        <f>I17/33</f>
        <v>0.48484848484848486</v>
      </c>
      <c r="I17" s="219">
        <v>16</v>
      </c>
      <c r="J17" s="221">
        <f>K17/78</f>
        <v>0.38461538461538464</v>
      </c>
      <c r="K17" s="219">
        <v>30</v>
      </c>
      <c r="L17" s="312" t="s">
        <v>314</v>
      </c>
      <c r="S17" s="307"/>
      <c r="T17" s="310"/>
      <c r="U17" s="313"/>
      <c r="V17" s="311"/>
      <c r="W17" s="312"/>
    </row>
    <row r="18" spans="1:23">
      <c r="A18" s="270" t="s">
        <v>38</v>
      </c>
      <c r="B18" s="271">
        <v>6.8</v>
      </c>
      <c r="C18" s="271">
        <v>122.44909045582673</v>
      </c>
      <c r="D18" s="271">
        <v>17.3</v>
      </c>
      <c r="E18" s="223">
        <v>491</v>
      </c>
      <c r="F18" s="280">
        <f>EXP(0.391*LN(D18) + 4.643)</f>
        <v>316.59591418972025</v>
      </c>
      <c r="G18" s="216">
        <f>MAX(E18:F18)/MIN(E18:F18)</f>
        <v>1.5508728255594859</v>
      </c>
      <c r="H18" s="279">
        <f>I18/33</f>
        <v>0.51515151515151514</v>
      </c>
      <c r="I18" s="354">
        <v>17</v>
      </c>
      <c r="J18" s="279">
        <f>K18/78</f>
        <v>0.41025641025641024</v>
      </c>
      <c r="K18" s="354">
        <v>32</v>
      </c>
      <c r="L18" s="312" t="s">
        <v>305</v>
      </c>
      <c r="N18" s="285" t="s">
        <v>228</v>
      </c>
      <c r="O18" s="285"/>
      <c r="S18" s="307"/>
      <c r="T18" s="310"/>
      <c r="U18" s="313"/>
      <c r="V18" s="311"/>
      <c r="W18" s="312"/>
    </row>
    <row r="19" spans="1:23">
      <c r="A19" s="270" t="s">
        <v>38</v>
      </c>
      <c r="B19" s="271">
        <v>7.3</v>
      </c>
      <c r="C19" s="271">
        <v>26.490173073204637</v>
      </c>
      <c r="D19" s="271">
        <v>2.5299999999999998</v>
      </c>
      <c r="E19" s="204">
        <v>94.5</v>
      </c>
      <c r="F19" s="217">
        <f>EXP(0.391*LN(D19) + 4.643)</f>
        <v>149.29642323676237</v>
      </c>
      <c r="G19" s="216">
        <f>MAX(E19:F19)/MIN(E19:F19)</f>
        <v>1.57985633054775</v>
      </c>
      <c r="H19" s="279">
        <f>I19/33</f>
        <v>0.54545454545454541</v>
      </c>
      <c r="I19" s="219">
        <v>18</v>
      </c>
      <c r="J19" s="221">
        <f>K19/78</f>
        <v>0.4358974358974359</v>
      </c>
      <c r="K19" s="219">
        <v>34</v>
      </c>
      <c r="L19" s="312" t="s">
        <v>305</v>
      </c>
      <c r="N19" s="228" t="s">
        <v>223</v>
      </c>
      <c r="O19" s="229" t="s">
        <v>224</v>
      </c>
      <c r="S19" s="307"/>
      <c r="T19" s="310"/>
      <c r="U19" s="313"/>
      <c r="V19" s="311"/>
      <c r="W19" s="312"/>
    </row>
    <row r="20" spans="1:23">
      <c r="A20" s="270" t="s">
        <v>38</v>
      </c>
      <c r="B20" s="271">
        <v>6.6</v>
      </c>
      <c r="C20" s="271">
        <v>50.067216268867867</v>
      </c>
      <c r="D20" s="271">
        <v>0.3</v>
      </c>
      <c r="E20" s="204">
        <v>39.234000000000002</v>
      </c>
      <c r="F20" s="217">
        <f>EXP(0.391*LN(D20) + 4.643)</f>
        <v>64.861007454166227</v>
      </c>
      <c r="G20" s="216">
        <f>MAX(E20:F20)/MIN(E20:F20)</f>
        <v>1.6531836533151405</v>
      </c>
      <c r="H20" s="279">
        <f>I20/33</f>
        <v>0.5757575757575758</v>
      </c>
      <c r="I20" s="219">
        <v>19</v>
      </c>
      <c r="J20" s="221">
        <f>K20/78</f>
        <v>0.47435897435897434</v>
      </c>
      <c r="K20" s="219">
        <v>37</v>
      </c>
      <c r="L20" s="312" t="s">
        <v>314</v>
      </c>
      <c r="N20" s="231">
        <v>0.7</v>
      </c>
      <c r="O20" s="232">
        <v>3.5</v>
      </c>
      <c r="S20" s="307"/>
      <c r="T20" s="310"/>
      <c r="U20" s="313"/>
      <c r="V20" s="311"/>
      <c r="W20" s="312"/>
    </row>
    <row r="21" spans="1:23">
      <c r="A21" s="270" t="s">
        <v>38</v>
      </c>
      <c r="B21" s="271">
        <v>8</v>
      </c>
      <c r="C21" s="271">
        <v>50.067216268867867</v>
      </c>
      <c r="D21" s="271">
        <v>5</v>
      </c>
      <c r="E21" s="204">
        <v>117</v>
      </c>
      <c r="F21" s="217">
        <f>EXP(0.391*LN(D21) + 4.643)</f>
        <v>194.86172875970632</v>
      </c>
      <c r="G21" s="216">
        <f>MAX(E21:F21)/MIN(E21:F21)</f>
        <v>1.6654848611940711</v>
      </c>
      <c r="H21" s="279">
        <f>I21/33</f>
        <v>0.60606060606060608</v>
      </c>
      <c r="I21" s="219">
        <v>20</v>
      </c>
      <c r="J21" s="221">
        <f>K21/78</f>
        <v>0.48717948717948717</v>
      </c>
      <c r="K21" s="219">
        <v>38</v>
      </c>
      <c r="L21" s="312" t="s">
        <v>314</v>
      </c>
      <c r="S21" s="307"/>
      <c r="T21" s="310"/>
      <c r="U21" s="313"/>
      <c r="V21" s="311"/>
      <c r="W21" s="312"/>
    </row>
    <row r="22" spans="1:23">
      <c r="A22" s="270" t="s">
        <v>38</v>
      </c>
      <c r="B22" s="271">
        <v>6.6</v>
      </c>
      <c r="C22" s="271">
        <v>50.067216268867867</v>
      </c>
      <c r="D22" s="271">
        <v>0.3</v>
      </c>
      <c r="E22" s="204">
        <v>136</v>
      </c>
      <c r="F22" s="217">
        <f>EXP(0.391*LN(D22) + 4.643)</f>
        <v>64.861007454166227</v>
      </c>
      <c r="G22" s="216">
        <f>MAX(E22:F22)/MIN(E22:F22)</f>
        <v>2.0967913595252718</v>
      </c>
      <c r="H22" s="279">
        <f>I22/33</f>
        <v>0.63636363636363635</v>
      </c>
      <c r="I22" s="219">
        <v>21</v>
      </c>
      <c r="J22" s="221">
        <f>K22/78</f>
        <v>0.53846153846153844</v>
      </c>
      <c r="K22" s="219">
        <v>42</v>
      </c>
      <c r="L22" s="312" t="s">
        <v>314</v>
      </c>
      <c r="S22" s="307"/>
      <c r="T22" s="310"/>
      <c r="U22" s="313"/>
      <c r="V22" s="311"/>
      <c r="W22" s="312"/>
    </row>
    <row r="23" spans="1:23">
      <c r="A23" s="270" t="s">
        <v>38</v>
      </c>
      <c r="B23" s="271">
        <v>6.6</v>
      </c>
      <c r="C23" s="271">
        <v>50.067216268867867</v>
      </c>
      <c r="D23" s="271">
        <v>0.3</v>
      </c>
      <c r="E23" s="204">
        <v>143</v>
      </c>
      <c r="F23" s="217">
        <f>EXP(0.391*LN(D23) + 4.643)</f>
        <v>64.861007454166227</v>
      </c>
      <c r="G23" s="216">
        <f>MAX(E23:F23)/MIN(E23:F23)</f>
        <v>2.2047144442067199</v>
      </c>
      <c r="H23" s="279">
        <f>I23/33</f>
        <v>0.66666666666666663</v>
      </c>
      <c r="I23" s="219">
        <v>22</v>
      </c>
      <c r="J23" s="221">
        <f>K23/78</f>
        <v>0.5641025641025641</v>
      </c>
      <c r="K23" s="219">
        <v>44</v>
      </c>
      <c r="L23" s="312" t="s">
        <v>314</v>
      </c>
      <c r="S23" s="307"/>
      <c r="T23" s="310"/>
      <c r="U23" s="313"/>
      <c r="V23" s="311"/>
      <c r="W23" s="312"/>
    </row>
    <row r="24" spans="1:23">
      <c r="A24" s="270" t="s">
        <v>38</v>
      </c>
      <c r="B24" s="271">
        <v>6.6</v>
      </c>
      <c r="C24" s="271">
        <v>50.067216268867867</v>
      </c>
      <c r="D24" s="271">
        <v>0.3</v>
      </c>
      <c r="E24" s="204">
        <v>143</v>
      </c>
      <c r="F24" s="217">
        <f>EXP(0.391*LN(D24) + 4.643)</f>
        <v>64.861007454166227</v>
      </c>
      <c r="G24" s="216">
        <f>MAX(E24:F24)/MIN(E24:F24)</f>
        <v>2.2047144442067199</v>
      </c>
      <c r="H24" s="279">
        <f>I24/33</f>
        <v>0.69696969696969702</v>
      </c>
      <c r="I24" s="219">
        <v>23</v>
      </c>
      <c r="J24" s="221">
        <f>K24/78</f>
        <v>0.57692307692307687</v>
      </c>
      <c r="K24" s="219">
        <v>45</v>
      </c>
      <c r="L24" s="312" t="s">
        <v>314</v>
      </c>
      <c r="S24" s="307"/>
      <c r="T24" s="314"/>
      <c r="U24" s="343"/>
      <c r="V24" s="344"/>
      <c r="W24" s="312"/>
    </row>
    <row r="25" spans="1:23">
      <c r="A25" s="270" t="s">
        <v>38</v>
      </c>
      <c r="B25" s="271">
        <v>6.6</v>
      </c>
      <c r="C25" s="271">
        <v>125.12293975344787</v>
      </c>
      <c r="D25" s="271">
        <v>0.3</v>
      </c>
      <c r="E25" s="204">
        <v>147.1275</v>
      </c>
      <c r="F25" s="217">
        <f>EXP(0.391*LN(D25) + 4.643)</f>
        <v>64.861007454166227</v>
      </c>
      <c r="G25" s="216">
        <f>MAX(E25:F25)/MIN(E25:F25)</f>
        <v>2.268350520209959</v>
      </c>
      <c r="H25" s="279">
        <f>I25/33</f>
        <v>0.72727272727272729</v>
      </c>
      <c r="I25" s="219">
        <v>24</v>
      </c>
      <c r="J25" s="221">
        <f>K25/78</f>
        <v>0.61538461538461542</v>
      </c>
      <c r="K25" s="219">
        <v>48</v>
      </c>
      <c r="L25" s="312" t="s">
        <v>314</v>
      </c>
      <c r="S25" s="307"/>
      <c r="T25" s="310"/>
      <c r="U25" s="313"/>
      <c r="V25" s="311"/>
      <c r="W25" s="312"/>
    </row>
    <row r="26" spans="1:23">
      <c r="A26" s="270" t="s">
        <v>38</v>
      </c>
      <c r="B26" s="271">
        <v>7.2</v>
      </c>
      <c r="C26" s="271">
        <v>250.59859307013329</v>
      </c>
      <c r="D26" s="271">
        <v>0.3</v>
      </c>
      <c r="E26" s="204">
        <v>155</v>
      </c>
      <c r="F26" s="217">
        <f>EXP(0.391*LN(D26) + 4.643)</f>
        <v>64.861007454166227</v>
      </c>
      <c r="G26" s="216">
        <f>MAX(E26:F26)/MIN(E26:F26)</f>
        <v>2.3897254465177733</v>
      </c>
      <c r="H26" s="279">
        <f>I26/33</f>
        <v>0.75757575757575757</v>
      </c>
      <c r="I26" s="219">
        <v>25</v>
      </c>
      <c r="J26" s="221">
        <f>K26/78</f>
        <v>0.64102564102564108</v>
      </c>
      <c r="K26" s="219">
        <v>50</v>
      </c>
      <c r="L26" s="312" t="s">
        <v>305</v>
      </c>
      <c r="S26" s="307"/>
      <c r="T26" s="310"/>
      <c r="U26" s="313"/>
      <c r="V26" s="311"/>
      <c r="W26" s="312"/>
    </row>
    <row r="27" spans="1:23">
      <c r="A27" s="270" t="s">
        <v>38</v>
      </c>
      <c r="B27" s="271">
        <v>6.6</v>
      </c>
      <c r="C27" s="271">
        <v>425.17096371481091</v>
      </c>
      <c r="D27" s="271">
        <v>0.3</v>
      </c>
      <c r="E27" s="223">
        <v>156.28210000000001</v>
      </c>
      <c r="F27" s="280">
        <f>EXP(0.391*LN(D27) + 4.643)</f>
        <v>64.861007454166227</v>
      </c>
      <c r="G27" s="216">
        <f>MAX(E27:F27)/MIN(E27:F27)</f>
        <v>2.4094923303563567</v>
      </c>
      <c r="H27" s="279">
        <f>I27/33</f>
        <v>0.78787878787878785</v>
      </c>
      <c r="I27" s="219">
        <v>26</v>
      </c>
      <c r="J27" s="221">
        <f>K27/78</f>
        <v>0.65384615384615385</v>
      </c>
      <c r="K27" s="219">
        <v>51</v>
      </c>
      <c r="L27" s="312" t="s">
        <v>314</v>
      </c>
      <c r="S27" s="307"/>
      <c r="T27" s="310"/>
      <c r="U27" s="313"/>
      <c r="V27" s="311"/>
      <c r="W27" s="312"/>
    </row>
    <row r="28" spans="1:23">
      <c r="A28" s="270" t="s">
        <v>38</v>
      </c>
      <c r="B28" s="271">
        <v>6.6</v>
      </c>
      <c r="C28" s="271">
        <v>325.41878777714464</v>
      </c>
      <c r="D28" s="271">
        <v>0.3</v>
      </c>
      <c r="E28" s="204">
        <v>157.5899</v>
      </c>
      <c r="F28" s="217">
        <f>EXP(0.391*LN(D28) + 4.643)</f>
        <v>64.861007454166227</v>
      </c>
      <c r="G28" s="216">
        <f>MAX(E28:F28)/MIN(E28:F28)</f>
        <v>2.429655446091556</v>
      </c>
      <c r="H28" s="279">
        <f>I28/33</f>
        <v>0.81818181818181823</v>
      </c>
      <c r="I28" s="219">
        <v>27</v>
      </c>
      <c r="J28" s="221">
        <f>K28/78</f>
        <v>0.66666666666666663</v>
      </c>
      <c r="K28" s="219">
        <v>52</v>
      </c>
      <c r="L28" s="312" t="s">
        <v>314</v>
      </c>
      <c r="S28" s="307"/>
      <c r="T28" s="310"/>
      <c r="U28" s="313"/>
      <c r="V28" s="311"/>
      <c r="W28" s="312"/>
    </row>
    <row r="29" spans="1:23">
      <c r="A29" s="270" t="s">
        <v>38</v>
      </c>
      <c r="B29" s="271">
        <v>6.6</v>
      </c>
      <c r="C29" s="271">
        <v>225.21085357044791</v>
      </c>
      <c r="D29" s="271">
        <v>0.3</v>
      </c>
      <c r="E29" s="204">
        <v>158.89770000000001</v>
      </c>
      <c r="F29" s="217">
        <f>EXP(0.391*LN(D29) + 4.643)</f>
        <v>64.861007454166227</v>
      </c>
      <c r="G29" s="216">
        <f>MAX(E29:F29)/MIN(E29:F29)</f>
        <v>2.4498185618267563</v>
      </c>
      <c r="H29" s="279">
        <f>I29/33</f>
        <v>0.84848484848484851</v>
      </c>
      <c r="I29" s="219">
        <v>28</v>
      </c>
      <c r="J29" s="221">
        <f>K29/78</f>
        <v>0.67948717948717952</v>
      </c>
      <c r="K29" s="219">
        <v>53</v>
      </c>
      <c r="L29" s="312" t="s">
        <v>314</v>
      </c>
      <c r="S29" s="307"/>
      <c r="T29" s="310"/>
      <c r="U29" s="313"/>
      <c r="V29" s="311"/>
      <c r="W29" s="312"/>
    </row>
    <row r="30" spans="1:23">
      <c r="A30" s="270" t="s">
        <v>38</v>
      </c>
      <c r="B30" s="271">
        <v>6.6</v>
      </c>
      <c r="C30" s="271">
        <v>175.18746051264787</v>
      </c>
      <c r="D30" s="271">
        <v>0.3</v>
      </c>
      <c r="E30" s="204">
        <v>164.78280000000001</v>
      </c>
      <c r="F30" s="217">
        <f>EXP(0.391*LN(D30) + 4.643)</f>
        <v>64.861007454166227</v>
      </c>
      <c r="G30" s="216">
        <f>MAX(E30:F30)/MIN(E30:F30)</f>
        <v>2.5405525826351543</v>
      </c>
      <c r="H30" s="279">
        <f>I30/33</f>
        <v>0.87878787878787878</v>
      </c>
      <c r="I30" s="219">
        <v>29</v>
      </c>
      <c r="J30" s="221">
        <f>K30/78</f>
        <v>0.69230769230769229</v>
      </c>
      <c r="K30" s="219">
        <v>54</v>
      </c>
      <c r="L30" s="312" t="s">
        <v>314</v>
      </c>
      <c r="S30" s="307"/>
      <c r="T30" s="310"/>
      <c r="U30" s="313"/>
      <c r="V30" s="311"/>
      <c r="W30" s="312"/>
    </row>
    <row r="31" spans="1:23">
      <c r="A31" s="270" t="s">
        <v>38</v>
      </c>
      <c r="B31" s="271">
        <v>7.7</v>
      </c>
      <c r="C31" s="271">
        <v>46.992560431986078</v>
      </c>
      <c r="D31" s="271">
        <v>1</v>
      </c>
      <c r="E31" s="204">
        <v>35</v>
      </c>
      <c r="F31" s="217">
        <f>EXP(0.391*LN(D31) + 4.643)</f>
        <v>103.85544704189422</v>
      </c>
      <c r="G31" s="216">
        <f>MAX(E31:F31)/MIN(E31:F31)</f>
        <v>2.9672984869112633</v>
      </c>
      <c r="H31" s="279">
        <f>I31/33</f>
        <v>0.90909090909090906</v>
      </c>
      <c r="I31" s="219">
        <v>30</v>
      </c>
      <c r="J31" s="221">
        <f>K31/78</f>
        <v>0.73076923076923073</v>
      </c>
      <c r="K31" s="219">
        <v>57</v>
      </c>
      <c r="L31" s="312" t="s">
        <v>311</v>
      </c>
      <c r="S31" s="307"/>
      <c r="T31" s="314"/>
      <c r="U31" s="343"/>
      <c r="V31" s="344"/>
      <c r="W31" s="312"/>
    </row>
    <row r="32" spans="1:23">
      <c r="A32" s="270" t="s">
        <v>38</v>
      </c>
      <c r="B32" s="271">
        <v>6</v>
      </c>
      <c r="C32" s="271">
        <v>13.772839639692933</v>
      </c>
      <c r="D32" s="271">
        <v>5.37</v>
      </c>
      <c r="E32" s="204">
        <v>62.6</v>
      </c>
      <c r="F32" s="217">
        <f>EXP(0.391*LN(D32) + 4.643)</f>
        <v>200.37762519056585</v>
      </c>
      <c r="G32" s="216">
        <f>MAX(E32:F32)/MIN(E32:F32)</f>
        <v>3.2009205302007322</v>
      </c>
      <c r="H32" s="279">
        <f>I32/33</f>
        <v>0.93939393939393945</v>
      </c>
      <c r="I32" s="219">
        <v>31</v>
      </c>
      <c r="J32" s="221">
        <f>K32/78</f>
        <v>0.74358974358974361</v>
      </c>
      <c r="K32" s="219">
        <v>58</v>
      </c>
      <c r="L32" s="312" t="s">
        <v>305</v>
      </c>
      <c r="S32" s="307"/>
      <c r="T32" s="314"/>
      <c r="U32" s="343"/>
      <c r="V32" s="344"/>
      <c r="W32" s="312"/>
    </row>
    <row r="33" spans="1:23">
      <c r="A33" s="272" t="s">
        <v>38</v>
      </c>
      <c r="B33" s="273">
        <v>7.7</v>
      </c>
      <c r="C33" s="273">
        <v>65.203377740818169</v>
      </c>
      <c r="D33" s="273">
        <v>1</v>
      </c>
      <c r="E33" s="209">
        <v>25</v>
      </c>
      <c r="F33" s="267">
        <f>EXP(0.391*LN(D33) + 4.643)</f>
        <v>103.85544704189422</v>
      </c>
      <c r="G33" s="268">
        <f>MAX(E33:F33)/MIN(E33:F33)</f>
        <v>4.1542178816757689</v>
      </c>
      <c r="H33" s="269">
        <f>I33/33</f>
        <v>0.96969696969696972</v>
      </c>
      <c r="I33" s="347">
        <v>32</v>
      </c>
      <c r="J33" s="269">
        <f>K33/78</f>
        <v>0.87179487179487181</v>
      </c>
      <c r="K33" s="347">
        <v>68</v>
      </c>
      <c r="L33" s="312" t="s">
        <v>313</v>
      </c>
      <c r="S33" s="307"/>
      <c r="T33" s="314"/>
      <c r="U33" s="343"/>
      <c r="V33" s="344"/>
      <c r="W33" s="312"/>
    </row>
    <row r="34" spans="1:23">
      <c r="A34" s="348" t="s">
        <v>26</v>
      </c>
      <c r="B34" s="349">
        <v>7.76</v>
      </c>
      <c r="C34" s="349">
        <v>103.78276923054813</v>
      </c>
      <c r="D34" s="349">
        <v>22.87</v>
      </c>
      <c r="E34" s="350">
        <v>771</v>
      </c>
      <c r="F34" s="351">
        <f>EXP(0.947*LN(C34) + 0.398*LN(D34) - 0.815*B34 + 7.3)</f>
        <v>748.09412880854904</v>
      </c>
      <c r="G34" s="352">
        <f>MAX(E34:F34)/MIN(E34:F34)</f>
        <v>1.030618969337364</v>
      </c>
      <c r="H34" s="278">
        <f>I34/20</f>
        <v>0.05</v>
      </c>
      <c r="I34" s="353">
        <v>1</v>
      </c>
      <c r="J34" s="278">
        <f>K34/78</f>
        <v>3.8461538461538464E-2</v>
      </c>
      <c r="K34" s="353">
        <v>3</v>
      </c>
      <c r="L34" s="312" t="s">
        <v>305</v>
      </c>
      <c r="S34" s="308"/>
      <c r="T34" s="310"/>
      <c r="U34" s="313"/>
      <c r="V34" s="312"/>
      <c r="W34" s="312"/>
    </row>
    <row r="35" spans="1:23">
      <c r="A35" s="270" t="s">
        <v>26</v>
      </c>
      <c r="B35" s="271">
        <v>6.15</v>
      </c>
      <c r="C35" s="271">
        <v>23.395999393885294</v>
      </c>
      <c r="D35" s="271">
        <v>4.25</v>
      </c>
      <c r="E35" s="223">
        <v>370</v>
      </c>
      <c r="F35" s="280">
        <f>EXP(0.947*LN(C35) + 0.398*LN(D35) - 0.815*B35 + 7.3)</f>
        <v>346.92299874007097</v>
      </c>
      <c r="G35" s="216">
        <f>MAX(E35:F35)/MIN(E35:F35)</f>
        <v>1.0665190873586887</v>
      </c>
      <c r="H35" s="279">
        <f>I35/20</f>
        <v>0.1</v>
      </c>
      <c r="I35" s="354">
        <v>2</v>
      </c>
      <c r="J35" s="279">
        <f>K35/78</f>
        <v>7.6923076923076927E-2</v>
      </c>
      <c r="K35" s="354">
        <v>6</v>
      </c>
      <c r="L35" s="312" t="s">
        <v>305</v>
      </c>
      <c r="S35" s="308"/>
      <c r="T35" s="310"/>
      <c r="U35" s="313"/>
      <c r="V35" s="312"/>
      <c r="W35" s="312"/>
    </row>
    <row r="36" spans="1:23">
      <c r="A36" s="270" t="s">
        <v>26</v>
      </c>
      <c r="B36" s="271">
        <v>7.08</v>
      </c>
      <c r="C36" s="271">
        <v>31.764830462936295</v>
      </c>
      <c r="D36" s="271">
        <v>2.84</v>
      </c>
      <c r="E36" s="223">
        <v>199</v>
      </c>
      <c r="F36" s="280">
        <f>EXP(0.947*LN(C36) + 0.398*LN(D36) - 0.815*B36 + 7.3)</f>
        <v>184.98979570661496</v>
      </c>
      <c r="G36" s="216">
        <f>MAX(E36:F36)/MIN(E36:F36)</f>
        <v>1.0757350114360067</v>
      </c>
      <c r="H36" s="279">
        <f>I36/20</f>
        <v>0.15</v>
      </c>
      <c r="I36" s="354">
        <v>3</v>
      </c>
      <c r="J36" s="279">
        <f>K36/78</f>
        <v>0.10256410256410256</v>
      </c>
      <c r="K36" s="354">
        <v>8</v>
      </c>
      <c r="L36" s="312" t="s">
        <v>305</v>
      </c>
      <c r="S36" s="308"/>
      <c r="T36" s="310"/>
      <c r="U36" s="313"/>
      <c r="V36" s="312"/>
      <c r="W36" s="312"/>
    </row>
    <row r="37" spans="1:23">
      <c r="A37" s="270" t="s">
        <v>26</v>
      </c>
      <c r="B37" s="271">
        <v>7.65</v>
      </c>
      <c r="C37" s="271">
        <v>29.232476613038642</v>
      </c>
      <c r="D37" s="271">
        <v>0.3</v>
      </c>
      <c r="E37" s="223">
        <v>48</v>
      </c>
      <c r="F37" s="280">
        <f>EXP(0.947*LN(C37) + 0.398*LN(D37) - 0.815*B37 + 7.3)</f>
        <v>43.923929898669051</v>
      </c>
      <c r="G37" s="216">
        <f>MAX(E37:F37)/MIN(E37:F37)</f>
        <v>1.0927983928290181</v>
      </c>
      <c r="H37" s="279">
        <f>I37/20</f>
        <v>0.2</v>
      </c>
      <c r="I37" s="354">
        <v>4</v>
      </c>
      <c r="J37" s="279">
        <f>K37/78</f>
        <v>0.11538461538461539</v>
      </c>
      <c r="K37" s="354">
        <v>9</v>
      </c>
      <c r="L37" s="312" t="s">
        <v>324</v>
      </c>
      <c r="S37" s="308"/>
      <c r="T37" s="310"/>
      <c r="U37" s="313"/>
      <c r="V37" s="312"/>
      <c r="W37" s="312"/>
    </row>
    <row r="38" spans="1:23">
      <c r="A38" s="270" t="s">
        <v>26</v>
      </c>
      <c r="B38" s="271">
        <v>7.58</v>
      </c>
      <c r="C38" s="271">
        <v>102.23154936254195</v>
      </c>
      <c r="D38" s="271">
        <v>0.3</v>
      </c>
      <c r="E38" s="223">
        <v>169</v>
      </c>
      <c r="F38" s="280">
        <f>EXP(0.947*LN(C38) + 0.398*LN(D38) - 0.815*B38 + 7.3)</f>
        <v>152.18782040028967</v>
      </c>
      <c r="G38" s="216">
        <f>MAX(E38:F38)/MIN(E38:F38)</f>
        <v>1.1104699413888073</v>
      </c>
      <c r="H38" s="279">
        <f>I38/20</f>
        <v>0.25</v>
      </c>
      <c r="I38" s="354">
        <v>5</v>
      </c>
      <c r="J38" s="279">
        <f>K38/78</f>
        <v>0.12820512820512819</v>
      </c>
      <c r="K38" s="354">
        <v>10</v>
      </c>
      <c r="L38" s="312" t="s">
        <v>324</v>
      </c>
      <c r="S38" s="308"/>
      <c r="T38" s="310"/>
      <c r="U38" s="313"/>
      <c r="V38" s="312"/>
      <c r="W38" s="312"/>
    </row>
    <row r="39" spans="1:23">
      <c r="A39" s="270" t="s">
        <v>26</v>
      </c>
      <c r="B39" s="271">
        <v>7.74</v>
      </c>
      <c r="C39" s="271">
        <v>139.38639191425497</v>
      </c>
      <c r="D39" s="271">
        <v>0.3</v>
      </c>
      <c r="E39" s="223">
        <v>151</v>
      </c>
      <c r="F39" s="280">
        <f>EXP(0.947*LN(C39) + 0.398*LN(D39) - 0.815*B39 + 7.3)</f>
        <v>179.16272213619075</v>
      </c>
      <c r="G39" s="216">
        <f>MAX(E39:F39)/MIN(E39:F39)</f>
        <v>1.1865080936171573</v>
      </c>
      <c r="H39" s="279">
        <f>I39/20</f>
        <v>0.3</v>
      </c>
      <c r="I39" s="354">
        <v>6</v>
      </c>
      <c r="J39" s="279">
        <f>K39/78</f>
        <v>0.17948717948717949</v>
      </c>
      <c r="K39" s="354">
        <v>14</v>
      </c>
      <c r="L39" s="312" t="s">
        <v>324</v>
      </c>
      <c r="S39" s="308"/>
      <c r="T39" s="310"/>
      <c r="U39" s="313"/>
      <c r="V39" s="312"/>
      <c r="W39" s="312"/>
    </row>
    <row r="40" spans="1:23">
      <c r="A40" s="270" t="s">
        <v>26</v>
      </c>
      <c r="B40" s="271">
        <v>6.8</v>
      </c>
      <c r="C40" s="271">
        <v>28.199824123693681</v>
      </c>
      <c r="D40" s="271">
        <v>3.92</v>
      </c>
      <c r="E40" s="223">
        <v>324</v>
      </c>
      <c r="F40" s="280">
        <f>EXP(0.947*LN(C40) + 0.398*LN(D40) - 0.815*B40 + 7.3)</f>
        <v>236.04830944307105</v>
      </c>
      <c r="G40" s="216">
        <f>MAX(E40:F40)/MIN(E40:F40)</f>
        <v>1.372600383220032</v>
      </c>
      <c r="H40" s="279">
        <f>I40/20</f>
        <v>0.35</v>
      </c>
      <c r="I40" s="354">
        <v>7</v>
      </c>
      <c r="J40" s="279">
        <f>K40/78</f>
        <v>0.32051282051282054</v>
      </c>
      <c r="K40" s="354">
        <v>25</v>
      </c>
      <c r="L40" s="312" t="s">
        <v>305</v>
      </c>
      <c r="S40" s="308"/>
      <c r="T40" s="310"/>
      <c r="U40" s="313"/>
      <c r="V40" s="312"/>
      <c r="W40" s="312"/>
    </row>
    <row r="41" spans="1:23">
      <c r="A41" s="270" t="s">
        <v>26</v>
      </c>
      <c r="B41" s="271">
        <v>7.73</v>
      </c>
      <c r="C41" s="271">
        <v>45.140798901579529</v>
      </c>
      <c r="D41" s="271">
        <v>0.3</v>
      </c>
      <c r="E41" s="223">
        <v>45</v>
      </c>
      <c r="F41" s="280">
        <f>EXP(0.947*LN(C41) + 0.398*LN(D41) - 0.815*B41 + 7.3)</f>
        <v>62.099417603659063</v>
      </c>
      <c r="G41" s="216">
        <f>MAX(E41:F41)/MIN(E41:F41)</f>
        <v>1.3799870578590903</v>
      </c>
      <c r="H41" s="279">
        <f>I41/20</f>
        <v>0.4</v>
      </c>
      <c r="I41" s="354">
        <v>8</v>
      </c>
      <c r="J41" s="279">
        <f>K41/78</f>
        <v>0.33333333333333331</v>
      </c>
      <c r="K41" s="354">
        <v>26</v>
      </c>
      <c r="L41" s="312" t="s">
        <v>324</v>
      </c>
      <c r="S41" s="308"/>
      <c r="T41" s="310"/>
      <c r="U41" s="313"/>
      <c r="V41" s="312"/>
      <c r="W41" s="312"/>
    </row>
    <row r="42" spans="1:23">
      <c r="A42" s="270" t="s">
        <v>26</v>
      </c>
      <c r="B42" s="271">
        <v>7.68</v>
      </c>
      <c r="C42" s="271">
        <v>396.02666171917002</v>
      </c>
      <c r="D42" s="271">
        <v>0.3</v>
      </c>
      <c r="E42" s="223">
        <v>786</v>
      </c>
      <c r="F42" s="280">
        <f>EXP(0.947*LN(C42) + 0.398*LN(D42) - 0.815*B42 + 7.3)</f>
        <v>505.76990820600463</v>
      </c>
      <c r="G42" s="216">
        <f>MAX(E42:F42)/MIN(E42:F42)</f>
        <v>1.5540663595190705</v>
      </c>
      <c r="H42" s="279">
        <f>I42/26</f>
        <v>0.34615384615384615</v>
      </c>
      <c r="I42" s="354">
        <v>9</v>
      </c>
      <c r="J42" s="279">
        <f>K42/78</f>
        <v>0.42307692307692307</v>
      </c>
      <c r="K42" s="354">
        <v>33</v>
      </c>
      <c r="L42" s="312" t="s">
        <v>324</v>
      </c>
      <c r="S42" s="308"/>
      <c r="T42" s="310"/>
      <c r="U42" s="313"/>
      <c r="V42" s="312"/>
      <c r="W42" s="312"/>
    </row>
    <row r="43" spans="1:23">
      <c r="A43" s="270" t="s">
        <v>26</v>
      </c>
      <c r="B43" s="271">
        <v>7.45</v>
      </c>
      <c r="C43" s="271">
        <v>29.633279047520862</v>
      </c>
      <c r="D43" s="271">
        <v>0.3</v>
      </c>
      <c r="E43" s="223">
        <v>32</v>
      </c>
      <c r="F43" s="280">
        <f>EXP(0.947*LN(C43) + 0.398*LN(D43) - 0.815*B43 + 7.3)</f>
        <v>52.37111771118051</v>
      </c>
      <c r="G43" s="216">
        <f>MAX(E43:F43)/MIN(E43:F43)</f>
        <v>1.6365974284743909</v>
      </c>
      <c r="H43" s="279">
        <f>I43/20</f>
        <v>0.5</v>
      </c>
      <c r="I43" s="354">
        <v>10</v>
      </c>
      <c r="J43" s="279">
        <f>K43/78</f>
        <v>0.46153846153846156</v>
      </c>
      <c r="K43" s="354">
        <v>36</v>
      </c>
      <c r="L43" s="312" t="s">
        <v>324</v>
      </c>
      <c r="S43" s="308"/>
      <c r="T43" s="310"/>
      <c r="U43" s="313"/>
      <c r="V43" s="312"/>
      <c r="W43" s="312"/>
    </row>
    <row r="44" spans="1:23">
      <c r="A44" s="270" t="s">
        <v>26</v>
      </c>
      <c r="B44" s="271">
        <v>7.79</v>
      </c>
      <c r="C44" s="271">
        <v>229.0272828794233</v>
      </c>
      <c r="D44" s="271">
        <v>0.3</v>
      </c>
      <c r="E44" s="223">
        <v>159</v>
      </c>
      <c r="F44" s="280">
        <f>EXP(0.947*LN(C44) + 0.398*LN(D44) - 0.815*B44 + 7.3)</f>
        <v>275.28760275162466</v>
      </c>
      <c r="G44" s="216">
        <f>MAX(E44:F44)/MIN(E44:F44)</f>
        <v>1.7313685707649349</v>
      </c>
      <c r="H44" s="279">
        <f>I44/20</f>
        <v>0.55000000000000004</v>
      </c>
      <c r="I44" s="354">
        <v>11</v>
      </c>
      <c r="J44" s="279">
        <f>K44/78</f>
        <v>0.5</v>
      </c>
      <c r="K44" s="354">
        <v>39</v>
      </c>
      <c r="L44" s="312" t="s">
        <v>324</v>
      </c>
      <c r="S44" s="308"/>
      <c r="T44" s="310"/>
      <c r="U44" s="313"/>
      <c r="V44" s="312"/>
      <c r="W44" s="312"/>
    </row>
    <row r="45" spans="1:23">
      <c r="A45" s="270" t="s">
        <v>26</v>
      </c>
      <c r="B45" s="271">
        <v>7.61</v>
      </c>
      <c r="C45" s="271">
        <v>29.133660153881291</v>
      </c>
      <c r="D45" s="271">
        <v>0.3</v>
      </c>
      <c r="E45" s="223">
        <v>79</v>
      </c>
      <c r="F45" s="280">
        <f>EXP(0.947*LN(C45) + 0.398*LN(D45) - 0.815*B45 + 7.3)</f>
        <v>45.234164028293769</v>
      </c>
      <c r="G45" s="216">
        <f>MAX(E45:F45)/MIN(E45:F45)</f>
        <v>1.7464675582505702</v>
      </c>
      <c r="H45" s="279">
        <f>I45/20</f>
        <v>0.6</v>
      </c>
      <c r="I45" s="354">
        <v>12</v>
      </c>
      <c r="J45" s="279">
        <f>K45/78</f>
        <v>0.51282051282051277</v>
      </c>
      <c r="K45" s="354">
        <v>40</v>
      </c>
      <c r="L45" s="312" t="s">
        <v>324</v>
      </c>
      <c r="S45" s="308"/>
      <c r="T45" s="310"/>
      <c r="U45" s="313"/>
      <c r="V45" s="312"/>
      <c r="W45" s="312"/>
    </row>
    <row r="46" spans="1:23">
      <c r="A46" s="270" t="s">
        <v>26</v>
      </c>
      <c r="B46" s="271">
        <v>7.49</v>
      </c>
      <c r="C46" s="271">
        <v>30.034081482003078</v>
      </c>
      <c r="D46" s="271">
        <v>0.3</v>
      </c>
      <c r="E46" s="223">
        <v>95</v>
      </c>
      <c r="F46" s="280">
        <f>EXP(0.947*LN(C46) + 0.398*LN(D46) - 0.815*B46 + 7.3)</f>
        <v>51.340400300088582</v>
      </c>
      <c r="G46" s="216">
        <f>MAX(E46:F46)/MIN(E46:F46)</f>
        <v>1.8503946101845272</v>
      </c>
      <c r="H46" s="279">
        <f>I46/20</f>
        <v>0.65</v>
      </c>
      <c r="I46" s="354">
        <v>13</v>
      </c>
      <c r="J46" s="279">
        <f>K46/78</f>
        <v>0.52564102564102566</v>
      </c>
      <c r="K46" s="354">
        <v>41</v>
      </c>
      <c r="L46" s="312" t="s">
        <v>324</v>
      </c>
      <c r="S46" s="308"/>
      <c r="T46" s="310"/>
      <c r="U46" s="313"/>
      <c r="V46" s="312"/>
      <c r="W46" s="312"/>
    </row>
    <row r="47" spans="1:23">
      <c r="A47" s="270" t="s">
        <v>26</v>
      </c>
      <c r="B47" s="271">
        <v>7.65</v>
      </c>
      <c r="C47" s="271">
        <v>333.47448717394406</v>
      </c>
      <c r="D47" s="271">
        <v>0.3</v>
      </c>
      <c r="E47" s="223">
        <v>165</v>
      </c>
      <c r="F47" s="280">
        <f>EXP(0.947*LN(C47) + 0.398*LN(D47) - 0.815*B47 + 7.3)</f>
        <v>440.41971452200346</v>
      </c>
      <c r="G47" s="216">
        <f>MAX(E47:F47)/MIN(E47:F47)</f>
        <v>2.6692103910424452</v>
      </c>
      <c r="H47" s="279">
        <f>I47/20</f>
        <v>0.7</v>
      </c>
      <c r="I47" s="354">
        <v>14</v>
      </c>
      <c r="J47" s="279">
        <f>K47/78</f>
        <v>0.70512820512820518</v>
      </c>
      <c r="K47" s="354">
        <v>55</v>
      </c>
      <c r="L47" s="312" t="s">
        <v>324</v>
      </c>
      <c r="S47" s="308"/>
      <c r="T47" s="310"/>
      <c r="U47" s="313"/>
      <c r="V47" s="312"/>
      <c r="W47" s="312"/>
    </row>
    <row r="48" spans="1:23">
      <c r="A48" s="270" t="s">
        <v>26</v>
      </c>
      <c r="B48" s="271">
        <v>6.7</v>
      </c>
      <c r="C48" s="271">
        <v>28.733033484410278</v>
      </c>
      <c r="D48" s="271">
        <v>0.3</v>
      </c>
      <c r="E48" s="223">
        <v>256</v>
      </c>
      <c r="F48" s="280">
        <f>EXP(0.947*LN(C48) + 0.398*LN(D48) - 0.815*B48 + 7.3)</f>
        <v>93.727324371090276</v>
      </c>
      <c r="G48" s="216">
        <f>MAX(E48:F48)/MIN(E48:F48)</f>
        <v>2.7313273020195368</v>
      </c>
      <c r="H48" s="279">
        <f>I48/20</f>
        <v>0.75</v>
      </c>
      <c r="I48" s="354">
        <v>15</v>
      </c>
      <c r="J48" s="279">
        <f>K48/78</f>
        <v>0.71794871794871795</v>
      </c>
      <c r="K48" s="354">
        <v>56</v>
      </c>
      <c r="L48" s="312" t="s">
        <v>324</v>
      </c>
      <c r="S48" s="308"/>
      <c r="T48" s="310"/>
      <c r="U48" s="313"/>
      <c r="V48" s="312"/>
      <c r="W48" s="312"/>
    </row>
    <row r="49" spans="1:23">
      <c r="A49" s="270" t="s">
        <v>26</v>
      </c>
      <c r="B49" s="271">
        <v>7.58</v>
      </c>
      <c r="C49" s="271">
        <v>28.432717276691815</v>
      </c>
      <c r="D49" s="271">
        <v>0.3</v>
      </c>
      <c r="E49" s="223">
        <v>157</v>
      </c>
      <c r="F49" s="280">
        <f>EXP(0.947*LN(C49) + 0.398*LN(D49) - 0.815*B49 + 7.3)</f>
        <v>45.296948868621506</v>
      </c>
      <c r="G49" s="216">
        <f>MAX(E49:F49)/MIN(E49:F49)</f>
        <v>3.466017114206966</v>
      </c>
      <c r="H49" s="279">
        <f>I49/20</f>
        <v>0.8</v>
      </c>
      <c r="I49" s="354">
        <v>16</v>
      </c>
      <c r="J49" s="279">
        <f>K49/78</f>
        <v>0.78205128205128205</v>
      </c>
      <c r="K49" s="354">
        <v>61</v>
      </c>
      <c r="L49" s="312" t="s">
        <v>324</v>
      </c>
      <c r="S49" s="308"/>
      <c r="T49" s="310"/>
      <c r="U49" s="313"/>
      <c r="V49" s="312"/>
      <c r="W49" s="312"/>
    </row>
    <row r="50" spans="1:23">
      <c r="A50" s="270" t="s">
        <v>26</v>
      </c>
      <c r="B50" s="271">
        <v>6.8</v>
      </c>
      <c r="C50" s="271">
        <v>25.885640462965554</v>
      </c>
      <c r="D50" s="271">
        <v>1</v>
      </c>
      <c r="E50" s="223">
        <v>36</v>
      </c>
      <c r="F50" s="280">
        <f>EXP(0.947*LN(C50) + 0.398*LN(D50) - 0.815*B50 + 7.3)</f>
        <v>126.37363901489694</v>
      </c>
      <c r="G50" s="216">
        <f>MAX(E50:F50)/MIN(E50:F50)</f>
        <v>3.5103788615249147</v>
      </c>
      <c r="H50" s="279">
        <f>I50/20</f>
        <v>0.85</v>
      </c>
      <c r="I50" s="354">
        <v>17</v>
      </c>
      <c r="J50" s="279">
        <f>K50/78</f>
        <v>0.80769230769230771</v>
      </c>
      <c r="K50" s="354">
        <v>63</v>
      </c>
      <c r="L50" s="312" t="s">
        <v>323</v>
      </c>
      <c r="S50" s="308"/>
      <c r="T50" s="310"/>
      <c r="U50" s="313"/>
      <c r="V50" s="312"/>
      <c r="W50" s="312"/>
    </row>
    <row r="51" spans="1:23">
      <c r="A51" s="270" t="s">
        <v>26</v>
      </c>
      <c r="B51" s="271">
        <v>7.87</v>
      </c>
      <c r="C51" s="271">
        <v>190.35104920249543</v>
      </c>
      <c r="D51" s="271">
        <v>0.3</v>
      </c>
      <c r="E51" s="223">
        <v>974</v>
      </c>
      <c r="F51" s="280">
        <f>EXP(0.947*LN(C51) + 0.398*LN(D51) - 0.815*B51 + 7.3)</f>
        <v>216.46929414040014</v>
      </c>
      <c r="G51" s="216">
        <f>MAX(E51:F51)/MIN(E51:F51)</f>
        <v>4.4994834203518579</v>
      </c>
      <c r="H51" s="279">
        <f>I51/26</f>
        <v>0.69230769230769229</v>
      </c>
      <c r="I51" s="354">
        <v>18</v>
      </c>
      <c r="J51" s="279">
        <f>K51/78</f>
        <v>0.89743589743589747</v>
      </c>
      <c r="K51" s="354">
        <v>70</v>
      </c>
      <c r="L51" s="312" t="s">
        <v>324</v>
      </c>
      <c r="S51" s="308"/>
      <c r="T51" s="310"/>
      <c r="U51" s="313"/>
      <c r="V51" s="312"/>
      <c r="W51" s="312"/>
    </row>
    <row r="52" spans="1:23">
      <c r="A52" s="272" t="s">
        <v>26</v>
      </c>
      <c r="B52" s="273">
        <v>7.39</v>
      </c>
      <c r="C52" s="273">
        <v>331.97264248783495</v>
      </c>
      <c r="D52" s="273">
        <v>0.3</v>
      </c>
      <c r="E52" s="209">
        <v>90</v>
      </c>
      <c r="F52" s="267">
        <f>EXP(0.947*LN(C52) + 0.398*LN(D52) - 0.815*B52 + 7.3)</f>
        <v>542.04748125572564</v>
      </c>
      <c r="G52" s="268">
        <f>MAX(E52:F52)/MIN(E52:F52)</f>
        <v>6.022749791730285</v>
      </c>
      <c r="H52" s="269">
        <f>I52/20</f>
        <v>0.95</v>
      </c>
      <c r="I52" s="347">
        <v>19</v>
      </c>
      <c r="J52" s="269">
        <f>K52/78</f>
        <v>0.97435897435897434</v>
      </c>
      <c r="K52" s="347">
        <v>76</v>
      </c>
      <c r="L52" s="312" t="s">
        <v>324</v>
      </c>
      <c r="S52" s="308"/>
      <c r="T52" s="310"/>
      <c r="U52" s="313"/>
      <c r="V52" s="312"/>
      <c r="W52" s="312"/>
    </row>
    <row r="53" spans="1:23">
      <c r="A53" s="345" t="s">
        <v>54</v>
      </c>
      <c r="B53" s="346">
        <v>6.2</v>
      </c>
      <c r="C53" s="346">
        <v>24.843311933521445</v>
      </c>
      <c r="D53" s="346">
        <v>0.3</v>
      </c>
      <c r="E53" s="204">
        <v>124</v>
      </c>
      <c r="F53" s="217">
        <f>EXP(-1.122*B53 + 11.8)</f>
        <v>126.92546190205374</v>
      </c>
      <c r="G53" s="216">
        <f>MAX(E53:F53)/MIN(E53:F53)</f>
        <v>1.0235924346939818</v>
      </c>
      <c r="H53" s="221">
        <f>I53/27</f>
        <v>3.7037037037037035E-2</v>
      </c>
      <c r="I53" s="219">
        <v>1</v>
      </c>
      <c r="J53" s="221">
        <f>K53/78</f>
        <v>2.564102564102564E-2</v>
      </c>
      <c r="K53" s="219">
        <v>2</v>
      </c>
      <c r="L53" s="323" t="s">
        <v>304</v>
      </c>
      <c r="N53" s="307"/>
      <c r="O53" s="311"/>
      <c r="P53" s="313"/>
      <c r="Q53" s="311"/>
      <c r="R53" s="312"/>
      <c r="S53" s="307"/>
      <c r="T53" s="310"/>
      <c r="U53" s="313"/>
      <c r="V53" s="312"/>
      <c r="W53" s="312"/>
    </row>
    <row r="54" spans="1:23">
      <c r="A54" s="270" t="s">
        <v>54</v>
      </c>
      <c r="B54" s="271">
        <v>7.1</v>
      </c>
      <c r="C54" s="271">
        <v>24.843311933521445</v>
      </c>
      <c r="D54" s="271">
        <v>0.3</v>
      </c>
      <c r="E54" s="204">
        <v>41</v>
      </c>
      <c r="F54" s="217">
        <f>EXP(-1.122*B54 + 11.8)</f>
        <v>46.237908872688308</v>
      </c>
      <c r="G54" s="216">
        <f>MAX(E54:F54)/MIN(E54:F54)</f>
        <v>1.1277538749436173</v>
      </c>
      <c r="H54" s="221">
        <f>I54/27</f>
        <v>7.407407407407407E-2</v>
      </c>
      <c r="I54" s="219">
        <v>2</v>
      </c>
      <c r="J54" s="221">
        <f>K54/78</f>
        <v>0.14102564102564102</v>
      </c>
      <c r="K54" s="219">
        <v>11</v>
      </c>
      <c r="L54" s="323" t="s">
        <v>304</v>
      </c>
      <c r="N54" s="307"/>
      <c r="O54" s="311"/>
      <c r="P54" s="313"/>
      <c r="Q54" s="312"/>
      <c r="R54" s="312"/>
      <c r="S54" s="307"/>
      <c r="T54" s="310"/>
      <c r="U54" s="313"/>
      <c r="V54" s="312"/>
      <c r="W54" s="312"/>
    </row>
    <row r="55" spans="1:23">
      <c r="A55" s="270" t="s">
        <v>54</v>
      </c>
      <c r="B55" s="271">
        <v>6.8</v>
      </c>
      <c r="C55" s="271">
        <v>24.843311933521445</v>
      </c>
      <c r="D55" s="271">
        <v>0.3</v>
      </c>
      <c r="E55" s="204">
        <v>73.900000000000006</v>
      </c>
      <c r="F55" s="217">
        <f>EXP(-1.122*B55 + 11.8)</f>
        <v>64.741343466172538</v>
      </c>
      <c r="G55" s="216">
        <f>MAX(E55:F55)/MIN(E55:F55)</f>
        <v>1.141465345689233</v>
      </c>
      <c r="H55" s="279">
        <f>I55/27</f>
        <v>0.1111111111111111</v>
      </c>
      <c r="I55" s="219">
        <v>3</v>
      </c>
      <c r="J55" s="221">
        <f>K55/78</f>
        <v>0.15384615384615385</v>
      </c>
      <c r="K55" s="219">
        <v>12</v>
      </c>
      <c r="L55" s="323" t="s">
        <v>304</v>
      </c>
      <c r="N55" s="307"/>
      <c r="O55" s="311"/>
      <c r="P55" s="313"/>
      <c r="Q55" s="312"/>
      <c r="R55" s="312"/>
      <c r="S55" s="307"/>
      <c r="T55" s="310"/>
      <c r="U55" s="313"/>
      <c r="V55" s="312"/>
      <c r="W55" s="312"/>
    </row>
    <row r="56" spans="1:23">
      <c r="A56" s="270" t="s">
        <v>54</v>
      </c>
      <c r="B56" s="271">
        <v>7.5</v>
      </c>
      <c r="C56" s="271">
        <v>24.182370204912772</v>
      </c>
      <c r="D56" s="271">
        <v>0.3</v>
      </c>
      <c r="E56" s="204">
        <v>24</v>
      </c>
      <c r="F56" s="217">
        <f>EXP(-1.122*B56 + 11.8)</f>
        <v>29.517992716151486</v>
      </c>
      <c r="G56" s="216">
        <f>MAX(E56:F56)/MIN(E56:F56)</f>
        <v>1.2299163631729786</v>
      </c>
      <c r="H56" s="221">
        <f>I56/27</f>
        <v>0.14814814814814814</v>
      </c>
      <c r="I56" s="219">
        <v>4</v>
      </c>
      <c r="J56" s="221">
        <f>K56/78</f>
        <v>0.23076923076923078</v>
      </c>
      <c r="K56" s="219">
        <v>18</v>
      </c>
      <c r="L56" s="323" t="s">
        <v>303</v>
      </c>
      <c r="N56" s="307"/>
      <c r="O56" s="311"/>
      <c r="P56" s="313"/>
      <c r="Q56" s="311"/>
      <c r="R56" s="312"/>
      <c r="S56" s="307"/>
      <c r="T56" s="310"/>
      <c r="U56" s="313"/>
      <c r="V56" s="312"/>
      <c r="W56" s="312"/>
    </row>
    <row r="57" spans="1:23">
      <c r="A57" s="270" t="s">
        <v>54</v>
      </c>
      <c r="B57" s="271">
        <v>6.26</v>
      </c>
      <c r="C57" s="271">
        <v>27.003250984548139</v>
      </c>
      <c r="D57" s="271">
        <v>2.48</v>
      </c>
      <c r="E57" s="204">
        <v>91</v>
      </c>
      <c r="F57" s="217">
        <f>EXP(-1.122*B57 + 11.8)</f>
        <v>118.66210494852315</v>
      </c>
      <c r="G57" s="216">
        <f>MAX(E57:F57)/MIN(E57:F57)</f>
        <v>1.3039791752584962</v>
      </c>
      <c r="H57" s="221">
        <f>I57/27</f>
        <v>0.18518518518518517</v>
      </c>
      <c r="I57" s="219">
        <v>5</v>
      </c>
      <c r="J57" s="221">
        <f>K57/78</f>
        <v>0.25641025641025639</v>
      </c>
      <c r="K57" s="219">
        <v>20</v>
      </c>
      <c r="L57" s="323" t="s">
        <v>305</v>
      </c>
      <c r="N57" s="307"/>
      <c r="O57" s="311"/>
      <c r="P57" s="313"/>
      <c r="Q57" s="312"/>
      <c r="R57" s="312"/>
      <c r="S57" s="307"/>
      <c r="T57" s="312"/>
      <c r="U57" s="313"/>
      <c r="V57" s="312"/>
      <c r="W57" s="312"/>
    </row>
    <row r="58" spans="1:23">
      <c r="A58" s="270" t="s">
        <v>54</v>
      </c>
      <c r="B58" s="271">
        <v>6.43</v>
      </c>
      <c r="C58" s="271">
        <v>27.468547604643891</v>
      </c>
      <c r="D58" s="271">
        <v>3.65</v>
      </c>
      <c r="E58" s="204">
        <v>73</v>
      </c>
      <c r="F58" s="217">
        <f>EXP(-1.122*B58 + 11.8)</f>
        <v>98.056123154602489</v>
      </c>
      <c r="G58" s="216">
        <f>MAX(E58:F58)/MIN(E58:F58)</f>
        <v>1.3432345637616778</v>
      </c>
      <c r="H58" s="221">
        <f>I58/27</f>
        <v>0.22222222222222221</v>
      </c>
      <c r="I58" s="219">
        <v>6</v>
      </c>
      <c r="J58" s="221">
        <f>K58/78</f>
        <v>0.28205128205128205</v>
      </c>
      <c r="K58" s="219">
        <v>22</v>
      </c>
      <c r="L58" s="323" t="s">
        <v>305</v>
      </c>
      <c r="N58" s="307"/>
      <c r="O58" s="311"/>
      <c r="P58" s="313"/>
      <c r="Q58" s="312"/>
      <c r="R58" s="312"/>
      <c r="S58" s="307"/>
      <c r="T58" s="310"/>
      <c r="U58" s="313"/>
      <c r="V58" s="312"/>
      <c r="W58" s="312"/>
    </row>
    <row r="59" spans="1:23">
      <c r="A59" s="270" t="s">
        <v>54</v>
      </c>
      <c r="B59" s="271">
        <v>7.4</v>
      </c>
      <c r="C59" s="271">
        <v>24.182370204912772</v>
      </c>
      <c r="D59" s="271">
        <v>0.3</v>
      </c>
      <c r="E59" s="204">
        <v>50</v>
      </c>
      <c r="F59" s="217">
        <f>EXP(-1.122*B59 + 11.8)</f>
        <v>33.022858384705998</v>
      </c>
      <c r="G59" s="216">
        <f>MAX(E59:F59)/MIN(E59:F59)</f>
        <v>1.5141027290101783</v>
      </c>
      <c r="H59" s="221">
        <f>I59/27</f>
        <v>0.25925925925925924</v>
      </c>
      <c r="I59" s="219">
        <v>7</v>
      </c>
      <c r="J59" s="221">
        <f>K59/78</f>
        <v>0.39743589743589741</v>
      </c>
      <c r="K59" s="219">
        <v>31</v>
      </c>
      <c r="L59" s="323" t="s">
        <v>302</v>
      </c>
      <c r="N59" s="307"/>
      <c r="O59" s="311"/>
      <c r="P59" s="313"/>
      <c r="Q59" s="311"/>
      <c r="R59" s="312"/>
      <c r="S59" s="307"/>
      <c r="T59" s="310"/>
      <c r="U59" s="313"/>
      <c r="V59" s="312"/>
      <c r="W59" s="312"/>
    </row>
    <row r="60" spans="1:23">
      <c r="A60" s="270" t="s">
        <v>54</v>
      </c>
      <c r="B60" s="271">
        <v>8.01</v>
      </c>
      <c r="C60" s="271">
        <v>239.15721546074337</v>
      </c>
      <c r="D60" s="271">
        <v>5.89</v>
      </c>
      <c r="E60" s="204">
        <v>27</v>
      </c>
      <c r="F60" s="217">
        <f>EXP(-1.122*B60 + 11.8)</f>
        <v>16.656158034999486</v>
      </c>
      <c r="G60" s="216">
        <f>MAX(E60:F60)/MIN(E60:F60)</f>
        <v>1.6210220834399542</v>
      </c>
      <c r="H60" s="221">
        <f>I60/27</f>
        <v>0.29629629629629628</v>
      </c>
      <c r="I60" s="219">
        <v>8</v>
      </c>
      <c r="J60" s="221">
        <f>K60/78</f>
        <v>0.44871794871794873</v>
      </c>
      <c r="K60" s="219">
        <v>35</v>
      </c>
      <c r="L60" s="323" t="s">
        <v>304</v>
      </c>
      <c r="N60" s="307"/>
      <c r="O60" s="311"/>
      <c r="P60" s="313"/>
      <c r="Q60" s="311"/>
      <c r="R60" s="312"/>
      <c r="S60" s="307"/>
      <c r="T60" s="310"/>
      <c r="U60" s="313"/>
      <c r="V60" s="312"/>
      <c r="W60" s="312"/>
    </row>
    <row r="61" spans="1:23">
      <c r="A61" s="270" t="s">
        <v>54</v>
      </c>
      <c r="B61" s="271">
        <v>6.23</v>
      </c>
      <c r="C61" s="271">
        <v>28.404149295460776</v>
      </c>
      <c r="D61" s="271">
        <v>2.91</v>
      </c>
      <c r="E61" s="204">
        <v>58</v>
      </c>
      <c r="F61" s="217">
        <f>EXP(-1.122*B61 + 11.8)</f>
        <v>122.72425384112655</v>
      </c>
      <c r="G61" s="216">
        <f>MAX(E61:F61)/MIN(E61:F61)</f>
        <v>2.1159354110539059</v>
      </c>
      <c r="H61" s="221">
        <f>I61/27</f>
        <v>0.33333333333333331</v>
      </c>
      <c r="I61" s="219">
        <v>9</v>
      </c>
      <c r="J61" s="221">
        <f>K61/78</f>
        <v>0.55128205128205132</v>
      </c>
      <c r="K61" s="219">
        <v>43</v>
      </c>
      <c r="L61" s="323" t="s">
        <v>305</v>
      </c>
      <c r="N61" s="307"/>
      <c r="O61" s="311"/>
      <c r="P61" s="313"/>
      <c r="Q61" s="312"/>
      <c r="R61" s="312"/>
      <c r="S61" s="307"/>
      <c r="T61" s="310"/>
      <c r="U61" s="313"/>
      <c r="V61" s="312"/>
      <c r="W61" s="312"/>
    </row>
    <row r="62" spans="1:23">
      <c r="A62" s="270" t="s">
        <v>54</v>
      </c>
      <c r="B62" s="271">
        <v>7.8</v>
      </c>
      <c r="C62" s="271">
        <v>24.843311933521445</v>
      </c>
      <c r="D62" s="271">
        <v>0.3</v>
      </c>
      <c r="E62" s="204">
        <v>9.4</v>
      </c>
      <c r="F62" s="217">
        <f>EXP(-1.122*B62 + 11.8)</f>
        <v>21.081586884696449</v>
      </c>
      <c r="G62" s="216">
        <f>MAX(E62:F62)/MIN(E62:F62)</f>
        <v>2.2427220090102606</v>
      </c>
      <c r="H62" s="221">
        <f>I62/27</f>
        <v>0.37037037037037035</v>
      </c>
      <c r="I62" s="219">
        <v>10</v>
      </c>
      <c r="J62" s="221">
        <f>K62/78</f>
        <v>0.58974358974358976</v>
      </c>
      <c r="K62" s="219">
        <v>46</v>
      </c>
      <c r="L62" s="323" t="s">
        <v>304</v>
      </c>
      <c r="N62" s="307"/>
      <c r="O62" s="311"/>
      <c r="P62" s="313"/>
      <c r="Q62" s="311"/>
      <c r="R62" s="312"/>
      <c r="S62" s="307"/>
      <c r="T62" s="310"/>
      <c r="U62" s="313"/>
      <c r="V62" s="312"/>
      <c r="W62" s="312"/>
    </row>
    <row r="63" spans="1:23">
      <c r="A63" s="270" t="s">
        <v>54</v>
      </c>
      <c r="B63" s="271">
        <v>7.4</v>
      </c>
      <c r="C63" s="271">
        <v>24.843311933521445</v>
      </c>
      <c r="D63" s="271">
        <v>0.3</v>
      </c>
      <c r="E63" s="204">
        <v>14.7</v>
      </c>
      <c r="F63" s="217">
        <f>EXP(-1.122*B63 + 11.8)</f>
        <v>33.022858384705998</v>
      </c>
      <c r="G63" s="216">
        <f>MAX(E63:F63)/MIN(E63:F63)</f>
        <v>2.2464529513405442</v>
      </c>
      <c r="H63" s="221">
        <f>I63/27</f>
        <v>0.40740740740740738</v>
      </c>
      <c r="I63" s="219">
        <v>11</v>
      </c>
      <c r="J63" s="221">
        <f>K63/78</f>
        <v>0.60256410256410253</v>
      </c>
      <c r="K63" s="219">
        <v>47</v>
      </c>
      <c r="L63" s="323" t="s">
        <v>304</v>
      </c>
      <c r="N63" s="307"/>
      <c r="O63" s="311"/>
      <c r="P63" s="313"/>
      <c r="Q63" s="311"/>
      <c r="R63" s="312"/>
      <c r="S63" s="307"/>
      <c r="T63" s="310"/>
      <c r="U63" s="313"/>
      <c r="V63" s="312"/>
      <c r="W63" s="312"/>
    </row>
    <row r="64" spans="1:23">
      <c r="A64" s="270" t="s">
        <v>54</v>
      </c>
      <c r="B64" s="271">
        <v>7.7</v>
      </c>
      <c r="C64" s="271">
        <v>24.843311933521445</v>
      </c>
      <c r="D64" s="271">
        <v>0.3</v>
      </c>
      <c r="E64" s="204">
        <v>10.1</v>
      </c>
      <c r="F64" s="217">
        <f>EXP(-1.122*B64 + 11.8)</f>
        <v>23.584742530181515</v>
      </c>
      <c r="G64" s="216">
        <f>MAX(E64:F64)/MIN(E64:F64)</f>
        <v>2.3351230227902491</v>
      </c>
      <c r="H64" s="221">
        <f>I64/27</f>
        <v>0.44444444444444442</v>
      </c>
      <c r="I64" s="219">
        <v>12</v>
      </c>
      <c r="J64" s="221">
        <f>K64/78</f>
        <v>0.62820512820512819</v>
      </c>
      <c r="K64" s="219">
        <v>49</v>
      </c>
      <c r="L64" s="323" t="s">
        <v>304</v>
      </c>
      <c r="N64" s="307"/>
      <c r="O64" s="311"/>
      <c r="P64" s="313"/>
      <c r="Q64" s="311"/>
      <c r="R64" s="312"/>
      <c r="S64" s="307"/>
      <c r="T64" s="310"/>
      <c r="U64" s="313"/>
      <c r="V64" s="312"/>
      <c r="W64" s="312"/>
    </row>
    <row r="65" spans="1:23">
      <c r="A65" s="270" t="s">
        <v>54</v>
      </c>
      <c r="B65" s="271">
        <v>7.42</v>
      </c>
      <c r="C65" s="271">
        <v>144.41857830917175</v>
      </c>
      <c r="D65" s="271">
        <v>22.3</v>
      </c>
      <c r="E65" s="223">
        <v>105</v>
      </c>
      <c r="F65" s="217">
        <f>EXP(-1.122*B65 + 11.8)</f>
        <v>32.29007798786494</v>
      </c>
      <c r="G65" s="216">
        <f>MAX(E65:F65)/MIN(E65:F65)</f>
        <v>3.2517728832819932</v>
      </c>
      <c r="H65" s="279">
        <f>I65/27</f>
        <v>0.48148148148148145</v>
      </c>
      <c r="I65" s="219">
        <v>13</v>
      </c>
      <c r="J65" s="221">
        <f>K65/78</f>
        <v>0.75641025641025639</v>
      </c>
      <c r="K65" s="219">
        <v>59</v>
      </c>
      <c r="L65" s="323" t="s">
        <v>305</v>
      </c>
      <c r="N65" s="307"/>
      <c r="O65" s="311"/>
      <c r="P65" s="313"/>
      <c r="Q65" s="312"/>
      <c r="R65" s="312"/>
      <c r="S65" s="307"/>
      <c r="T65" s="310"/>
      <c r="U65" s="313"/>
      <c r="V65" s="312"/>
      <c r="W65" s="312"/>
    </row>
    <row r="66" spans="1:23">
      <c r="A66" s="270" t="s">
        <v>54</v>
      </c>
      <c r="B66" s="271">
        <v>7.5</v>
      </c>
      <c r="C66" s="271">
        <v>111.30352176688906</v>
      </c>
      <c r="D66" s="271">
        <v>0.3</v>
      </c>
      <c r="E66" s="204">
        <v>8.6</v>
      </c>
      <c r="F66" s="217">
        <f>EXP(-1.122*B66 + 11.8)</f>
        <v>29.517992716151486</v>
      </c>
      <c r="G66" s="216">
        <f>MAX(E66:F66)/MIN(E66:F66)</f>
        <v>3.4323247344362193</v>
      </c>
      <c r="H66" s="221">
        <f>I66/27</f>
        <v>0.51851851851851849</v>
      </c>
      <c r="I66" s="219">
        <v>14</v>
      </c>
      <c r="J66" s="221">
        <f>K66/78</f>
        <v>0.76923076923076927</v>
      </c>
      <c r="K66" s="219">
        <v>60</v>
      </c>
      <c r="L66" s="323" t="s">
        <v>304</v>
      </c>
      <c r="N66" s="307"/>
      <c r="O66" s="311"/>
      <c r="P66" s="313"/>
      <c r="Q66" s="311"/>
      <c r="R66" s="312"/>
      <c r="S66" s="307"/>
      <c r="T66" s="310"/>
      <c r="U66" s="313"/>
      <c r="V66" s="312"/>
      <c r="W66" s="312"/>
    </row>
    <row r="67" spans="1:23">
      <c r="A67" s="270" t="s">
        <v>54</v>
      </c>
      <c r="B67" s="271">
        <v>7.5</v>
      </c>
      <c r="C67" s="271">
        <v>214.23234299708861</v>
      </c>
      <c r="D67" s="271">
        <v>0.3</v>
      </c>
      <c r="E67" s="204">
        <v>8.5</v>
      </c>
      <c r="F67" s="217">
        <f>EXP(-1.122*B67 + 11.8)</f>
        <v>29.517992716151486</v>
      </c>
      <c r="G67" s="216">
        <f>MAX(E67:F67)/MIN(E67:F67)</f>
        <v>3.4727050254295868</v>
      </c>
      <c r="H67" s="221">
        <f>I67/27</f>
        <v>0.55555555555555558</v>
      </c>
      <c r="I67" s="219">
        <v>15</v>
      </c>
      <c r="J67" s="221">
        <f>K67/78</f>
        <v>0.79487179487179482</v>
      </c>
      <c r="K67" s="219">
        <v>62</v>
      </c>
      <c r="L67" s="323" t="s">
        <v>304</v>
      </c>
      <c r="N67" s="307"/>
      <c r="O67" s="311"/>
      <c r="P67" s="313"/>
      <c r="Q67" s="311"/>
      <c r="R67" s="312"/>
      <c r="S67" s="307"/>
      <c r="T67" s="310"/>
      <c r="U67" s="313"/>
      <c r="V67" s="312"/>
      <c r="W67" s="312"/>
    </row>
    <row r="68" spans="1:23">
      <c r="A68" s="270" t="s">
        <v>54</v>
      </c>
      <c r="B68" s="271">
        <v>7.5</v>
      </c>
      <c r="C68" s="271">
        <v>263.6381771875844</v>
      </c>
      <c r="D68" s="271">
        <v>0.3</v>
      </c>
      <c r="E68" s="204">
        <v>8</v>
      </c>
      <c r="F68" s="217">
        <f>EXP(-1.122*B68 + 11.8)</f>
        <v>29.517992716151486</v>
      </c>
      <c r="G68" s="216">
        <f>MAX(E68:F68)/MIN(E68:F68)</f>
        <v>3.6897490895189358</v>
      </c>
      <c r="H68" s="221">
        <f>I68/27</f>
        <v>0.59259259259259256</v>
      </c>
      <c r="I68" s="219">
        <v>16</v>
      </c>
      <c r="J68" s="221">
        <f>K68/78</f>
        <v>0.82051282051282048</v>
      </c>
      <c r="K68" s="219">
        <v>64</v>
      </c>
      <c r="L68" s="323" t="s">
        <v>304</v>
      </c>
      <c r="N68" s="307"/>
      <c r="O68" s="311"/>
      <c r="P68" s="313"/>
      <c r="Q68" s="311"/>
      <c r="R68" s="312"/>
      <c r="S68" s="307"/>
      <c r="T68" s="310"/>
      <c r="U68" s="313"/>
      <c r="V68" s="312"/>
      <c r="W68" s="312"/>
    </row>
    <row r="69" spans="1:23">
      <c r="A69" s="270" t="s">
        <v>54</v>
      </c>
      <c r="B69" s="271">
        <v>7.5</v>
      </c>
      <c r="C69" s="271">
        <v>24.843311933521445</v>
      </c>
      <c r="D69" s="271">
        <v>0.3</v>
      </c>
      <c r="E69" s="204">
        <v>7.9</v>
      </c>
      <c r="F69" s="217">
        <f>EXP(-1.122*B69 + 11.8)</f>
        <v>29.517992716151486</v>
      </c>
      <c r="G69" s="216">
        <f>MAX(E69:F69)/MIN(E69:F69)</f>
        <v>3.7364547741963903</v>
      </c>
      <c r="H69" s="221">
        <f>I69/27</f>
        <v>0.62962962962962965</v>
      </c>
      <c r="I69" s="219">
        <v>17</v>
      </c>
      <c r="J69" s="221">
        <f>K69/78</f>
        <v>0.83333333333333337</v>
      </c>
      <c r="K69" s="219">
        <v>65</v>
      </c>
      <c r="L69" s="323" t="s">
        <v>304</v>
      </c>
      <c r="N69" s="307"/>
      <c r="O69" s="310"/>
      <c r="P69" s="313"/>
      <c r="Q69" s="312"/>
      <c r="R69" s="312"/>
      <c r="S69" s="307"/>
      <c r="T69" s="310"/>
      <c r="U69" s="313"/>
      <c r="V69" s="312"/>
      <c r="W69" s="312"/>
    </row>
    <row r="70" spans="1:23">
      <c r="A70" s="270" t="s">
        <v>54</v>
      </c>
      <c r="B70" s="271">
        <v>7.5</v>
      </c>
      <c r="C70" s="271">
        <v>160.70935595738484</v>
      </c>
      <c r="D70" s="271">
        <v>0.3</v>
      </c>
      <c r="E70" s="204">
        <v>7.7</v>
      </c>
      <c r="F70" s="217">
        <f>EXP(-1.122*B70 + 11.8)</f>
        <v>29.517992716151486</v>
      </c>
      <c r="G70" s="216">
        <f>MAX(E70:F70)/MIN(E70:F70)</f>
        <v>3.8335055475521411</v>
      </c>
      <c r="H70" s="221">
        <f>I70/27</f>
        <v>0.66666666666666663</v>
      </c>
      <c r="I70" s="219">
        <v>18</v>
      </c>
      <c r="J70" s="221">
        <f>K70/78</f>
        <v>0.84615384615384615</v>
      </c>
      <c r="K70" s="219">
        <v>66</v>
      </c>
      <c r="L70" s="323" t="s">
        <v>304</v>
      </c>
      <c r="N70" s="307"/>
      <c r="O70" s="310"/>
      <c r="P70" s="313"/>
      <c r="Q70" s="311"/>
      <c r="R70" s="312"/>
      <c r="S70" s="307"/>
      <c r="T70" s="310"/>
      <c r="U70" s="313"/>
      <c r="V70" s="312"/>
      <c r="W70" s="312"/>
    </row>
    <row r="71" spans="1:23">
      <c r="A71" s="270" t="s">
        <v>54</v>
      </c>
      <c r="B71" s="271">
        <v>7.5</v>
      </c>
      <c r="C71" s="271">
        <v>24.843311933521445</v>
      </c>
      <c r="D71" s="271">
        <v>0.3</v>
      </c>
      <c r="E71" s="204">
        <v>7.4</v>
      </c>
      <c r="F71" s="217">
        <f>EXP(-1.122*B71 + 11.8)</f>
        <v>29.517992716151486</v>
      </c>
      <c r="G71" s="216">
        <f>MAX(E71:F71)/MIN(E71:F71)</f>
        <v>3.9889179346150656</v>
      </c>
      <c r="H71" s="221">
        <f>I71/27</f>
        <v>0.70370370370370372</v>
      </c>
      <c r="I71" s="219">
        <v>19</v>
      </c>
      <c r="J71" s="221">
        <f>K71/78</f>
        <v>0.85897435897435892</v>
      </c>
      <c r="K71" s="219">
        <v>67</v>
      </c>
      <c r="L71" s="323" t="s">
        <v>304</v>
      </c>
      <c r="N71" s="307"/>
      <c r="O71" s="311"/>
      <c r="P71" s="313"/>
      <c r="Q71" s="311"/>
      <c r="R71" s="312"/>
      <c r="S71" s="307"/>
      <c r="T71" s="310"/>
      <c r="U71" s="313"/>
      <c r="V71" s="312"/>
      <c r="W71" s="312"/>
    </row>
    <row r="72" spans="1:23">
      <c r="A72" s="270" t="s">
        <v>54</v>
      </c>
      <c r="B72" s="271">
        <v>7.5</v>
      </c>
      <c r="C72" s="271">
        <v>24.843311933521445</v>
      </c>
      <c r="D72" s="271">
        <v>0.3</v>
      </c>
      <c r="E72" s="204">
        <v>6.8</v>
      </c>
      <c r="F72" s="217">
        <f>EXP(-1.122*B72 + 11.8)</f>
        <v>29.517992716151486</v>
      </c>
      <c r="G72" s="216">
        <f>MAX(E72:F72)/MIN(E72:F72)</f>
        <v>4.3408812817869835</v>
      </c>
      <c r="H72" s="221">
        <f>I72/27</f>
        <v>0.7407407407407407</v>
      </c>
      <c r="I72" s="219">
        <v>20</v>
      </c>
      <c r="J72" s="221">
        <f>K72/78</f>
        <v>0.88461538461538458</v>
      </c>
      <c r="K72" s="219">
        <v>69</v>
      </c>
      <c r="L72" s="323" t="s">
        <v>304</v>
      </c>
      <c r="N72" s="307"/>
      <c r="O72" s="310"/>
      <c r="P72" s="313"/>
      <c r="Q72" s="312"/>
      <c r="R72" s="312"/>
      <c r="S72" s="307"/>
      <c r="T72" s="310"/>
      <c r="U72" s="313"/>
      <c r="V72" s="312"/>
      <c r="W72" s="312"/>
    </row>
    <row r="73" spans="1:23">
      <c r="A73" s="270" t="s">
        <v>54</v>
      </c>
      <c r="B73" s="271">
        <v>7.5</v>
      </c>
      <c r="C73" s="271">
        <v>162.25369917839393</v>
      </c>
      <c r="D73" s="271">
        <v>0.3</v>
      </c>
      <c r="E73" s="204">
        <v>5.5</v>
      </c>
      <c r="F73" s="217">
        <f>EXP(-1.122*B73 + 11.8)</f>
        <v>29.517992716151486</v>
      </c>
      <c r="G73" s="216">
        <f>MAX(E73:F73)/MIN(E73:F73)</f>
        <v>5.3669077665729974</v>
      </c>
      <c r="H73" s="221">
        <f>I73/27</f>
        <v>0.77777777777777779</v>
      </c>
      <c r="I73" s="219">
        <v>21</v>
      </c>
      <c r="J73" s="221">
        <f>K73/78</f>
        <v>0.91025641025641024</v>
      </c>
      <c r="K73" s="219">
        <v>71</v>
      </c>
      <c r="L73" s="323" t="s">
        <v>304</v>
      </c>
      <c r="N73" s="307"/>
      <c r="O73" s="310"/>
      <c r="P73" s="313"/>
      <c r="Q73" s="311"/>
      <c r="R73" s="312"/>
    </row>
    <row r="74" spans="1:23">
      <c r="A74" s="270" t="s">
        <v>54</v>
      </c>
      <c r="B74" s="271">
        <v>7.5</v>
      </c>
      <c r="C74" s="271">
        <v>212.22111272198393</v>
      </c>
      <c r="D74" s="271">
        <v>0.3</v>
      </c>
      <c r="E74" s="204">
        <v>5.5</v>
      </c>
      <c r="F74" s="217">
        <f>EXP(-1.122*B74 + 11.8)</f>
        <v>29.517992716151486</v>
      </c>
      <c r="G74" s="216">
        <f>MAX(E74:F74)/MIN(E74:F74)</f>
        <v>5.3669077665729974</v>
      </c>
      <c r="H74" s="221">
        <f>I74/27</f>
        <v>0.81481481481481477</v>
      </c>
      <c r="I74" s="219">
        <v>22</v>
      </c>
      <c r="J74" s="221">
        <f>K74/78</f>
        <v>0.92307692307692313</v>
      </c>
      <c r="K74" s="219">
        <v>72</v>
      </c>
      <c r="L74" s="323" t="s">
        <v>304</v>
      </c>
      <c r="N74" s="307"/>
      <c r="O74" s="310"/>
      <c r="P74" s="313"/>
      <c r="Q74" s="311"/>
      <c r="R74" s="312"/>
    </row>
    <row r="75" spans="1:23">
      <c r="A75" s="270" t="s">
        <v>54</v>
      </c>
      <c r="B75" s="271">
        <v>7.5</v>
      </c>
      <c r="C75" s="271">
        <v>24.843311933521445</v>
      </c>
      <c r="D75" s="271">
        <v>0.3</v>
      </c>
      <c r="E75" s="204">
        <v>5.4</v>
      </c>
      <c r="F75" s="217">
        <f>EXP(-1.122*B75 + 11.8)</f>
        <v>29.517992716151486</v>
      </c>
      <c r="G75" s="216">
        <f>MAX(E75:F75)/MIN(E75:F75)</f>
        <v>5.4662949474354603</v>
      </c>
      <c r="H75" s="221">
        <f>I75/27</f>
        <v>0.85185185185185186</v>
      </c>
      <c r="I75" s="219">
        <v>23</v>
      </c>
      <c r="J75" s="221">
        <f>K75/78</f>
        <v>0.9358974358974359</v>
      </c>
      <c r="K75" s="219">
        <v>73</v>
      </c>
      <c r="L75" s="323" t="s">
        <v>304</v>
      </c>
      <c r="N75" s="307"/>
      <c r="O75" s="311"/>
      <c r="P75" s="313"/>
      <c r="Q75" s="311"/>
      <c r="R75" s="312"/>
    </row>
    <row r="76" spans="1:23">
      <c r="A76" s="270" t="s">
        <v>54</v>
      </c>
      <c r="B76" s="271">
        <v>7.5</v>
      </c>
      <c r="C76" s="271">
        <v>112.28628563480395</v>
      </c>
      <c r="D76" s="271">
        <v>0.3</v>
      </c>
      <c r="E76" s="204">
        <v>5.2</v>
      </c>
      <c r="F76" s="217">
        <f>EXP(-1.122*B76 + 11.8)</f>
        <v>29.517992716151486</v>
      </c>
      <c r="G76" s="216">
        <f>MAX(E76:F76)/MIN(E76:F76)</f>
        <v>5.6765370607983625</v>
      </c>
      <c r="H76" s="221">
        <f>I76/27</f>
        <v>0.88888888888888884</v>
      </c>
      <c r="I76" s="219">
        <v>24</v>
      </c>
      <c r="J76" s="221">
        <f>K76/78</f>
        <v>0.94871794871794868</v>
      </c>
      <c r="K76" s="219">
        <v>74</v>
      </c>
      <c r="L76" s="323" t="s">
        <v>304</v>
      </c>
      <c r="N76" s="307"/>
      <c r="O76" s="310"/>
      <c r="P76" s="313"/>
      <c r="Q76" s="311"/>
      <c r="R76" s="312"/>
    </row>
    <row r="77" spans="1:23">
      <c r="A77" s="274" t="s">
        <v>54</v>
      </c>
      <c r="B77" s="275">
        <v>7.5</v>
      </c>
      <c r="C77" s="275">
        <v>61.897687576393281</v>
      </c>
      <c r="D77" s="275">
        <v>0.3</v>
      </c>
      <c r="E77" s="204">
        <v>5.2</v>
      </c>
      <c r="F77" s="217">
        <f>EXP(-1.122*B77 + 11.8)</f>
        <v>29.517992716151486</v>
      </c>
      <c r="G77" s="216">
        <f>MAX(E77:F77)/MIN(E77:F77)</f>
        <v>5.6765370607983625</v>
      </c>
      <c r="H77" s="221">
        <f>I77/27</f>
        <v>0.92592592592592593</v>
      </c>
      <c r="I77" s="219">
        <v>25</v>
      </c>
      <c r="J77" s="221">
        <f>K77/78</f>
        <v>0.96153846153846156</v>
      </c>
      <c r="K77" s="219">
        <v>75</v>
      </c>
      <c r="L77" s="323" t="s">
        <v>304</v>
      </c>
      <c r="N77" s="307"/>
      <c r="O77" s="310"/>
      <c r="P77" s="313"/>
      <c r="Q77" s="311"/>
      <c r="R77" s="312"/>
    </row>
    <row r="78" spans="1:23">
      <c r="A78" s="276" t="s">
        <v>54</v>
      </c>
      <c r="B78" s="277">
        <v>7.5</v>
      </c>
      <c r="C78" s="277">
        <v>24.843311933521445</v>
      </c>
      <c r="D78" s="277">
        <v>0.3</v>
      </c>
      <c r="E78" s="204">
        <v>4.9000000000000004</v>
      </c>
      <c r="F78" s="217">
        <f>EXP(-1.122*B78 + 11.8)</f>
        <v>29.517992716151486</v>
      </c>
      <c r="G78" s="216">
        <f>MAX(E78:F78)/MIN(E78:F78)</f>
        <v>6.0240801461533637</v>
      </c>
      <c r="H78" s="279">
        <f>I78/27</f>
        <v>0.96296296296296291</v>
      </c>
      <c r="I78" s="219">
        <v>26</v>
      </c>
      <c r="J78" s="221">
        <f>K78/78</f>
        <v>0.98717948717948723</v>
      </c>
      <c r="K78" s="219">
        <v>77</v>
      </c>
      <c r="L78" s="323" t="s">
        <v>304</v>
      </c>
      <c r="N78" s="307"/>
      <c r="O78" s="311"/>
      <c r="P78" s="313"/>
      <c r="Q78" s="311"/>
      <c r="R78" s="312"/>
    </row>
    <row r="79" spans="1:23">
      <c r="N79" s="324"/>
      <c r="O79" s="323"/>
    </row>
    <row r="80" spans="1:23">
      <c r="N80" s="324"/>
      <c r="O80" s="323"/>
    </row>
  </sheetData>
  <sortState xmlns:xlrd2="http://schemas.microsoft.com/office/spreadsheetml/2017/richdata2" ref="A2:L78">
    <sortCondition ref="A2:A78"/>
    <sortCondition ref="K2:K78"/>
  </sortState>
  <mergeCells count="4">
    <mergeCell ref="N6:O6"/>
    <mergeCell ref="N14:O14"/>
    <mergeCell ref="N18:O18"/>
    <mergeCell ref="N10:O1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206"/>
  <sheetViews>
    <sheetView workbookViewId="0">
      <pane xSplit="2" ySplit="1" topLeftCell="T2" activePane="bottomRight" state="frozen"/>
      <selection pane="topRight" activeCell="C1" sqref="C1"/>
      <selection pane="bottomLeft" activeCell="A2" sqref="A2"/>
      <selection pane="bottomRight" activeCell="V8" sqref="V8:W10"/>
    </sheetView>
  </sheetViews>
  <sheetFormatPr baseColWidth="10" defaultRowHeight="16"/>
  <cols>
    <col min="1" max="1" width="31.6640625" style="55" bestFit="1" customWidth="1"/>
    <col min="2" max="2" width="12.5" style="56" bestFit="1" customWidth="1"/>
    <col min="3" max="3" width="5.6640625" style="222" bestFit="1" customWidth="1"/>
    <col min="4" max="4" width="3.6640625" style="55" bestFit="1" customWidth="1"/>
    <col min="5" max="5" width="19" style="55" customWidth="1"/>
    <col min="6" max="6" width="10.5" style="55" bestFit="1" customWidth="1"/>
    <col min="7" max="14" width="10.83203125" style="55"/>
    <col min="15" max="17" width="14.5" style="55" customWidth="1"/>
    <col min="18" max="18" width="13.33203125" style="55" customWidth="1"/>
    <col min="19" max="20" width="10.83203125" style="56"/>
    <col min="21" max="21" width="41.6640625" style="97" bestFit="1" customWidth="1"/>
    <col min="23" max="23" width="9.6640625" style="322" customWidth="1"/>
    <col min="24" max="24" width="9" style="322"/>
    <col min="25" max="25" width="10.83203125" style="322"/>
    <col min="26" max="26" width="9.1640625" style="322" customWidth="1"/>
    <col min="27" max="27" width="5.6640625" style="322" bestFit="1" customWidth="1"/>
    <col min="29" max="29" width="6.6640625" style="322" bestFit="1" customWidth="1"/>
    <col min="30" max="30" width="5.33203125" style="322" bestFit="1" customWidth="1"/>
    <col min="31" max="32" width="6.6640625" style="322" bestFit="1" customWidth="1"/>
    <col min="33" max="33" width="11.33203125" style="322" bestFit="1" customWidth="1"/>
    <col min="34" max="34" width="9.1640625" style="322" bestFit="1" customWidth="1"/>
    <col min="35" max="35" width="39" style="322" bestFit="1" customWidth="1"/>
    <col min="36" max="39" width="9" style="322"/>
    <col min="40" max="40" width="9.83203125" style="322" bestFit="1" customWidth="1"/>
    <col min="41" max="41" width="31" style="322" bestFit="1" customWidth="1"/>
  </cols>
  <sheetData>
    <row r="1" spans="1:41" s="123" customFormat="1" ht="50" customHeight="1">
      <c r="A1" s="265" t="s">
        <v>0</v>
      </c>
      <c r="B1" s="218" t="s">
        <v>86</v>
      </c>
      <c r="C1" s="218" t="s">
        <v>87</v>
      </c>
      <c r="D1" s="218" t="s">
        <v>88</v>
      </c>
      <c r="E1" s="218" t="s">
        <v>285</v>
      </c>
      <c r="F1" s="218" t="s">
        <v>89</v>
      </c>
      <c r="G1" s="218" t="s">
        <v>90</v>
      </c>
      <c r="H1" s="218" t="s">
        <v>91</v>
      </c>
      <c r="I1" s="218" t="s">
        <v>92</v>
      </c>
      <c r="J1" s="218" t="s">
        <v>93</v>
      </c>
      <c r="K1" s="218" t="s">
        <v>94</v>
      </c>
      <c r="L1" s="218" t="s">
        <v>95</v>
      </c>
      <c r="M1" s="218" t="s">
        <v>96</v>
      </c>
      <c r="N1" s="218" t="s">
        <v>5</v>
      </c>
      <c r="O1" s="218" t="s">
        <v>215</v>
      </c>
      <c r="P1" s="218" t="s">
        <v>288</v>
      </c>
      <c r="Q1" s="218" t="s">
        <v>287</v>
      </c>
      <c r="R1" s="218" t="s">
        <v>100</v>
      </c>
      <c r="S1" s="218" t="s">
        <v>101</v>
      </c>
      <c r="T1" s="218" t="s">
        <v>78</v>
      </c>
      <c r="U1" s="329" t="s">
        <v>301</v>
      </c>
      <c r="W1" s="322"/>
      <c r="X1" s="322"/>
      <c r="Y1" s="322"/>
      <c r="Z1" s="322"/>
      <c r="AA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</row>
    <row r="2" spans="1:41">
      <c r="A2" s="55" t="s">
        <v>59</v>
      </c>
      <c r="B2" s="56" t="s">
        <v>98</v>
      </c>
      <c r="C2" s="222">
        <v>25</v>
      </c>
      <c r="D2" s="57">
        <v>6.5</v>
      </c>
      <c r="E2" s="57">
        <v>680</v>
      </c>
      <c r="F2" s="57">
        <v>10</v>
      </c>
      <c r="G2" s="57">
        <v>7.2603758074470273</v>
      </c>
      <c r="H2" s="57">
        <v>6.3</v>
      </c>
      <c r="I2" s="57">
        <v>13</v>
      </c>
      <c r="J2" s="57">
        <v>1.05</v>
      </c>
      <c r="K2" s="57">
        <v>40.700000000000003</v>
      </c>
      <c r="L2" s="57">
        <v>0.95099999999999996</v>
      </c>
      <c r="M2" s="57">
        <v>30</v>
      </c>
      <c r="N2" s="57">
        <v>44</v>
      </c>
      <c r="O2" s="57">
        <v>670.03351324120081</v>
      </c>
      <c r="P2" s="57" t="s">
        <v>97</v>
      </c>
      <c r="Q2" s="57" t="s">
        <v>97</v>
      </c>
      <c r="R2" s="337">
        <f>IF(O2=0,(MAX(P2,E2)/MIN(P2,E2)),(MAX(O2,E2)/MIN(O2,E2)))</f>
        <v>1.0148746093469081</v>
      </c>
      <c r="S2" s="58">
        <f>T2/181</f>
        <v>3.3149171270718231E-2</v>
      </c>
      <c r="T2" s="59">
        <v>6</v>
      </c>
      <c r="U2" s="97" t="s">
        <v>331</v>
      </c>
    </row>
    <row r="3" spans="1:41">
      <c r="A3" s="55" t="s">
        <v>59</v>
      </c>
      <c r="B3" s="56" t="s">
        <v>98</v>
      </c>
      <c r="C3" s="222">
        <v>25</v>
      </c>
      <c r="D3" s="57">
        <v>7.5</v>
      </c>
      <c r="E3" s="57">
        <v>155</v>
      </c>
      <c r="F3" s="57">
        <v>0.1</v>
      </c>
      <c r="G3" s="57">
        <v>7.2603758074470273</v>
      </c>
      <c r="H3" s="57">
        <v>6.3</v>
      </c>
      <c r="I3" s="57">
        <v>13</v>
      </c>
      <c r="J3" s="57">
        <v>1.05</v>
      </c>
      <c r="K3" s="57">
        <v>40.700000000000003</v>
      </c>
      <c r="L3" s="57">
        <v>0.95099999999999996</v>
      </c>
      <c r="M3" s="57">
        <v>30</v>
      </c>
      <c r="N3" s="57">
        <v>44</v>
      </c>
      <c r="O3" s="57">
        <v>151.61003551086085</v>
      </c>
      <c r="P3" s="57" t="s">
        <v>97</v>
      </c>
      <c r="Q3" s="57" t="s">
        <v>97</v>
      </c>
      <c r="R3" s="337">
        <f>IF(O3=0,(MAX(P3,E3)/MIN(P3,E3)),(MAX(O3,E3)/MIN(O3,E3)))</f>
        <v>1.0223597631760748</v>
      </c>
      <c r="S3" s="58">
        <f>T3/181</f>
        <v>4.9723756906077346E-2</v>
      </c>
      <c r="T3" s="59">
        <v>9</v>
      </c>
      <c r="U3" s="97" t="s">
        <v>331</v>
      </c>
    </row>
    <row r="4" spans="1:41">
      <c r="A4" s="55" t="s">
        <v>59</v>
      </c>
      <c r="B4" s="56" t="s">
        <v>98</v>
      </c>
      <c r="C4" s="222">
        <v>25</v>
      </c>
      <c r="D4" s="57">
        <v>6.5</v>
      </c>
      <c r="E4" s="57">
        <v>545</v>
      </c>
      <c r="F4" s="57">
        <v>5</v>
      </c>
      <c r="G4" s="57">
        <v>7.2603758074470273</v>
      </c>
      <c r="H4" s="57">
        <v>6.3</v>
      </c>
      <c r="I4" s="57">
        <v>13</v>
      </c>
      <c r="J4" s="57">
        <v>1.05</v>
      </c>
      <c r="K4" s="57">
        <v>40.700000000000003</v>
      </c>
      <c r="L4" s="57">
        <v>0.95099999999999996</v>
      </c>
      <c r="M4" s="57">
        <v>30</v>
      </c>
      <c r="N4" s="57">
        <v>44</v>
      </c>
      <c r="O4" s="57">
        <v>446.27401547371164</v>
      </c>
      <c r="P4" s="57" t="s">
        <v>97</v>
      </c>
      <c r="Q4" s="57" t="s">
        <v>97</v>
      </c>
      <c r="R4" s="337">
        <f>IF(O4=0,(MAX(P4,E4)/MIN(P4,E4)),(MAX(O4,E4)/MIN(O4,E4)))</f>
        <v>1.2212227938512004</v>
      </c>
      <c r="S4" s="58">
        <f>T4/181</f>
        <v>0.40883977900552487</v>
      </c>
      <c r="T4" s="59">
        <v>74</v>
      </c>
      <c r="U4" s="97" t="s">
        <v>331</v>
      </c>
    </row>
    <row r="5" spans="1:41">
      <c r="A5" s="55" t="s">
        <v>59</v>
      </c>
      <c r="B5" s="56" t="s">
        <v>98</v>
      </c>
      <c r="C5" s="222">
        <v>25</v>
      </c>
      <c r="D5" s="57">
        <v>7.5</v>
      </c>
      <c r="E5" s="57">
        <v>200</v>
      </c>
      <c r="F5" s="57">
        <v>0.1</v>
      </c>
      <c r="G5" s="57">
        <v>7.2603758074470273</v>
      </c>
      <c r="H5" s="57">
        <v>6.3</v>
      </c>
      <c r="I5" s="57">
        <v>13</v>
      </c>
      <c r="J5" s="57">
        <v>1.05</v>
      </c>
      <c r="K5" s="57">
        <v>40.700000000000003</v>
      </c>
      <c r="L5" s="57">
        <v>0.95099999999999996</v>
      </c>
      <c r="M5" s="57">
        <v>30</v>
      </c>
      <c r="N5" s="57">
        <v>44</v>
      </c>
      <c r="O5" s="57">
        <v>151.73197881734097</v>
      </c>
      <c r="P5" s="57" t="s">
        <v>97</v>
      </c>
      <c r="Q5" s="57" t="s">
        <v>97</v>
      </c>
      <c r="R5" s="337">
        <f>IF(O5=0,(MAX(P5,E5)/MIN(P5,E5)),(MAX(O5,E5)/MIN(O5,E5)))</f>
        <v>1.3181136999522385</v>
      </c>
      <c r="S5" s="58">
        <f>T5/181</f>
        <v>0.53591160220994472</v>
      </c>
      <c r="T5" s="59">
        <v>97</v>
      </c>
      <c r="U5" s="97" t="s">
        <v>331</v>
      </c>
    </row>
    <row r="6" spans="1:41">
      <c r="A6" s="55" t="s">
        <v>59</v>
      </c>
      <c r="B6" s="56" t="s">
        <v>98</v>
      </c>
      <c r="C6" s="222">
        <v>25</v>
      </c>
      <c r="D6" s="57">
        <v>6.5</v>
      </c>
      <c r="E6" s="57">
        <v>413</v>
      </c>
      <c r="F6" s="57">
        <v>0.1</v>
      </c>
      <c r="G6" s="57">
        <v>7.2603758074470273</v>
      </c>
      <c r="H6" s="57">
        <v>6.3</v>
      </c>
      <c r="I6" s="57">
        <v>13</v>
      </c>
      <c r="J6" s="57">
        <v>1.05</v>
      </c>
      <c r="K6" s="57">
        <v>40.700000000000003</v>
      </c>
      <c r="L6" s="57">
        <v>0.95099999999999996</v>
      </c>
      <c r="M6" s="57">
        <v>30</v>
      </c>
      <c r="N6" s="57">
        <v>44</v>
      </c>
      <c r="O6" s="57">
        <v>237.29783214839927</v>
      </c>
      <c r="P6" s="57" t="s">
        <v>97</v>
      </c>
      <c r="Q6" s="57" t="s">
        <v>97</v>
      </c>
      <c r="R6" s="337">
        <f>IF(O6=0,(MAX(P6,E6)/MIN(P6,E6)),(MAX(O6,E6)/MIN(O6,E6)))</f>
        <v>1.7404288790203597</v>
      </c>
      <c r="S6" s="58">
        <f>T6/181</f>
        <v>0.77348066298342544</v>
      </c>
      <c r="T6" s="59">
        <v>140</v>
      </c>
      <c r="U6" s="97" t="s">
        <v>331</v>
      </c>
    </row>
    <row r="7" spans="1:41">
      <c r="A7" s="55" t="s">
        <v>59</v>
      </c>
      <c r="B7" s="56" t="s">
        <v>98</v>
      </c>
      <c r="C7" s="222">
        <v>25</v>
      </c>
      <c r="D7" s="57">
        <v>7.5</v>
      </c>
      <c r="E7" s="57">
        <v>390</v>
      </c>
      <c r="F7" s="57">
        <v>0.1</v>
      </c>
      <c r="G7" s="57">
        <v>61.713194363299735</v>
      </c>
      <c r="H7" s="57">
        <v>53.5</v>
      </c>
      <c r="I7" s="57">
        <v>13</v>
      </c>
      <c r="J7" s="57">
        <v>1.05</v>
      </c>
      <c r="K7" s="57">
        <v>345.95</v>
      </c>
      <c r="L7" s="57">
        <v>0.95099999999999996</v>
      </c>
      <c r="M7" s="57">
        <v>30</v>
      </c>
      <c r="N7" s="57">
        <v>374</v>
      </c>
      <c r="O7" s="57">
        <v>702.94402626448039</v>
      </c>
      <c r="P7" s="57" t="s">
        <v>97</v>
      </c>
      <c r="Q7" s="57" t="s">
        <v>97</v>
      </c>
      <c r="R7" s="337">
        <f>IF(O7=0,(MAX(P7,E7)/MIN(P7,E7)),(MAX(O7,E7)/MIN(O7,E7)))</f>
        <v>1.8024205801653344</v>
      </c>
      <c r="S7" s="58">
        <f>T7/181</f>
        <v>0.81215469613259672</v>
      </c>
      <c r="T7" s="59">
        <v>147</v>
      </c>
      <c r="U7" s="97" t="s">
        <v>331</v>
      </c>
    </row>
    <row r="8" spans="1:41">
      <c r="A8" s="55" t="s">
        <v>59</v>
      </c>
      <c r="B8" s="56" t="s">
        <v>98</v>
      </c>
      <c r="C8" s="222">
        <v>25</v>
      </c>
      <c r="D8" s="57">
        <v>8.4</v>
      </c>
      <c r="E8" s="57">
        <v>70</v>
      </c>
      <c r="F8" s="57">
        <v>0.1</v>
      </c>
      <c r="G8" s="57">
        <v>7.2603758074470273</v>
      </c>
      <c r="H8" s="57">
        <v>6.3</v>
      </c>
      <c r="I8" s="57">
        <v>13</v>
      </c>
      <c r="J8" s="57">
        <v>1.05</v>
      </c>
      <c r="K8" s="57">
        <v>40.700000000000003</v>
      </c>
      <c r="L8" s="57">
        <v>0.95099999999999996</v>
      </c>
      <c r="M8" s="57">
        <v>125</v>
      </c>
      <c r="N8" s="57">
        <v>44</v>
      </c>
      <c r="O8" s="57">
        <v>128.19606426904579</v>
      </c>
      <c r="P8" s="57" t="s">
        <v>97</v>
      </c>
      <c r="Q8" s="57" t="s">
        <v>97</v>
      </c>
      <c r="R8" s="337">
        <f>IF(O8=0,(MAX(P8,E8)/MIN(P8,E8)),(MAX(O8,E8)/MIN(O8,E8)))</f>
        <v>1.8313723467006542</v>
      </c>
      <c r="S8" s="58">
        <f>T8/181</f>
        <v>0.82872928176795579</v>
      </c>
      <c r="T8" s="59">
        <v>150</v>
      </c>
      <c r="U8" s="97" t="s">
        <v>331</v>
      </c>
      <c r="V8" s="358" t="s">
        <v>57</v>
      </c>
      <c r="W8" s="358"/>
    </row>
    <row r="9" spans="1:41">
      <c r="A9" s="55" t="s">
        <v>59</v>
      </c>
      <c r="B9" s="56" t="s">
        <v>98</v>
      </c>
      <c r="C9" s="222">
        <v>25</v>
      </c>
      <c r="D9" s="57">
        <v>6.5</v>
      </c>
      <c r="E9" s="57">
        <v>543</v>
      </c>
      <c r="F9" s="57">
        <v>1</v>
      </c>
      <c r="G9" s="57">
        <v>7.2603758074470273</v>
      </c>
      <c r="H9" s="57">
        <v>6.3</v>
      </c>
      <c r="I9" s="57">
        <v>13</v>
      </c>
      <c r="J9" s="57">
        <v>1.05</v>
      </c>
      <c r="K9" s="57">
        <v>40.700000000000003</v>
      </c>
      <c r="L9" s="57">
        <v>0.95099999999999996</v>
      </c>
      <c r="M9" s="57">
        <v>30</v>
      </c>
      <c r="N9" s="57">
        <v>44</v>
      </c>
      <c r="O9" s="57">
        <v>274.85011306808354</v>
      </c>
      <c r="P9" s="57" t="s">
        <v>97</v>
      </c>
      <c r="Q9" s="57" t="s">
        <v>97</v>
      </c>
      <c r="R9" s="337">
        <f>IF(O9=0,(MAX(P9,E9)/MIN(P9,E9)),(MAX(O9,E9)/MIN(O9,E9)))</f>
        <v>1.9756222543939526</v>
      </c>
      <c r="S9" s="58">
        <f>T9/181</f>
        <v>0.86740331491712708</v>
      </c>
      <c r="T9" s="59">
        <v>157</v>
      </c>
      <c r="U9" s="97" t="s">
        <v>331</v>
      </c>
      <c r="V9" s="133" t="s">
        <v>223</v>
      </c>
      <c r="W9" s="359" t="s">
        <v>224</v>
      </c>
    </row>
    <row r="10" spans="1:41">
      <c r="A10" s="55" t="s">
        <v>59</v>
      </c>
      <c r="B10" s="56" t="s">
        <v>98</v>
      </c>
      <c r="C10" s="222">
        <v>25</v>
      </c>
      <c r="D10" s="57">
        <v>6.5</v>
      </c>
      <c r="E10" s="57">
        <v>523</v>
      </c>
      <c r="F10" s="57">
        <v>0.1</v>
      </c>
      <c r="G10" s="57">
        <v>7.2603758074470273</v>
      </c>
      <c r="H10" s="57">
        <v>6.3</v>
      </c>
      <c r="I10" s="57">
        <v>13</v>
      </c>
      <c r="J10" s="57">
        <v>1.05</v>
      </c>
      <c r="K10" s="57">
        <v>40.700000000000003</v>
      </c>
      <c r="L10" s="57">
        <v>0.95099999999999996</v>
      </c>
      <c r="M10" s="57">
        <v>30</v>
      </c>
      <c r="N10" s="57">
        <v>44</v>
      </c>
      <c r="O10" s="57">
        <v>237.27072341352545</v>
      </c>
      <c r="P10" s="57" t="s">
        <v>97</v>
      </c>
      <c r="Q10" s="57" t="s">
        <v>97</v>
      </c>
      <c r="R10" s="337">
        <f>IF(O10=0,(MAX(P10,E10)/MIN(P10,E10)),(MAX(O10,E10)/MIN(O10,E10)))</f>
        <v>2.2042331749817001</v>
      </c>
      <c r="S10" s="58">
        <f>T10/181</f>
        <v>0.93370165745856348</v>
      </c>
      <c r="T10" s="59">
        <v>169</v>
      </c>
      <c r="U10" s="97" t="s">
        <v>331</v>
      </c>
      <c r="V10" s="360">
        <v>0.87</v>
      </c>
      <c r="W10" s="361">
        <v>1.9</v>
      </c>
    </row>
    <row r="11" spans="1:41">
      <c r="A11" s="50" t="s">
        <v>59</v>
      </c>
      <c r="B11" s="51" t="s">
        <v>98</v>
      </c>
      <c r="C11" s="332">
        <v>25</v>
      </c>
      <c r="D11" s="52">
        <v>8.4</v>
      </c>
      <c r="E11" s="52">
        <v>160</v>
      </c>
      <c r="F11" s="52">
        <v>0.1</v>
      </c>
      <c r="G11" s="52">
        <v>61.713194363299735</v>
      </c>
      <c r="H11" s="52">
        <v>53.5</v>
      </c>
      <c r="I11" s="52">
        <v>13</v>
      </c>
      <c r="J11" s="52">
        <v>1.05</v>
      </c>
      <c r="K11" s="52">
        <v>345.95</v>
      </c>
      <c r="L11" s="52">
        <v>0.95099999999999996</v>
      </c>
      <c r="M11" s="52">
        <v>125</v>
      </c>
      <c r="N11" s="52">
        <v>374</v>
      </c>
      <c r="O11" s="52">
        <v>483.33355004820822</v>
      </c>
      <c r="P11" s="52" t="s">
        <v>97</v>
      </c>
      <c r="Q11" s="52" t="s">
        <v>97</v>
      </c>
      <c r="R11" s="338">
        <f>IF(O11=0,(MAX(P11,E11)/MIN(P11,E11)),(MAX(O11,E11)/MIN(O11,E11)))</f>
        <v>3.0208346878013015</v>
      </c>
      <c r="S11" s="53">
        <f>T11/181</f>
        <v>0.97790055248618779</v>
      </c>
      <c r="T11" s="54">
        <v>177</v>
      </c>
      <c r="U11" s="97" t="s">
        <v>331</v>
      </c>
    </row>
    <row r="12" spans="1:41">
      <c r="A12" s="55" t="s">
        <v>60</v>
      </c>
      <c r="B12" s="56" t="s">
        <v>98</v>
      </c>
      <c r="C12" s="222">
        <v>20</v>
      </c>
      <c r="D12" s="57">
        <v>6.8</v>
      </c>
      <c r="E12" s="57">
        <v>1234</v>
      </c>
      <c r="F12" s="57">
        <v>0.5</v>
      </c>
      <c r="G12" s="57">
        <v>10.019500000000001</v>
      </c>
      <c r="H12" s="57">
        <v>99.893550000000005</v>
      </c>
      <c r="I12" s="57">
        <v>1.770212136</v>
      </c>
      <c r="J12" s="57">
        <v>3.0105691000000001</v>
      </c>
      <c r="K12" s="57">
        <v>513.00793499999997</v>
      </c>
      <c r="L12" s="57">
        <v>303.87479140880095</v>
      </c>
      <c r="M12" s="57">
        <v>15</v>
      </c>
      <c r="N12" s="57">
        <v>436.38033040000005</v>
      </c>
      <c r="O12" s="57">
        <v>1205.0660299033161</v>
      </c>
      <c r="P12" s="57" t="s">
        <v>97</v>
      </c>
      <c r="Q12" s="57" t="s">
        <v>97</v>
      </c>
      <c r="R12" s="337">
        <f>IF(O12=0,(MAX(P12,E12)/MIN(P12,E12)),(MAX(O12,E12)/MIN(O12,E12)))</f>
        <v>1.0240102777596389</v>
      </c>
      <c r="S12" s="58">
        <f>T12/181</f>
        <v>5.5248618784530384E-2</v>
      </c>
      <c r="T12" s="59">
        <v>10</v>
      </c>
      <c r="U12" s="97" t="s">
        <v>332</v>
      </c>
    </row>
    <row r="13" spans="1:41">
      <c r="A13" s="55" t="s">
        <v>60</v>
      </c>
      <c r="B13" s="56" t="s">
        <v>98</v>
      </c>
      <c r="C13" s="222">
        <v>20</v>
      </c>
      <c r="D13" s="57">
        <v>6.8</v>
      </c>
      <c r="E13" s="57">
        <v>1811</v>
      </c>
      <c r="F13" s="57">
        <v>0.5</v>
      </c>
      <c r="G13" s="57">
        <v>100.19499999999999</v>
      </c>
      <c r="H13" s="57">
        <v>6.0762499999999999</v>
      </c>
      <c r="I13" s="57">
        <v>1.770212136</v>
      </c>
      <c r="J13" s="57">
        <v>3.0105691000000001</v>
      </c>
      <c r="K13" s="57">
        <v>513.00793499999997</v>
      </c>
      <c r="L13" s="57">
        <v>192.64633140880093</v>
      </c>
      <c r="M13" s="57">
        <v>15</v>
      </c>
      <c r="N13" s="57">
        <v>275.2089125</v>
      </c>
      <c r="O13" s="57">
        <v>1854.7170615729301</v>
      </c>
      <c r="P13" s="57" t="s">
        <v>97</v>
      </c>
      <c r="Q13" s="57" t="s">
        <v>97</v>
      </c>
      <c r="R13" s="337">
        <f>IF(O13=0,(MAX(P13,E13)/MIN(P13,E13)),(MAX(O13,E13)/MIN(O13,E13)))</f>
        <v>1.0241397358216069</v>
      </c>
      <c r="S13" s="58">
        <f>T13/181</f>
        <v>6.0773480662983423E-2</v>
      </c>
      <c r="T13" s="59">
        <v>11</v>
      </c>
      <c r="U13" s="97" t="s">
        <v>332</v>
      </c>
    </row>
    <row r="14" spans="1:41">
      <c r="A14" s="55" t="s">
        <v>60</v>
      </c>
      <c r="B14" s="56" t="s">
        <v>98</v>
      </c>
      <c r="C14" s="222">
        <v>20</v>
      </c>
      <c r="D14" s="57">
        <v>6.8</v>
      </c>
      <c r="E14" s="57">
        <v>1089</v>
      </c>
      <c r="F14" s="57">
        <v>0.5</v>
      </c>
      <c r="G14" s="57">
        <v>10.019500000000001</v>
      </c>
      <c r="H14" s="57">
        <v>79.963449999999995</v>
      </c>
      <c r="I14" s="57">
        <v>1.770212136</v>
      </c>
      <c r="J14" s="57">
        <v>3.0105691000000001</v>
      </c>
      <c r="K14" s="57">
        <v>513.00793499999997</v>
      </c>
      <c r="L14" s="57">
        <v>247.22427140880094</v>
      </c>
      <c r="M14" s="57">
        <v>15</v>
      </c>
      <c r="N14" s="57">
        <v>354.30817860000002</v>
      </c>
      <c r="O14" s="57">
        <v>1056.7065432860977</v>
      </c>
      <c r="P14" s="57" t="s">
        <v>97</v>
      </c>
      <c r="Q14" s="57" t="s">
        <v>97</v>
      </c>
      <c r="R14" s="337">
        <f>IF(O14=0,(MAX(P14,E14)/MIN(P14,E14)),(MAX(O14,E14)/MIN(O14,E14)))</f>
        <v>1.0305604776643831</v>
      </c>
      <c r="S14" s="58">
        <f>T14/181</f>
        <v>7.7348066298342538E-2</v>
      </c>
      <c r="T14" s="59">
        <v>14</v>
      </c>
      <c r="U14" s="97" t="s">
        <v>332</v>
      </c>
    </row>
    <row r="15" spans="1:41">
      <c r="A15" s="55" t="s">
        <v>60</v>
      </c>
      <c r="B15" s="56" t="s">
        <v>98</v>
      </c>
      <c r="C15" s="222">
        <v>20</v>
      </c>
      <c r="D15" s="57">
        <v>6.8</v>
      </c>
      <c r="E15" s="57">
        <v>531</v>
      </c>
      <c r="F15" s="57">
        <v>0.5</v>
      </c>
      <c r="G15" s="57">
        <v>10.019500000000001</v>
      </c>
      <c r="H15" s="57">
        <v>6.0762499999999999</v>
      </c>
      <c r="I15" s="57">
        <v>1.770212136</v>
      </c>
      <c r="J15" s="57">
        <v>3.0105691000000001</v>
      </c>
      <c r="K15" s="57">
        <v>513.00793499999997</v>
      </c>
      <c r="L15" s="57">
        <v>37.202831408800961</v>
      </c>
      <c r="M15" s="57">
        <v>15</v>
      </c>
      <c r="N15" s="57">
        <v>50.040689</v>
      </c>
      <c r="O15" s="57">
        <v>513.95533735769754</v>
      </c>
      <c r="P15" s="57" t="s">
        <v>97</v>
      </c>
      <c r="Q15" s="57" t="s">
        <v>97</v>
      </c>
      <c r="R15" s="337">
        <f>IF(O15=0,(MAX(P15,E15)/MIN(P15,E15)),(MAX(O15,E15)/MIN(O15,E15)))</f>
        <v>1.0331637039318067</v>
      </c>
      <c r="S15" s="58">
        <f>T15/181</f>
        <v>8.2872928176795577E-2</v>
      </c>
      <c r="T15" s="59">
        <v>15</v>
      </c>
      <c r="U15" s="97" t="s">
        <v>332</v>
      </c>
    </row>
    <row r="16" spans="1:41">
      <c r="A16" s="55" t="s">
        <v>60</v>
      </c>
      <c r="B16" s="56" t="s">
        <v>98</v>
      </c>
      <c r="C16" s="222">
        <v>20</v>
      </c>
      <c r="D16" s="57">
        <v>6.8</v>
      </c>
      <c r="E16" s="57">
        <v>495</v>
      </c>
      <c r="F16" s="57">
        <v>0.5</v>
      </c>
      <c r="G16" s="57">
        <v>10.019500000000001</v>
      </c>
      <c r="H16" s="57">
        <v>6.0762499999999999</v>
      </c>
      <c r="I16" s="57">
        <v>1.770212136</v>
      </c>
      <c r="J16" s="57">
        <v>3.0105691000000001</v>
      </c>
      <c r="K16" s="57">
        <v>513.00793499999997</v>
      </c>
      <c r="L16" s="57">
        <v>37.202831408800961</v>
      </c>
      <c r="M16" s="57">
        <v>15</v>
      </c>
      <c r="N16" s="57">
        <v>50.040689</v>
      </c>
      <c r="O16" s="57">
        <v>513.92920223292435</v>
      </c>
      <c r="P16" s="57" t="s">
        <v>97</v>
      </c>
      <c r="Q16" s="57" t="s">
        <v>97</v>
      </c>
      <c r="R16" s="337">
        <f>IF(O16=0,(MAX(P16,E16)/MIN(P16,E16)),(MAX(O16,E16)/MIN(O16,E16)))</f>
        <v>1.0382408125917664</v>
      </c>
      <c r="S16" s="58">
        <f>T16/181</f>
        <v>8.8397790055248615E-2</v>
      </c>
      <c r="T16" s="59">
        <v>16</v>
      </c>
      <c r="U16" s="97" t="s">
        <v>332</v>
      </c>
    </row>
    <row r="17" spans="1:21">
      <c r="A17" s="55" t="s">
        <v>60</v>
      </c>
      <c r="B17" s="56" t="s">
        <v>98</v>
      </c>
      <c r="C17" s="222">
        <v>20</v>
      </c>
      <c r="D17" s="57">
        <v>6.8</v>
      </c>
      <c r="E17" s="57">
        <v>540</v>
      </c>
      <c r="F17" s="57">
        <v>0.5</v>
      </c>
      <c r="G17" s="57">
        <v>10.019500000000001</v>
      </c>
      <c r="H17" s="57">
        <v>6.0762499999999999</v>
      </c>
      <c r="I17" s="57">
        <v>1.770212136</v>
      </c>
      <c r="J17" s="57">
        <v>9.7745750000000005</v>
      </c>
      <c r="K17" s="57">
        <v>513.00793499999997</v>
      </c>
      <c r="L17" s="57">
        <v>43.178816262340789</v>
      </c>
      <c r="M17" s="57">
        <v>15</v>
      </c>
      <c r="N17" s="57">
        <v>50.040689</v>
      </c>
      <c r="O17" s="57">
        <v>513.92920223292435</v>
      </c>
      <c r="P17" s="57" t="s">
        <v>97</v>
      </c>
      <c r="Q17" s="57" t="s">
        <v>97</v>
      </c>
      <c r="R17" s="337">
        <f>IF(O17=0,(MAX(P17,E17)/MIN(P17,E17)),(MAX(O17,E17)/MIN(O17,E17)))</f>
        <v>1.0507283837030528</v>
      </c>
      <c r="S17" s="58">
        <f>T17/181</f>
        <v>0.10497237569060773</v>
      </c>
      <c r="T17" s="59">
        <v>19</v>
      </c>
      <c r="U17" s="97" t="s">
        <v>332</v>
      </c>
    </row>
    <row r="18" spans="1:21">
      <c r="A18" s="55" t="s">
        <v>60</v>
      </c>
      <c r="B18" s="56" t="s">
        <v>98</v>
      </c>
      <c r="C18" s="222">
        <v>20</v>
      </c>
      <c r="D18" s="57">
        <v>6.8</v>
      </c>
      <c r="E18" s="57">
        <v>489</v>
      </c>
      <c r="F18" s="57">
        <v>0.5</v>
      </c>
      <c r="G18" s="57">
        <v>10.019500000000001</v>
      </c>
      <c r="H18" s="57">
        <v>6.0762499999999999</v>
      </c>
      <c r="I18" s="57">
        <v>1.770212136</v>
      </c>
      <c r="J18" s="57">
        <v>3.0105691000000001</v>
      </c>
      <c r="K18" s="57">
        <v>513.00793499999997</v>
      </c>
      <c r="L18" s="57">
        <v>37.202831408800961</v>
      </c>
      <c r="M18" s="57">
        <v>15</v>
      </c>
      <c r="N18" s="57">
        <v>50.040689</v>
      </c>
      <c r="O18" s="57">
        <v>513.98109828306906</v>
      </c>
      <c r="P18" s="57" t="s">
        <v>97</v>
      </c>
      <c r="Q18" s="57" t="s">
        <v>97</v>
      </c>
      <c r="R18" s="337">
        <f>IF(O18=0,(MAX(P18,E18)/MIN(P18,E18)),(MAX(O18,E18)/MIN(O18,E18)))</f>
        <v>1.0510860905584234</v>
      </c>
      <c r="S18" s="58">
        <f>T18/181</f>
        <v>0.11049723756906077</v>
      </c>
      <c r="T18" s="59">
        <v>20</v>
      </c>
      <c r="U18" s="97" t="s">
        <v>332</v>
      </c>
    </row>
    <row r="19" spans="1:21">
      <c r="A19" s="55" t="s">
        <v>60</v>
      </c>
      <c r="B19" s="56" t="s">
        <v>98</v>
      </c>
      <c r="C19" s="222">
        <v>20</v>
      </c>
      <c r="D19" s="57">
        <v>6.8</v>
      </c>
      <c r="E19" s="57">
        <v>625</v>
      </c>
      <c r="F19" s="57">
        <v>0.5</v>
      </c>
      <c r="G19" s="57">
        <v>20.039000000000001</v>
      </c>
      <c r="H19" s="57">
        <v>6.0762499999999999</v>
      </c>
      <c r="I19" s="57">
        <v>1.770212136</v>
      </c>
      <c r="J19" s="57">
        <v>3.0105691000000001</v>
      </c>
      <c r="K19" s="57">
        <v>513.00793499999997</v>
      </c>
      <c r="L19" s="57">
        <v>54.474331408800957</v>
      </c>
      <c r="M19" s="57">
        <v>15</v>
      </c>
      <c r="N19" s="57">
        <v>75.059380500000003</v>
      </c>
      <c r="O19" s="57">
        <v>662.8995908344541</v>
      </c>
      <c r="P19" s="57" t="s">
        <v>97</v>
      </c>
      <c r="Q19" s="57" t="s">
        <v>97</v>
      </c>
      <c r="R19" s="337">
        <f>IF(O19=0,(MAX(P19,E19)/MIN(P19,E19)),(MAX(O19,E19)/MIN(O19,E19)))</f>
        <v>1.0606393453351266</v>
      </c>
      <c r="S19" s="58">
        <f>T19/181</f>
        <v>0.11602209944751381</v>
      </c>
      <c r="T19" s="59">
        <v>21</v>
      </c>
      <c r="U19" s="97" t="s">
        <v>332</v>
      </c>
    </row>
    <row r="20" spans="1:21">
      <c r="A20" s="55" t="s">
        <v>60</v>
      </c>
      <c r="B20" s="56" t="s">
        <v>98</v>
      </c>
      <c r="C20" s="222">
        <v>20</v>
      </c>
      <c r="D20" s="57">
        <v>6.8</v>
      </c>
      <c r="E20" s="57">
        <v>486</v>
      </c>
      <c r="F20" s="57">
        <v>0.5</v>
      </c>
      <c r="G20" s="57">
        <v>10.019500000000001</v>
      </c>
      <c r="H20" s="57">
        <v>6.0762499999999999</v>
      </c>
      <c r="I20" s="57">
        <v>1.770212136</v>
      </c>
      <c r="J20" s="57">
        <v>58.647450000000006</v>
      </c>
      <c r="K20" s="57">
        <v>513.00793499999997</v>
      </c>
      <c r="L20" s="57">
        <v>86.357897574044699</v>
      </c>
      <c r="M20" s="57">
        <v>15</v>
      </c>
      <c r="N20" s="57">
        <v>50.040689</v>
      </c>
      <c r="O20" s="57">
        <v>515.7440170759412</v>
      </c>
      <c r="P20" s="57" t="s">
        <v>97</v>
      </c>
      <c r="Q20" s="57" t="s">
        <v>97</v>
      </c>
      <c r="R20" s="337">
        <f>IF(O20=0,(MAX(P20,E20)/MIN(P20,E20)),(MAX(O20,E20)/MIN(O20,E20)))</f>
        <v>1.0612016812262164</v>
      </c>
      <c r="S20" s="58">
        <f>T20/181</f>
        <v>0.12154696132596685</v>
      </c>
      <c r="T20" s="59">
        <v>22</v>
      </c>
      <c r="U20" s="97" t="s">
        <v>332</v>
      </c>
    </row>
    <row r="21" spans="1:21">
      <c r="A21" s="55" t="s">
        <v>60</v>
      </c>
      <c r="B21" s="56" t="s">
        <v>98</v>
      </c>
      <c r="C21" s="222">
        <v>20</v>
      </c>
      <c r="D21" s="57">
        <v>6.8</v>
      </c>
      <c r="E21" s="57">
        <v>548</v>
      </c>
      <c r="F21" s="57">
        <v>0.5</v>
      </c>
      <c r="G21" s="57">
        <v>10.019500000000001</v>
      </c>
      <c r="H21" s="57">
        <v>6.0762499999999999</v>
      </c>
      <c r="I21" s="57">
        <v>1.770212136</v>
      </c>
      <c r="J21" s="57">
        <v>3.0105691000000001</v>
      </c>
      <c r="K21" s="57">
        <v>513.00793499999997</v>
      </c>
      <c r="L21" s="57">
        <v>37.202831408800961</v>
      </c>
      <c r="M21" s="57">
        <v>15</v>
      </c>
      <c r="N21" s="57">
        <v>50.040689</v>
      </c>
      <c r="O21" s="57">
        <v>513.79399489342211</v>
      </c>
      <c r="P21" s="57" t="s">
        <v>97</v>
      </c>
      <c r="Q21" s="57" t="s">
        <v>97</v>
      </c>
      <c r="R21" s="337">
        <f>IF(O21=0,(MAX(P21,E21)/MIN(P21,E21)),(MAX(O21,E21)/MIN(O21,E21)))</f>
        <v>1.0665753306705605</v>
      </c>
      <c r="S21" s="58">
        <f>T21/181</f>
        <v>0.13259668508287292</v>
      </c>
      <c r="T21" s="59">
        <v>24</v>
      </c>
      <c r="U21" s="97" t="s">
        <v>332</v>
      </c>
    </row>
    <row r="22" spans="1:21">
      <c r="A22" s="55" t="s">
        <v>60</v>
      </c>
      <c r="B22" s="56" t="s">
        <v>98</v>
      </c>
      <c r="C22" s="222">
        <v>20</v>
      </c>
      <c r="D22" s="57">
        <v>6.8</v>
      </c>
      <c r="E22" s="57">
        <v>552</v>
      </c>
      <c r="F22" s="57">
        <v>0.5</v>
      </c>
      <c r="G22" s="57">
        <v>10.019500000000001</v>
      </c>
      <c r="H22" s="57">
        <v>6.0762499999999999</v>
      </c>
      <c r="I22" s="57">
        <v>1.770212136</v>
      </c>
      <c r="J22" s="57">
        <v>39.098300000000002</v>
      </c>
      <c r="K22" s="57">
        <v>513.00793499999997</v>
      </c>
      <c r="L22" s="57">
        <v>69.086265049363149</v>
      </c>
      <c r="M22" s="57">
        <v>15</v>
      </c>
      <c r="N22" s="57">
        <v>50.040689</v>
      </c>
      <c r="O22" s="57">
        <v>514.62237580696308</v>
      </c>
      <c r="P22" s="57" t="s">
        <v>97</v>
      </c>
      <c r="Q22" s="57" t="s">
        <v>97</v>
      </c>
      <c r="R22" s="337">
        <f>IF(O22=0,(MAX(P22,E22)/MIN(P22,E22)),(MAX(O22,E22)/MIN(O22,E22)))</f>
        <v>1.0726311679208007</v>
      </c>
      <c r="S22" s="58">
        <f>T22/181</f>
        <v>0.143646408839779</v>
      </c>
      <c r="T22" s="59">
        <v>26</v>
      </c>
      <c r="U22" s="97" t="s">
        <v>332</v>
      </c>
    </row>
    <row r="23" spans="1:21">
      <c r="A23" s="55" t="s">
        <v>60</v>
      </c>
      <c r="B23" s="56" t="s">
        <v>98</v>
      </c>
      <c r="C23" s="222">
        <v>20</v>
      </c>
      <c r="D23" s="57">
        <v>7.3</v>
      </c>
      <c r="E23" s="57">
        <v>354</v>
      </c>
      <c r="F23" s="57">
        <v>2.5299999999999998</v>
      </c>
      <c r="G23" s="57">
        <v>5</v>
      </c>
      <c r="H23" s="57">
        <v>3.4</v>
      </c>
      <c r="I23" s="57">
        <v>8.8000000000000007</v>
      </c>
      <c r="J23" s="57">
        <v>2.1</v>
      </c>
      <c r="K23" s="57">
        <v>9.5</v>
      </c>
      <c r="L23" s="57">
        <v>23</v>
      </c>
      <c r="M23" s="57">
        <v>13.6</v>
      </c>
      <c r="N23" s="57">
        <v>26.4862</v>
      </c>
      <c r="O23" s="57">
        <v>381.91108648760422</v>
      </c>
      <c r="P23" s="57" t="s">
        <v>97</v>
      </c>
      <c r="Q23" s="57" t="s">
        <v>97</v>
      </c>
      <c r="R23" s="337">
        <f>IF(O23=0,(MAX(P23,E23)/MIN(P23,E23)),(MAX(O23,E23)/MIN(O23,E23)))</f>
        <v>1.0788448770836276</v>
      </c>
      <c r="S23" s="58">
        <f>T23/181</f>
        <v>0.14917127071823205</v>
      </c>
      <c r="T23" s="59">
        <v>27</v>
      </c>
      <c r="U23" s="97" t="s">
        <v>333</v>
      </c>
    </row>
    <row r="24" spans="1:21">
      <c r="A24" s="55" t="s">
        <v>60</v>
      </c>
      <c r="B24" s="56" t="s">
        <v>98</v>
      </c>
      <c r="C24" s="222">
        <v>20</v>
      </c>
      <c r="D24" s="57">
        <v>6.8</v>
      </c>
      <c r="E24" s="57">
        <v>1989</v>
      </c>
      <c r="F24" s="57">
        <v>0.5</v>
      </c>
      <c r="G24" s="57">
        <v>120.23400000000001</v>
      </c>
      <c r="H24" s="57">
        <v>6.0762499999999999</v>
      </c>
      <c r="I24" s="57">
        <v>1.770212136</v>
      </c>
      <c r="J24" s="57">
        <v>3.0105691000000001</v>
      </c>
      <c r="K24" s="57">
        <v>513.00793499999997</v>
      </c>
      <c r="L24" s="57">
        <v>227.18933140880094</v>
      </c>
      <c r="M24" s="57">
        <v>15</v>
      </c>
      <c r="N24" s="57">
        <v>325.24629550000003</v>
      </c>
      <c r="O24" s="57">
        <v>2150.3884078264523</v>
      </c>
      <c r="P24" s="57" t="s">
        <v>97</v>
      </c>
      <c r="Q24" s="57" t="s">
        <v>97</v>
      </c>
      <c r="R24" s="337">
        <f>IF(O24=0,(MAX(P24,E24)/MIN(P24,E24)),(MAX(O24,E24)/MIN(O24,E24)))</f>
        <v>1.0811404765341641</v>
      </c>
      <c r="S24" s="58">
        <f>T24/181</f>
        <v>0.15469613259668508</v>
      </c>
      <c r="T24" s="59">
        <v>28</v>
      </c>
      <c r="U24" s="97" t="s">
        <v>332</v>
      </c>
    </row>
    <row r="25" spans="1:21">
      <c r="A25" s="55" t="s">
        <v>60</v>
      </c>
      <c r="B25" s="56" t="s">
        <v>98</v>
      </c>
      <c r="C25" s="222">
        <v>20</v>
      </c>
      <c r="D25" s="57">
        <v>6.8</v>
      </c>
      <c r="E25" s="57">
        <v>2838</v>
      </c>
      <c r="F25" s="57">
        <v>0.5</v>
      </c>
      <c r="G25" s="57">
        <v>150.29249999999999</v>
      </c>
      <c r="H25" s="57">
        <v>6.0762499999999999</v>
      </c>
      <c r="I25" s="57">
        <v>1.770212136</v>
      </c>
      <c r="J25" s="57">
        <v>3.0105691000000001</v>
      </c>
      <c r="K25" s="57">
        <v>513.00793499999997</v>
      </c>
      <c r="L25" s="57">
        <v>279.00383140880092</v>
      </c>
      <c r="M25" s="57">
        <v>15</v>
      </c>
      <c r="N25" s="57">
        <v>400.30236999999994</v>
      </c>
      <c r="O25" s="57">
        <v>2596.000754348076</v>
      </c>
      <c r="P25" s="57" t="s">
        <v>97</v>
      </c>
      <c r="Q25" s="57" t="s">
        <v>97</v>
      </c>
      <c r="R25" s="337">
        <f>IF(O25=0,(MAX(P25,E25)/MIN(P25,E25)),(MAX(O25,E25)/MIN(O25,E25)))</f>
        <v>1.0932200213141681</v>
      </c>
      <c r="S25" s="58">
        <f>T25/181</f>
        <v>0.18784530386740331</v>
      </c>
      <c r="T25" s="59">
        <v>34</v>
      </c>
      <c r="U25" s="97" t="s">
        <v>332</v>
      </c>
    </row>
    <row r="26" spans="1:21">
      <c r="A26" s="55" t="s">
        <v>60</v>
      </c>
      <c r="B26" s="56" t="s">
        <v>98</v>
      </c>
      <c r="C26" s="222">
        <v>20</v>
      </c>
      <c r="D26" s="57">
        <v>6.8</v>
      </c>
      <c r="E26" s="57">
        <v>1424</v>
      </c>
      <c r="F26" s="57">
        <v>0.5</v>
      </c>
      <c r="G26" s="57">
        <v>80.156000000000006</v>
      </c>
      <c r="H26" s="57">
        <v>6.0762499999999999</v>
      </c>
      <c r="I26" s="57">
        <v>1.770212136</v>
      </c>
      <c r="J26" s="57">
        <v>3.0105691000000001</v>
      </c>
      <c r="K26" s="57">
        <v>513.00793499999997</v>
      </c>
      <c r="L26" s="57">
        <v>158.10333140880095</v>
      </c>
      <c r="M26" s="57">
        <v>15</v>
      </c>
      <c r="N26" s="57">
        <v>225.17152949999999</v>
      </c>
      <c r="O26" s="57">
        <v>1557.6448242445356</v>
      </c>
      <c r="P26" s="57" t="s">
        <v>97</v>
      </c>
      <c r="Q26" s="57" t="s">
        <v>97</v>
      </c>
      <c r="R26" s="337">
        <f>IF(O26=0,(MAX(P26,E26)/MIN(P26,E26)),(MAX(O26,E26)/MIN(O26,E26)))</f>
        <v>1.0938517024189154</v>
      </c>
      <c r="S26" s="58">
        <f>T26/181</f>
        <v>0.19337016574585636</v>
      </c>
      <c r="T26" s="59">
        <v>35</v>
      </c>
      <c r="U26" s="97" t="s">
        <v>332</v>
      </c>
    </row>
    <row r="27" spans="1:21">
      <c r="A27" s="55" t="s">
        <v>60</v>
      </c>
      <c r="B27" s="56" t="s">
        <v>98</v>
      </c>
      <c r="C27" s="222">
        <v>20</v>
      </c>
      <c r="D27" s="57">
        <v>6.8</v>
      </c>
      <c r="E27" s="57">
        <v>804</v>
      </c>
      <c r="F27" s="57">
        <v>0.5</v>
      </c>
      <c r="G27" s="57">
        <v>10.019500000000001</v>
      </c>
      <c r="H27" s="57">
        <v>6.0762499999999999</v>
      </c>
      <c r="I27" s="57">
        <v>68.969304000000008</v>
      </c>
      <c r="J27" s="57">
        <v>3.0105691000000001</v>
      </c>
      <c r="K27" s="57">
        <v>513.00793499999997</v>
      </c>
      <c r="L27" s="57">
        <v>37.202831408800961</v>
      </c>
      <c r="M27" s="57">
        <v>15</v>
      </c>
      <c r="N27" s="57">
        <v>50.040689</v>
      </c>
      <c r="O27" s="57">
        <v>731.30400353317998</v>
      </c>
      <c r="P27" s="57" t="s">
        <v>97</v>
      </c>
      <c r="Q27" s="57" t="s">
        <v>97</v>
      </c>
      <c r="R27" s="337">
        <f>IF(O27=0,(MAX(P27,E27)/MIN(P27,E27)),(MAX(O27,E27)/MIN(O27,E27)))</f>
        <v>1.0994059872715052</v>
      </c>
      <c r="S27" s="58">
        <f>T27/181</f>
        <v>0.20441988950276244</v>
      </c>
      <c r="T27" s="59">
        <v>37</v>
      </c>
      <c r="U27" s="97" t="s">
        <v>332</v>
      </c>
    </row>
    <row r="28" spans="1:21">
      <c r="A28" s="55" t="s">
        <v>60</v>
      </c>
      <c r="B28" s="56" t="s">
        <v>98</v>
      </c>
      <c r="C28" s="222">
        <v>20</v>
      </c>
      <c r="D28" s="57">
        <v>6.8</v>
      </c>
      <c r="E28" s="57">
        <v>566</v>
      </c>
      <c r="F28" s="57">
        <v>0.5</v>
      </c>
      <c r="G28" s="57">
        <v>10.019500000000001</v>
      </c>
      <c r="H28" s="57">
        <v>6.0762499999999999</v>
      </c>
      <c r="I28" s="57">
        <v>1.770212136</v>
      </c>
      <c r="J28" s="57">
        <v>29.323725000000003</v>
      </c>
      <c r="K28" s="57">
        <v>513.00793499999997</v>
      </c>
      <c r="L28" s="57">
        <v>60.450448787022353</v>
      </c>
      <c r="M28" s="57">
        <v>15</v>
      </c>
      <c r="N28" s="57">
        <v>50.040689</v>
      </c>
      <c r="O28" s="57">
        <v>514.62237580696308</v>
      </c>
      <c r="P28" s="57" t="s">
        <v>97</v>
      </c>
      <c r="Q28" s="57" t="s">
        <v>97</v>
      </c>
      <c r="R28" s="337">
        <f>IF(O28=0,(MAX(P28,E28)/MIN(P28,E28)),(MAX(O28,E28)/MIN(O28,E28)))</f>
        <v>1.0998355815999514</v>
      </c>
      <c r="S28" s="58">
        <f>T28/181</f>
        <v>0.20994475138121546</v>
      </c>
      <c r="T28" s="59">
        <v>38</v>
      </c>
      <c r="U28" s="97" t="s">
        <v>332</v>
      </c>
    </row>
    <row r="29" spans="1:21">
      <c r="A29" s="55" t="s">
        <v>60</v>
      </c>
      <c r="B29" s="56" t="s">
        <v>98</v>
      </c>
      <c r="C29" s="222">
        <v>20</v>
      </c>
      <c r="D29" s="57">
        <v>6.8</v>
      </c>
      <c r="E29" s="57">
        <v>551</v>
      </c>
      <c r="F29" s="57">
        <v>0.5</v>
      </c>
      <c r="G29" s="57">
        <v>10.019500000000001</v>
      </c>
      <c r="H29" s="57">
        <v>19.930099999999999</v>
      </c>
      <c r="I29" s="57">
        <v>1.770212136</v>
      </c>
      <c r="J29" s="57">
        <v>3.0105691000000001</v>
      </c>
      <c r="K29" s="57">
        <v>513.00793499999997</v>
      </c>
      <c r="L29" s="57">
        <v>76.581851408800958</v>
      </c>
      <c r="M29" s="57">
        <v>15</v>
      </c>
      <c r="N29" s="57">
        <v>107.0908433</v>
      </c>
      <c r="O29" s="57">
        <v>613.15207340452343</v>
      </c>
      <c r="P29" s="57" t="s">
        <v>97</v>
      </c>
      <c r="Q29" s="57" t="s">
        <v>97</v>
      </c>
      <c r="R29" s="337">
        <f>IF(O29=0,(MAX(P29,E29)/MIN(P29,E29)),(MAX(O29,E29)/MIN(O29,E29)))</f>
        <v>1.1127986813149247</v>
      </c>
      <c r="S29" s="58">
        <f>T29/181</f>
        <v>0.23756906077348067</v>
      </c>
      <c r="T29" s="59">
        <v>43</v>
      </c>
      <c r="U29" s="97" t="s">
        <v>332</v>
      </c>
    </row>
    <row r="30" spans="1:21">
      <c r="A30" s="55" t="s">
        <v>60</v>
      </c>
      <c r="B30" s="56" t="s">
        <v>98</v>
      </c>
      <c r="C30" s="222">
        <v>20</v>
      </c>
      <c r="D30" s="57">
        <v>6.8</v>
      </c>
      <c r="E30" s="57">
        <v>2985</v>
      </c>
      <c r="F30" s="57">
        <v>0.5</v>
      </c>
      <c r="G30" s="57">
        <v>200.39</v>
      </c>
      <c r="H30" s="57">
        <v>6.0762499999999999</v>
      </c>
      <c r="I30" s="57">
        <v>1.770212136</v>
      </c>
      <c r="J30" s="57">
        <v>3.0105691000000001</v>
      </c>
      <c r="K30" s="57">
        <v>513.00793499999997</v>
      </c>
      <c r="L30" s="57">
        <v>365.36133140880088</v>
      </c>
      <c r="M30" s="57">
        <v>15</v>
      </c>
      <c r="N30" s="57">
        <v>525.3958275</v>
      </c>
      <c r="O30" s="57">
        <v>3337.2674892191621</v>
      </c>
      <c r="P30" s="57" t="s">
        <v>97</v>
      </c>
      <c r="Q30" s="57" t="s">
        <v>97</v>
      </c>
      <c r="R30" s="337">
        <f>IF(O30=0,(MAX(P30,E30)/MIN(P30,E30)),(MAX(O30,E30)/MIN(O30,E30)))</f>
        <v>1.1180125592023993</v>
      </c>
      <c r="S30" s="58">
        <f>T30/181</f>
        <v>0.24309392265193369</v>
      </c>
      <c r="T30" s="59">
        <v>44</v>
      </c>
      <c r="U30" s="97" t="s">
        <v>332</v>
      </c>
    </row>
    <row r="31" spans="1:21">
      <c r="A31" s="55" t="s">
        <v>60</v>
      </c>
      <c r="B31" s="56" t="s">
        <v>98</v>
      </c>
      <c r="C31" s="222">
        <v>20</v>
      </c>
      <c r="D31" s="57">
        <v>6.8</v>
      </c>
      <c r="E31" s="57">
        <v>1052</v>
      </c>
      <c r="F31" s="57">
        <v>0.5</v>
      </c>
      <c r="G31" s="57">
        <v>10.019500000000001</v>
      </c>
      <c r="H31" s="57">
        <v>97.22</v>
      </c>
      <c r="I31" s="57">
        <v>1.770212136</v>
      </c>
      <c r="J31" s="57">
        <v>3.0105691000000001</v>
      </c>
      <c r="K31" s="57">
        <v>513.00793499999997</v>
      </c>
      <c r="L31" s="57">
        <v>296.27533140880092</v>
      </c>
      <c r="M31" s="57">
        <v>15</v>
      </c>
      <c r="N31" s="57">
        <v>425.37065150000001</v>
      </c>
      <c r="O31" s="57">
        <v>1185.1418407857991</v>
      </c>
      <c r="P31" s="57" t="s">
        <v>97</v>
      </c>
      <c r="Q31" s="57" t="s">
        <v>97</v>
      </c>
      <c r="R31" s="337">
        <f>IF(O31=0,(MAX(P31,E31)/MIN(P31,E31)),(MAX(O31,E31)/MIN(O31,E31)))</f>
        <v>1.1265606851576038</v>
      </c>
      <c r="S31" s="58">
        <f>T31/181</f>
        <v>0.2541436464088398</v>
      </c>
      <c r="T31" s="59">
        <v>46</v>
      </c>
      <c r="U31" s="97" t="s">
        <v>332</v>
      </c>
    </row>
    <row r="32" spans="1:21">
      <c r="A32" s="55" t="s">
        <v>60</v>
      </c>
      <c r="B32" s="56" t="s">
        <v>98</v>
      </c>
      <c r="C32" s="222">
        <v>20</v>
      </c>
      <c r="D32" s="57">
        <v>6.8</v>
      </c>
      <c r="E32" s="57">
        <v>657</v>
      </c>
      <c r="F32" s="57">
        <v>0.5</v>
      </c>
      <c r="G32" s="57">
        <v>10.019500000000001</v>
      </c>
      <c r="H32" s="57">
        <v>6.0762499999999999</v>
      </c>
      <c r="I32" s="57">
        <v>22.989768000000002</v>
      </c>
      <c r="J32" s="57">
        <v>3.0105691000000001</v>
      </c>
      <c r="K32" s="57">
        <v>513.00793499999997</v>
      </c>
      <c r="L32" s="57">
        <v>37.202831408800961</v>
      </c>
      <c r="M32" s="57">
        <v>15</v>
      </c>
      <c r="N32" s="57">
        <v>50.040689</v>
      </c>
      <c r="O32" s="57">
        <v>582.26931746683022</v>
      </c>
      <c r="P32" s="57" t="s">
        <v>97</v>
      </c>
      <c r="Q32" s="57" t="s">
        <v>97</v>
      </c>
      <c r="R32" s="337">
        <f>IF(O32=0,(MAX(P32,E32)/MIN(P32,E32)),(MAX(O32,E32)/MIN(O32,E32)))</f>
        <v>1.1283438441480766</v>
      </c>
      <c r="S32" s="58">
        <f>T32/181</f>
        <v>0.26519337016574585</v>
      </c>
      <c r="T32" s="59">
        <v>48</v>
      </c>
      <c r="U32" s="97" t="s">
        <v>332</v>
      </c>
    </row>
    <row r="33" spans="1:21">
      <c r="A33" s="55" t="s">
        <v>60</v>
      </c>
      <c r="B33" s="56" t="s">
        <v>98</v>
      </c>
      <c r="C33" s="222">
        <v>20</v>
      </c>
      <c r="D33" s="57">
        <v>6.8</v>
      </c>
      <c r="E33" s="57">
        <v>754</v>
      </c>
      <c r="F33" s="57">
        <v>0.5</v>
      </c>
      <c r="G33" s="57">
        <v>20.039000000000001</v>
      </c>
      <c r="H33" s="57">
        <v>6.0762499999999999</v>
      </c>
      <c r="I33" s="57">
        <v>1.770212136</v>
      </c>
      <c r="J33" s="57">
        <v>3.0105691000000001</v>
      </c>
      <c r="K33" s="57">
        <v>513.00793499999997</v>
      </c>
      <c r="L33" s="57">
        <v>54.474331408800957</v>
      </c>
      <c r="M33" s="57">
        <v>15</v>
      </c>
      <c r="N33" s="57">
        <v>75.059380500000003</v>
      </c>
      <c r="O33" s="57">
        <v>662.89975426602007</v>
      </c>
      <c r="P33" s="57" t="s">
        <v>97</v>
      </c>
      <c r="Q33" s="57" t="s">
        <v>97</v>
      </c>
      <c r="R33" s="337">
        <f>IF(O33=0,(MAX(P33,E33)/MIN(P33,E33)),(MAX(O33,E33)/MIN(O33,E33)))</f>
        <v>1.1374268811350647</v>
      </c>
      <c r="S33" s="58">
        <f>T33/181</f>
        <v>0.287292817679558</v>
      </c>
      <c r="T33" s="59">
        <v>52</v>
      </c>
      <c r="U33" s="97" t="s">
        <v>332</v>
      </c>
    </row>
    <row r="34" spans="1:21">
      <c r="A34" s="55" t="s">
        <v>60</v>
      </c>
      <c r="B34" s="56" t="s">
        <v>98</v>
      </c>
      <c r="C34" s="222">
        <v>20</v>
      </c>
      <c r="D34" s="57">
        <v>6.8</v>
      </c>
      <c r="E34" s="57">
        <v>449</v>
      </c>
      <c r="F34" s="57">
        <v>0.5</v>
      </c>
      <c r="G34" s="57">
        <v>10.019500000000001</v>
      </c>
      <c r="H34" s="57">
        <v>6.0762499999999999</v>
      </c>
      <c r="I34" s="57">
        <v>1.770212136</v>
      </c>
      <c r="J34" s="57">
        <v>19.549150000000001</v>
      </c>
      <c r="K34" s="57">
        <v>513.00793499999997</v>
      </c>
      <c r="L34" s="57">
        <v>51.814632524681571</v>
      </c>
      <c r="M34" s="57">
        <v>15</v>
      </c>
      <c r="N34" s="57">
        <v>50.040689</v>
      </c>
      <c r="O34" s="57">
        <v>513.92920223292435</v>
      </c>
      <c r="P34" s="57" t="s">
        <v>97</v>
      </c>
      <c r="Q34" s="57" t="s">
        <v>97</v>
      </c>
      <c r="R34" s="337">
        <f>IF(O34=0,(MAX(P34,E34)/MIN(P34,E34)),(MAX(O34,E34)/MIN(O34,E34)))</f>
        <v>1.1446084682247759</v>
      </c>
      <c r="S34" s="58">
        <f>T34/181</f>
        <v>0.30386740331491713</v>
      </c>
      <c r="T34" s="59">
        <v>55</v>
      </c>
      <c r="U34" s="97" t="s">
        <v>332</v>
      </c>
    </row>
    <row r="35" spans="1:21">
      <c r="A35" s="55" t="s">
        <v>60</v>
      </c>
      <c r="B35" s="56" t="s">
        <v>98</v>
      </c>
      <c r="C35" s="222">
        <v>20</v>
      </c>
      <c r="D35" s="57">
        <v>6.5</v>
      </c>
      <c r="E35" s="57">
        <v>718</v>
      </c>
      <c r="F35" s="57">
        <v>0.5</v>
      </c>
      <c r="G35" s="57">
        <v>10.019500000000001</v>
      </c>
      <c r="H35" s="57">
        <v>6.0762499999999999</v>
      </c>
      <c r="I35" s="57">
        <v>1.770212136</v>
      </c>
      <c r="J35" s="57">
        <v>3.0105691000000001</v>
      </c>
      <c r="K35" s="57">
        <v>513.00793499999997</v>
      </c>
      <c r="L35" s="57">
        <v>37.202831408800961</v>
      </c>
      <c r="M35" s="57">
        <v>9</v>
      </c>
      <c r="N35" s="57">
        <v>50.040689</v>
      </c>
      <c r="O35" s="57">
        <v>614.08190669962642</v>
      </c>
      <c r="P35" s="57" t="s">
        <v>97</v>
      </c>
      <c r="Q35" s="57" t="s">
        <v>97</v>
      </c>
      <c r="R35" s="337">
        <f>IF(O35=0,(MAX(P35,E35)/MIN(P35,E35)),(MAX(O35,E35)/MIN(O35,E35)))</f>
        <v>1.1692251345734639</v>
      </c>
      <c r="S35" s="58">
        <f>T35/181</f>
        <v>0.34254143646408841</v>
      </c>
      <c r="T35" s="59">
        <v>62</v>
      </c>
      <c r="U35" s="97" t="s">
        <v>332</v>
      </c>
    </row>
    <row r="36" spans="1:21">
      <c r="A36" s="55" t="s">
        <v>60</v>
      </c>
      <c r="B36" s="56" t="s">
        <v>98</v>
      </c>
      <c r="C36" s="222">
        <v>20</v>
      </c>
      <c r="D36" s="57">
        <v>6.8</v>
      </c>
      <c r="E36" s="57">
        <v>2260</v>
      </c>
      <c r="F36" s="57">
        <v>17.3</v>
      </c>
      <c r="G36" s="57">
        <v>38.299999999999997</v>
      </c>
      <c r="H36" s="57">
        <v>6.5</v>
      </c>
      <c r="I36" s="57">
        <v>17.399999999999999</v>
      </c>
      <c r="J36" s="57">
        <v>6.1</v>
      </c>
      <c r="K36" s="57">
        <v>127</v>
      </c>
      <c r="L36" s="57">
        <v>50</v>
      </c>
      <c r="M36" s="57">
        <v>12.3</v>
      </c>
      <c r="N36" s="57">
        <v>122.40209999999999</v>
      </c>
      <c r="O36" s="57">
        <v>1923.1482626369313</v>
      </c>
      <c r="P36" s="57" t="s">
        <v>97</v>
      </c>
      <c r="Q36" s="57" t="s">
        <v>97</v>
      </c>
      <c r="R36" s="337">
        <f>IF(O36=0,(MAX(P36,E36)/MIN(P36,E36)),(MAX(O36,E36)/MIN(O36,E36)))</f>
        <v>1.1751564057267188</v>
      </c>
      <c r="S36" s="58">
        <f>T36/181</f>
        <v>0.34806629834254144</v>
      </c>
      <c r="T36" s="59">
        <v>63</v>
      </c>
      <c r="U36" s="97" t="s">
        <v>332</v>
      </c>
    </row>
    <row r="37" spans="1:21">
      <c r="A37" s="55" t="s">
        <v>60</v>
      </c>
      <c r="B37" s="56" t="s">
        <v>98</v>
      </c>
      <c r="C37" s="222">
        <v>20</v>
      </c>
      <c r="D37" s="57">
        <v>6.8</v>
      </c>
      <c r="E37" s="57">
        <v>1120</v>
      </c>
      <c r="F37" s="57">
        <v>0.5</v>
      </c>
      <c r="G37" s="57">
        <v>10.019500000000001</v>
      </c>
      <c r="H37" s="57">
        <v>6.0762499999999999</v>
      </c>
      <c r="I37" s="57">
        <v>137.93860800000002</v>
      </c>
      <c r="J37" s="57">
        <v>3.0105691000000001</v>
      </c>
      <c r="K37" s="57">
        <v>513.00793499999997</v>
      </c>
      <c r="L37" s="57">
        <v>37.202831408800961</v>
      </c>
      <c r="M37" s="57">
        <v>15</v>
      </c>
      <c r="N37" s="57">
        <v>50.040689</v>
      </c>
      <c r="O37" s="57">
        <v>952.85243458458228</v>
      </c>
      <c r="P37" s="57" t="s">
        <v>97</v>
      </c>
      <c r="Q37" s="57" t="s">
        <v>97</v>
      </c>
      <c r="R37" s="337">
        <f>IF(O37=0,(MAX(P37,E37)/MIN(P37,E37)),(MAX(O37,E37)/MIN(O37,E37)))</f>
        <v>1.1754181018473122</v>
      </c>
      <c r="S37" s="58">
        <f>T37/181</f>
        <v>0.35359116022099446</v>
      </c>
      <c r="T37" s="59">
        <v>64</v>
      </c>
      <c r="U37" s="97" t="s">
        <v>332</v>
      </c>
    </row>
    <row r="38" spans="1:21">
      <c r="A38" s="55" t="s">
        <v>60</v>
      </c>
      <c r="B38" s="56" t="s">
        <v>98</v>
      </c>
      <c r="C38" s="222">
        <v>20</v>
      </c>
      <c r="D38" s="57">
        <v>6.8</v>
      </c>
      <c r="E38" s="57">
        <v>1673</v>
      </c>
      <c r="F38" s="57">
        <v>0.5</v>
      </c>
      <c r="G38" s="57">
        <v>10.019500000000001</v>
      </c>
      <c r="H38" s="57">
        <v>6.0762499999999999</v>
      </c>
      <c r="I38" s="57">
        <v>275.87721600000003</v>
      </c>
      <c r="J38" s="57">
        <v>3.0105691000000001</v>
      </c>
      <c r="K38" s="57">
        <v>513.00793499999997</v>
      </c>
      <c r="L38" s="57">
        <v>37.202831408800961</v>
      </c>
      <c r="M38" s="57">
        <v>15</v>
      </c>
      <c r="N38" s="57">
        <v>50.040689</v>
      </c>
      <c r="O38" s="57">
        <v>1400.7196646002271</v>
      </c>
      <c r="P38" s="57" t="s">
        <v>97</v>
      </c>
      <c r="Q38" s="57" t="s">
        <v>97</v>
      </c>
      <c r="R38" s="337">
        <f>IF(O38=0,(MAX(P38,E38)/MIN(P38,E38)),(MAX(O38,E38)/MIN(O38,E38)))</f>
        <v>1.1943860304677618</v>
      </c>
      <c r="S38" s="58">
        <f>T38/181</f>
        <v>0.35911602209944754</v>
      </c>
      <c r="T38" s="59">
        <v>65</v>
      </c>
      <c r="U38" s="97" t="s">
        <v>332</v>
      </c>
    </row>
    <row r="39" spans="1:21">
      <c r="A39" s="55" t="s">
        <v>60</v>
      </c>
      <c r="B39" s="56" t="s">
        <v>98</v>
      </c>
      <c r="C39" s="222">
        <v>20</v>
      </c>
      <c r="D39" s="57">
        <v>6.8</v>
      </c>
      <c r="E39" s="57">
        <v>666</v>
      </c>
      <c r="F39" s="57">
        <v>0.5</v>
      </c>
      <c r="G39" s="57">
        <v>10.019500000000001</v>
      </c>
      <c r="H39" s="57">
        <v>12.1525</v>
      </c>
      <c r="I39" s="57">
        <v>1.770212136</v>
      </c>
      <c r="J39" s="57">
        <v>3.0105691000000001</v>
      </c>
      <c r="K39" s="57">
        <v>513.00793499999997</v>
      </c>
      <c r="L39" s="57">
        <v>54.474331408800957</v>
      </c>
      <c r="M39" s="57">
        <v>15</v>
      </c>
      <c r="N39" s="57">
        <v>75.062686499999998</v>
      </c>
      <c r="O39" s="57">
        <v>557.25819702345871</v>
      </c>
      <c r="P39" s="57" t="s">
        <v>97</v>
      </c>
      <c r="Q39" s="57" t="s">
        <v>97</v>
      </c>
      <c r="R39" s="337">
        <f>IF(O39=0,(MAX(P39,E39)/MIN(P39,E39)),(MAX(O39,E39)/MIN(O39,E39)))</f>
        <v>1.1951371977251752</v>
      </c>
      <c r="S39" s="58">
        <f>T39/181</f>
        <v>0.37016574585635359</v>
      </c>
      <c r="T39" s="59">
        <v>67</v>
      </c>
      <c r="U39" s="97" t="s">
        <v>332</v>
      </c>
    </row>
    <row r="40" spans="1:21">
      <c r="A40" s="55" t="s">
        <v>60</v>
      </c>
      <c r="B40" s="56" t="s">
        <v>98</v>
      </c>
      <c r="C40" s="222">
        <v>20</v>
      </c>
      <c r="D40" s="57">
        <v>6.8</v>
      </c>
      <c r="E40" s="57">
        <v>773</v>
      </c>
      <c r="F40" s="57">
        <v>0.5</v>
      </c>
      <c r="G40" s="57">
        <v>10.019500000000001</v>
      </c>
      <c r="H40" s="57">
        <v>24.305</v>
      </c>
      <c r="I40" s="57">
        <v>1.770212136</v>
      </c>
      <c r="J40" s="57">
        <v>3.0105691000000001</v>
      </c>
      <c r="K40" s="57">
        <v>513.00793499999997</v>
      </c>
      <c r="L40" s="57">
        <v>89.01733140880097</v>
      </c>
      <c r="M40" s="57">
        <v>15</v>
      </c>
      <c r="N40" s="57">
        <v>125.10668150000001</v>
      </c>
      <c r="O40" s="57">
        <v>645.29154440464026</v>
      </c>
      <c r="P40" s="57" t="s">
        <v>97</v>
      </c>
      <c r="Q40" s="57" t="s">
        <v>97</v>
      </c>
      <c r="R40" s="337">
        <f>IF(O40=0,(MAX(P40,E40)/MIN(P40,E40)),(MAX(O40,E40)/MIN(O40,E40)))</f>
        <v>1.1979081497390243</v>
      </c>
      <c r="S40" s="58">
        <f>T40/181</f>
        <v>0.38121546961325969</v>
      </c>
      <c r="T40" s="59">
        <v>69</v>
      </c>
      <c r="U40" s="97" t="s">
        <v>332</v>
      </c>
    </row>
    <row r="41" spans="1:21">
      <c r="A41" s="55" t="s">
        <v>60</v>
      </c>
      <c r="B41" s="56" t="s">
        <v>98</v>
      </c>
      <c r="C41" s="222">
        <v>20</v>
      </c>
      <c r="D41" s="57">
        <v>6.8</v>
      </c>
      <c r="E41" s="57">
        <v>2260</v>
      </c>
      <c r="F41" s="57">
        <v>0.5</v>
      </c>
      <c r="G41" s="57">
        <v>160.31200000000001</v>
      </c>
      <c r="H41" s="57">
        <v>6.0762499999999999</v>
      </c>
      <c r="I41" s="57">
        <v>1.770212136</v>
      </c>
      <c r="J41" s="57">
        <v>3.0105691000000001</v>
      </c>
      <c r="K41" s="57">
        <v>513.00793499999997</v>
      </c>
      <c r="L41" s="57">
        <v>296.27533140880092</v>
      </c>
      <c r="M41" s="57">
        <v>15</v>
      </c>
      <c r="N41" s="57">
        <v>425.32106149999998</v>
      </c>
      <c r="O41" s="57">
        <v>2747.0083001751918</v>
      </c>
      <c r="P41" s="57" t="s">
        <v>97</v>
      </c>
      <c r="Q41" s="57" t="s">
        <v>97</v>
      </c>
      <c r="R41" s="337">
        <f>IF(O41=0,(MAX(P41,E41)/MIN(P41,E41)),(MAX(O41,E41)/MIN(O41,E41)))</f>
        <v>1.2154903983076071</v>
      </c>
      <c r="S41" s="58">
        <f>T41/181</f>
        <v>0.40331491712707185</v>
      </c>
      <c r="T41" s="59">
        <v>73</v>
      </c>
      <c r="U41" s="97" t="s">
        <v>333</v>
      </c>
    </row>
    <row r="42" spans="1:21">
      <c r="A42" s="55" t="s">
        <v>60</v>
      </c>
      <c r="B42" s="56" t="s">
        <v>98</v>
      </c>
      <c r="C42" s="222">
        <v>20</v>
      </c>
      <c r="D42" s="57">
        <v>6.8</v>
      </c>
      <c r="E42" s="57">
        <v>1012</v>
      </c>
      <c r="F42" s="57">
        <v>0.5</v>
      </c>
      <c r="G42" s="57">
        <v>10.019500000000001</v>
      </c>
      <c r="H42" s="57">
        <v>48.61</v>
      </c>
      <c r="I42" s="57">
        <v>1.770212136</v>
      </c>
      <c r="J42" s="57">
        <v>3.0105691000000001</v>
      </c>
      <c r="K42" s="57">
        <v>513.00793499999997</v>
      </c>
      <c r="L42" s="57">
        <v>158.10333140880095</v>
      </c>
      <c r="M42" s="57">
        <v>15</v>
      </c>
      <c r="N42" s="57">
        <v>225.1946715</v>
      </c>
      <c r="O42" s="57">
        <v>824.60093893770943</v>
      </c>
      <c r="P42" s="57" t="s">
        <v>97</v>
      </c>
      <c r="Q42" s="57" t="s">
        <v>97</v>
      </c>
      <c r="R42" s="337">
        <f>IF(O42=0,(MAX(P42,E42)/MIN(P42,E42)),(MAX(O42,E42)/MIN(O42,E42)))</f>
        <v>1.2272603052134612</v>
      </c>
      <c r="S42" s="58">
        <f>T42/181</f>
        <v>0.425414364640884</v>
      </c>
      <c r="T42" s="59">
        <v>77</v>
      </c>
      <c r="U42" s="97" t="s">
        <v>332</v>
      </c>
    </row>
    <row r="43" spans="1:21">
      <c r="A43" s="55" t="s">
        <v>60</v>
      </c>
      <c r="B43" s="56" t="s">
        <v>98</v>
      </c>
      <c r="C43" s="222">
        <v>20</v>
      </c>
      <c r="D43" s="57">
        <v>6.8</v>
      </c>
      <c r="E43" s="57">
        <v>1105</v>
      </c>
      <c r="F43" s="57">
        <v>0.5</v>
      </c>
      <c r="G43" s="57">
        <v>10.019500000000001</v>
      </c>
      <c r="H43" s="57">
        <v>121.52500000000001</v>
      </c>
      <c r="I43" s="57">
        <v>1.770212136</v>
      </c>
      <c r="J43" s="57">
        <v>3.0105691000000001</v>
      </c>
      <c r="K43" s="57">
        <v>513.00793499999997</v>
      </c>
      <c r="L43" s="57">
        <v>365.36133140880094</v>
      </c>
      <c r="M43" s="57">
        <v>15</v>
      </c>
      <c r="N43" s="57">
        <v>525.45864150000011</v>
      </c>
      <c r="O43" s="57">
        <v>1367.0193141531554</v>
      </c>
      <c r="P43" s="57" t="s">
        <v>97</v>
      </c>
      <c r="Q43" s="57" t="s">
        <v>97</v>
      </c>
      <c r="R43" s="337">
        <f>IF(O43=0,(MAX(P43,E43)/MIN(P43,E43)),(MAX(O43,E43)/MIN(O43,E43)))</f>
        <v>1.2371215512698239</v>
      </c>
      <c r="S43" s="58">
        <f>T43/181</f>
        <v>0.43646408839779005</v>
      </c>
      <c r="T43" s="59">
        <v>79</v>
      </c>
      <c r="U43" s="97" t="s">
        <v>332</v>
      </c>
    </row>
    <row r="44" spans="1:21">
      <c r="A44" s="55" t="s">
        <v>60</v>
      </c>
      <c r="B44" s="56" t="s">
        <v>98</v>
      </c>
      <c r="C44" s="222">
        <v>20</v>
      </c>
      <c r="D44" s="57">
        <v>6.8</v>
      </c>
      <c r="E44" s="57">
        <v>2021</v>
      </c>
      <c r="F44" s="57">
        <v>0.5</v>
      </c>
      <c r="G44" s="57">
        <v>10.019500000000001</v>
      </c>
      <c r="H44" s="57">
        <v>6.0762499999999999</v>
      </c>
      <c r="I44" s="57">
        <v>344.84652</v>
      </c>
      <c r="J44" s="57">
        <v>3.0105691000000001</v>
      </c>
      <c r="K44" s="57">
        <v>513.00793499999997</v>
      </c>
      <c r="L44" s="57">
        <v>37.202831408800961</v>
      </c>
      <c r="M44" s="57">
        <v>15</v>
      </c>
      <c r="N44" s="57">
        <v>50.040689</v>
      </c>
      <c r="O44" s="57">
        <v>1625.3717100733654</v>
      </c>
      <c r="P44" s="57" t="s">
        <v>97</v>
      </c>
      <c r="Q44" s="57" t="s">
        <v>97</v>
      </c>
      <c r="R44" s="337">
        <f>IF(O44=0,(MAX(P44,E44)/MIN(P44,E44)),(MAX(O44,E44)/MIN(O44,E44)))</f>
        <v>1.2434078847778007</v>
      </c>
      <c r="S44" s="58">
        <f>T44/181</f>
        <v>0.44198895027624308</v>
      </c>
      <c r="T44" s="59">
        <v>80</v>
      </c>
      <c r="U44" s="97" t="s">
        <v>332</v>
      </c>
    </row>
    <row r="45" spans="1:21">
      <c r="A45" s="55" t="s">
        <v>60</v>
      </c>
      <c r="B45" s="56" t="s">
        <v>98</v>
      </c>
      <c r="C45" s="222">
        <v>20</v>
      </c>
      <c r="D45" s="57">
        <v>6.8</v>
      </c>
      <c r="E45" s="57">
        <v>887</v>
      </c>
      <c r="F45" s="57">
        <v>0.5</v>
      </c>
      <c r="G45" s="57">
        <v>50.097499999999997</v>
      </c>
      <c r="H45" s="57">
        <v>6.0762499999999999</v>
      </c>
      <c r="I45" s="57">
        <v>1.770212136</v>
      </c>
      <c r="J45" s="57">
        <v>3.0105691000000001</v>
      </c>
      <c r="K45" s="57">
        <v>513.00793499999997</v>
      </c>
      <c r="L45" s="57">
        <v>106.28883140880095</v>
      </c>
      <c r="M45" s="57">
        <v>15</v>
      </c>
      <c r="N45" s="57">
        <v>150.115455</v>
      </c>
      <c r="O45" s="57">
        <v>1111.4410713387999</v>
      </c>
      <c r="P45" s="57" t="s">
        <v>97</v>
      </c>
      <c r="Q45" s="57" t="s">
        <v>97</v>
      </c>
      <c r="R45" s="337">
        <f>IF(O45=0,(MAX(P45,E45)/MIN(P45,E45)),(MAX(O45,E45)/MIN(O45,E45)))</f>
        <v>1.2530339022985344</v>
      </c>
      <c r="S45" s="58">
        <f>T45/181</f>
        <v>0.4585635359116022</v>
      </c>
      <c r="T45" s="59">
        <v>83</v>
      </c>
      <c r="U45" s="97" t="s">
        <v>332</v>
      </c>
    </row>
    <row r="46" spans="1:21">
      <c r="A46" s="55" t="s">
        <v>60</v>
      </c>
      <c r="B46" s="56" t="s">
        <v>98</v>
      </c>
      <c r="C46" s="222">
        <v>20</v>
      </c>
      <c r="D46" s="57">
        <v>6.8</v>
      </c>
      <c r="E46" s="57">
        <v>1149</v>
      </c>
      <c r="F46" s="57">
        <v>0.5</v>
      </c>
      <c r="G46" s="57">
        <v>10.019500000000001</v>
      </c>
      <c r="H46" s="57">
        <v>60.033350000000006</v>
      </c>
      <c r="I46" s="57">
        <v>1.770212136</v>
      </c>
      <c r="J46" s="57">
        <v>3.0105691000000001</v>
      </c>
      <c r="K46" s="57">
        <v>513.00793499999997</v>
      </c>
      <c r="L46" s="57">
        <v>190.57375140880097</v>
      </c>
      <c r="M46" s="57">
        <v>15</v>
      </c>
      <c r="N46" s="57">
        <v>272.23602680000005</v>
      </c>
      <c r="O46" s="57">
        <v>908.37669375123767</v>
      </c>
      <c r="P46" s="57" t="s">
        <v>97</v>
      </c>
      <c r="Q46" s="57" t="s">
        <v>97</v>
      </c>
      <c r="R46" s="337">
        <f>IF(O46=0,(MAX(P46,E46)/MIN(P46,E46)),(MAX(O46,E46)/MIN(O46,E46)))</f>
        <v>1.2648937471690109</v>
      </c>
      <c r="S46" s="58">
        <f>T46/181</f>
        <v>0.47513812154696133</v>
      </c>
      <c r="T46" s="59">
        <v>86</v>
      </c>
      <c r="U46" s="97" t="s">
        <v>332</v>
      </c>
    </row>
    <row r="47" spans="1:21">
      <c r="A47" s="55" t="s">
        <v>60</v>
      </c>
      <c r="B47" s="56" t="s">
        <v>98</v>
      </c>
      <c r="C47" s="222">
        <v>20</v>
      </c>
      <c r="D47" s="57">
        <v>6.8</v>
      </c>
      <c r="E47" s="57">
        <v>664</v>
      </c>
      <c r="F47" s="57">
        <v>0.5</v>
      </c>
      <c r="G47" s="57">
        <v>10.019500000000001</v>
      </c>
      <c r="H47" s="57">
        <v>6.0762499999999999</v>
      </c>
      <c r="I47" s="57">
        <v>1.770212136</v>
      </c>
      <c r="J47" s="57">
        <v>78.196600000000004</v>
      </c>
      <c r="K47" s="57">
        <v>513.00793499999997</v>
      </c>
      <c r="L47" s="57">
        <v>103.62953009872628</v>
      </c>
      <c r="M47" s="57">
        <v>15</v>
      </c>
      <c r="N47" s="57">
        <v>50.040689</v>
      </c>
      <c r="O47" s="57">
        <v>516.52302014422958</v>
      </c>
      <c r="P47" s="57" t="s">
        <v>97</v>
      </c>
      <c r="Q47" s="57" t="s">
        <v>97</v>
      </c>
      <c r="R47" s="337">
        <f>IF(O47=0,(MAX(P47,E47)/MIN(P47,E47)),(MAX(O47,E47)/MIN(O47,E47)))</f>
        <v>1.2855186973362585</v>
      </c>
      <c r="S47" s="58">
        <f>T47/181</f>
        <v>0.49723756906077349</v>
      </c>
      <c r="T47" s="59">
        <v>90</v>
      </c>
      <c r="U47" s="97" t="s">
        <v>332</v>
      </c>
    </row>
    <row r="48" spans="1:21">
      <c r="A48" s="55" t="s">
        <v>60</v>
      </c>
      <c r="B48" s="56" t="s">
        <v>98</v>
      </c>
      <c r="C48" s="222">
        <v>20</v>
      </c>
      <c r="D48" s="57">
        <v>6.8</v>
      </c>
      <c r="E48" s="57">
        <v>886</v>
      </c>
      <c r="F48" s="57">
        <v>0.5</v>
      </c>
      <c r="G48" s="57">
        <v>10.019500000000001</v>
      </c>
      <c r="H48" s="57">
        <v>29.895149999999997</v>
      </c>
      <c r="I48" s="57">
        <v>1.770212136</v>
      </c>
      <c r="J48" s="57">
        <v>3.0105691000000001</v>
      </c>
      <c r="K48" s="57">
        <v>513.00793499999997</v>
      </c>
      <c r="L48" s="57">
        <v>104.90711140880097</v>
      </c>
      <c r="M48" s="57">
        <v>15</v>
      </c>
      <c r="N48" s="57">
        <v>148.1269192</v>
      </c>
      <c r="O48" s="57">
        <v>686.14608401528062</v>
      </c>
      <c r="P48" s="57" t="s">
        <v>97</v>
      </c>
      <c r="Q48" s="57" t="s">
        <v>97</v>
      </c>
      <c r="R48" s="337">
        <f>IF(O48=0,(MAX(P48,E48)/MIN(P48,E48)),(MAX(O48,E48)/MIN(O48,E48)))</f>
        <v>1.2912702129190736</v>
      </c>
      <c r="S48" s="58">
        <f>T48/181</f>
        <v>0.50828729281767959</v>
      </c>
      <c r="T48" s="59">
        <v>92</v>
      </c>
      <c r="U48" s="97" t="s">
        <v>332</v>
      </c>
    </row>
    <row r="49" spans="1:21">
      <c r="A49" s="55" t="s">
        <v>60</v>
      </c>
      <c r="B49" s="56" t="s">
        <v>98</v>
      </c>
      <c r="C49" s="222">
        <v>20</v>
      </c>
      <c r="D49" s="57">
        <v>6.8</v>
      </c>
      <c r="E49" s="57">
        <v>1337</v>
      </c>
      <c r="F49" s="57">
        <v>0.5</v>
      </c>
      <c r="G49" s="57">
        <v>10.019500000000001</v>
      </c>
      <c r="H49" s="57">
        <v>72.915000000000006</v>
      </c>
      <c r="I49" s="57">
        <v>1.770212136</v>
      </c>
      <c r="J49" s="57">
        <v>3.0105691000000001</v>
      </c>
      <c r="K49" s="57">
        <v>513.00793499999997</v>
      </c>
      <c r="L49" s="57">
        <v>227.18933140880097</v>
      </c>
      <c r="M49" s="57">
        <v>15</v>
      </c>
      <c r="N49" s="57">
        <v>325.28266150000002</v>
      </c>
      <c r="O49" s="57">
        <v>1004.2627091276703</v>
      </c>
      <c r="P49" s="57" t="s">
        <v>97</v>
      </c>
      <c r="Q49" s="57" t="s">
        <v>97</v>
      </c>
      <c r="R49" s="337">
        <f>IF(O49=0,(MAX(P49,E49)/MIN(P49,E49)),(MAX(O49,E49)/MIN(O49,E49)))</f>
        <v>1.3313249489880534</v>
      </c>
      <c r="S49" s="58">
        <f>T49/181</f>
        <v>0.54696132596685088</v>
      </c>
      <c r="T49" s="59">
        <v>99</v>
      </c>
      <c r="U49" s="97" t="s">
        <v>332</v>
      </c>
    </row>
    <row r="50" spans="1:21">
      <c r="A50" s="55" t="s">
        <v>60</v>
      </c>
      <c r="B50" s="56" t="s">
        <v>98</v>
      </c>
      <c r="C50" s="222">
        <v>20</v>
      </c>
      <c r="D50" s="57">
        <v>6.8</v>
      </c>
      <c r="E50" s="57">
        <v>1018</v>
      </c>
      <c r="F50" s="57">
        <v>0.5</v>
      </c>
      <c r="G50" s="57">
        <v>10.019500000000001</v>
      </c>
      <c r="H50" s="57">
        <v>40.103249999999996</v>
      </c>
      <c r="I50" s="57">
        <v>1.770212136</v>
      </c>
      <c r="J50" s="57">
        <v>3.0105691000000001</v>
      </c>
      <c r="K50" s="57">
        <v>513.00793499999997</v>
      </c>
      <c r="L50" s="57">
        <v>133.92323140880097</v>
      </c>
      <c r="M50" s="57">
        <v>15</v>
      </c>
      <c r="N50" s="57">
        <v>190.16387499999999</v>
      </c>
      <c r="O50" s="57">
        <v>761.02046658037</v>
      </c>
      <c r="P50" s="57" t="s">
        <v>97</v>
      </c>
      <c r="Q50" s="57" t="s">
        <v>97</v>
      </c>
      <c r="R50" s="337">
        <f>IF(O50=0,(MAX(P50,E50)/MIN(P50,E50)),(MAX(O50,E50)/MIN(O50,E50)))</f>
        <v>1.3376775588892666</v>
      </c>
      <c r="S50" s="58">
        <f>T50/181</f>
        <v>0.5524861878453039</v>
      </c>
      <c r="T50" s="59">
        <v>100</v>
      </c>
      <c r="U50" s="97" t="s">
        <v>332</v>
      </c>
    </row>
    <row r="51" spans="1:21">
      <c r="A51" s="55" t="s">
        <v>60</v>
      </c>
      <c r="B51" s="56" t="s">
        <v>98</v>
      </c>
      <c r="C51" s="222">
        <v>20</v>
      </c>
      <c r="D51" s="57">
        <v>6.8</v>
      </c>
      <c r="E51" s="57">
        <v>1579</v>
      </c>
      <c r="F51" s="57">
        <v>0.5</v>
      </c>
      <c r="G51" s="57">
        <v>10.019500000000001</v>
      </c>
      <c r="H51" s="57">
        <v>6.0762499999999999</v>
      </c>
      <c r="I51" s="57">
        <v>206.90791200000001</v>
      </c>
      <c r="J51" s="57">
        <v>3.0105691000000001</v>
      </c>
      <c r="K51" s="57">
        <v>513.00793499999997</v>
      </c>
      <c r="L51" s="57">
        <v>37.202831408800961</v>
      </c>
      <c r="M51" s="57">
        <v>15</v>
      </c>
      <c r="N51" s="57">
        <v>50.040689</v>
      </c>
      <c r="O51" s="57">
        <v>1176.9539758308124</v>
      </c>
      <c r="P51" s="57" t="s">
        <v>97</v>
      </c>
      <c r="Q51" s="57" t="s">
        <v>97</v>
      </c>
      <c r="R51" s="337">
        <f>IF(O51=0,(MAX(P51,E51)/MIN(P51,E51)),(MAX(O51,E51)/MIN(O51,E51)))</f>
        <v>1.3415987646291632</v>
      </c>
      <c r="S51" s="58">
        <f>T51/181</f>
        <v>0.55801104972375692</v>
      </c>
      <c r="T51" s="59">
        <v>101</v>
      </c>
      <c r="U51" s="97" t="s">
        <v>332</v>
      </c>
    </row>
    <row r="52" spans="1:21">
      <c r="A52" s="55" t="s">
        <v>60</v>
      </c>
      <c r="B52" s="56" t="s">
        <v>98</v>
      </c>
      <c r="C52" s="222">
        <v>20</v>
      </c>
      <c r="D52" s="57">
        <v>6.8</v>
      </c>
      <c r="E52" s="57">
        <v>1301</v>
      </c>
      <c r="F52" s="57">
        <v>0.5</v>
      </c>
      <c r="G52" s="57">
        <v>40.078000000000003</v>
      </c>
      <c r="H52" s="57">
        <v>6.0762499999999999</v>
      </c>
      <c r="I52" s="57">
        <v>1.770212136</v>
      </c>
      <c r="J52" s="57">
        <v>3.0105691000000001</v>
      </c>
      <c r="K52" s="57">
        <v>513.00793499999997</v>
      </c>
      <c r="L52" s="57">
        <v>89.01733140880097</v>
      </c>
      <c r="M52" s="57">
        <v>15</v>
      </c>
      <c r="N52" s="57">
        <v>125.09676349999999</v>
      </c>
      <c r="O52" s="57">
        <v>962.36742873713013</v>
      </c>
      <c r="P52" s="57" t="s">
        <v>97</v>
      </c>
      <c r="Q52" s="57" t="s">
        <v>97</v>
      </c>
      <c r="R52" s="337">
        <f>IF(O52=0,(MAX(P52,E52)/MIN(P52,E52)),(MAX(O52,E52)/MIN(O52,E52)))</f>
        <v>1.3518745139860371</v>
      </c>
      <c r="S52" s="58">
        <f>T52/181</f>
        <v>0.58011049723756902</v>
      </c>
      <c r="T52" s="59">
        <v>105</v>
      </c>
      <c r="U52" s="97" t="s">
        <v>332</v>
      </c>
    </row>
    <row r="53" spans="1:21">
      <c r="A53" s="55" t="s">
        <v>60</v>
      </c>
      <c r="B53" s="56" t="s">
        <v>98</v>
      </c>
      <c r="C53" s="222">
        <v>20</v>
      </c>
      <c r="D53" s="57">
        <v>6.8</v>
      </c>
      <c r="E53" s="57">
        <v>378</v>
      </c>
      <c r="F53" s="57">
        <v>0.5</v>
      </c>
      <c r="G53" s="57">
        <v>10.019500000000001</v>
      </c>
      <c r="H53" s="57">
        <v>6.0762499999999999</v>
      </c>
      <c r="I53" s="57">
        <v>1.770212136</v>
      </c>
      <c r="J53" s="57">
        <v>3.0105691000000001</v>
      </c>
      <c r="K53" s="57">
        <v>513.00793499999997</v>
      </c>
      <c r="L53" s="57">
        <v>37.202831408800961</v>
      </c>
      <c r="M53" s="57">
        <v>15</v>
      </c>
      <c r="N53" s="57">
        <v>50.040689</v>
      </c>
      <c r="O53" s="57">
        <v>513.87735831224802</v>
      </c>
      <c r="P53" s="57" t="s">
        <v>97</v>
      </c>
      <c r="Q53" s="57" t="s">
        <v>97</v>
      </c>
      <c r="R53" s="337">
        <f>IF(O53=0,(MAX(P53,E53)/MIN(P53,E53)),(MAX(O53,E53)/MIN(O53,E53)))</f>
        <v>1.359463910878963</v>
      </c>
      <c r="S53" s="58">
        <f>T53/181</f>
        <v>0.59668508287292821</v>
      </c>
      <c r="T53" s="59">
        <v>108</v>
      </c>
      <c r="U53" s="97" t="s">
        <v>332</v>
      </c>
    </row>
    <row r="54" spans="1:21">
      <c r="A54" s="55" t="s">
        <v>60</v>
      </c>
      <c r="B54" s="56" t="s">
        <v>98</v>
      </c>
      <c r="C54" s="222">
        <v>20</v>
      </c>
      <c r="D54" s="57">
        <v>6.8</v>
      </c>
      <c r="E54" s="57">
        <v>1101</v>
      </c>
      <c r="F54" s="57">
        <v>0.5</v>
      </c>
      <c r="G54" s="57">
        <v>10.019500000000001</v>
      </c>
      <c r="H54" s="57">
        <v>145.83000000000001</v>
      </c>
      <c r="I54" s="57">
        <v>1.770212136</v>
      </c>
      <c r="J54" s="57">
        <v>3.0105691000000001</v>
      </c>
      <c r="K54" s="57">
        <v>513.00793499999997</v>
      </c>
      <c r="L54" s="57">
        <v>434.44733140880101</v>
      </c>
      <c r="M54" s="57">
        <v>15</v>
      </c>
      <c r="N54" s="57">
        <v>625.5466315000001</v>
      </c>
      <c r="O54" s="57">
        <v>1549.7409252204818</v>
      </c>
      <c r="P54" s="57" t="s">
        <v>97</v>
      </c>
      <c r="Q54" s="57" t="s">
        <v>97</v>
      </c>
      <c r="R54" s="337">
        <f>IF(O54=0,(MAX(P54,E54)/MIN(P54,E54)),(MAX(O54,E54)/MIN(O54,E54)))</f>
        <v>1.4075757722256874</v>
      </c>
      <c r="S54" s="58">
        <f>T54/181</f>
        <v>0.62430939226519333</v>
      </c>
      <c r="T54" s="59">
        <v>113</v>
      </c>
      <c r="U54" s="97" t="s">
        <v>332</v>
      </c>
    </row>
    <row r="55" spans="1:21">
      <c r="A55" s="55" t="s">
        <v>60</v>
      </c>
      <c r="B55" s="56" t="s">
        <v>98</v>
      </c>
      <c r="C55" s="222">
        <v>20</v>
      </c>
      <c r="D55" s="57">
        <v>6.8</v>
      </c>
      <c r="E55" s="57">
        <v>312</v>
      </c>
      <c r="F55" s="57">
        <v>0.5</v>
      </c>
      <c r="G55" s="57">
        <v>5.0097500000000004</v>
      </c>
      <c r="H55" s="57">
        <v>6.0762499999999999</v>
      </c>
      <c r="I55" s="57">
        <v>1.770212136</v>
      </c>
      <c r="J55" s="57">
        <v>3.0105691000000001</v>
      </c>
      <c r="K55" s="57">
        <v>513.00793499999997</v>
      </c>
      <c r="L55" s="57">
        <v>28.567081408800959</v>
      </c>
      <c r="M55" s="57">
        <v>15</v>
      </c>
      <c r="N55" s="57">
        <v>37.531343249999999</v>
      </c>
      <c r="O55" s="57">
        <v>439.28332067830502</v>
      </c>
      <c r="P55" s="57" t="s">
        <v>97</v>
      </c>
      <c r="Q55" s="57" t="s">
        <v>97</v>
      </c>
      <c r="R55" s="337">
        <f>IF(O55=0,(MAX(P55,E55)/MIN(P55,E55)),(MAX(O55,E55)/MIN(O55,E55)))</f>
        <v>1.4079593611484136</v>
      </c>
      <c r="S55" s="58">
        <f>T55/181</f>
        <v>0.62983425414364635</v>
      </c>
      <c r="T55" s="59">
        <v>114</v>
      </c>
      <c r="U55" s="97" t="s">
        <v>332</v>
      </c>
    </row>
    <row r="56" spans="1:21">
      <c r="A56" s="55" t="s">
        <v>60</v>
      </c>
      <c r="B56" s="56" t="s">
        <v>98</v>
      </c>
      <c r="C56" s="222">
        <v>20</v>
      </c>
      <c r="D56" s="57">
        <v>6.8</v>
      </c>
      <c r="E56" s="57">
        <v>1112</v>
      </c>
      <c r="F56" s="57">
        <v>0.5</v>
      </c>
      <c r="G56" s="57">
        <v>10.019500000000001</v>
      </c>
      <c r="H56" s="57">
        <v>170.13499999999999</v>
      </c>
      <c r="I56" s="57">
        <v>1.770212136</v>
      </c>
      <c r="J56" s="57">
        <v>3.0105691000000001</v>
      </c>
      <c r="K56" s="57">
        <v>513.00793499999997</v>
      </c>
      <c r="L56" s="57">
        <v>503.53333140880096</v>
      </c>
      <c r="M56" s="57">
        <v>15</v>
      </c>
      <c r="N56" s="57">
        <v>725.63462150000009</v>
      </c>
      <c r="O56" s="57">
        <v>1733.3007687048416</v>
      </c>
      <c r="P56" s="57" t="s">
        <v>97</v>
      </c>
      <c r="Q56" s="57" t="s">
        <v>97</v>
      </c>
      <c r="R56" s="337">
        <f>IF(O56=0,(MAX(P56,E56)/MIN(P56,E56)),(MAX(O56,E56)/MIN(O56,E56)))</f>
        <v>1.5587237128640663</v>
      </c>
      <c r="S56" s="58">
        <f>T56/181</f>
        <v>0.68508287292817682</v>
      </c>
      <c r="T56" s="59">
        <v>124</v>
      </c>
      <c r="U56" s="97" t="s">
        <v>332</v>
      </c>
    </row>
    <row r="57" spans="1:21">
      <c r="A57" s="55" t="s">
        <v>60</v>
      </c>
      <c r="B57" s="56" t="s">
        <v>98</v>
      </c>
      <c r="C57" s="222">
        <v>20</v>
      </c>
      <c r="D57" s="57">
        <v>7.2</v>
      </c>
      <c r="E57" s="57">
        <v>2140</v>
      </c>
      <c r="F57" s="57">
        <v>0.3</v>
      </c>
      <c r="G57" s="57">
        <v>80.2</v>
      </c>
      <c r="H57" s="57">
        <v>12.2</v>
      </c>
      <c r="I57" s="57">
        <v>17.7</v>
      </c>
      <c r="J57" s="57">
        <v>3</v>
      </c>
      <c r="K57" s="57">
        <v>48</v>
      </c>
      <c r="L57" s="57">
        <v>73.8</v>
      </c>
      <c r="M57" s="57">
        <v>33.200000000000003</v>
      </c>
      <c r="N57" s="57">
        <v>250.499</v>
      </c>
      <c r="O57" s="57">
        <v>1303.9099297588293</v>
      </c>
      <c r="P57" s="57" t="s">
        <v>97</v>
      </c>
      <c r="Q57" s="57" t="s">
        <v>97</v>
      </c>
      <c r="R57" s="337">
        <f>IF(O57=0,(MAX(P57,E57)/MIN(P57,E57)),(MAX(O57,E57)/MIN(O57,E57)))</f>
        <v>1.6412176571090409</v>
      </c>
      <c r="S57" s="58">
        <f>T57/181</f>
        <v>0.72928176795580113</v>
      </c>
      <c r="T57" s="59">
        <v>132</v>
      </c>
      <c r="U57" s="97" t="s">
        <v>333</v>
      </c>
    </row>
    <row r="58" spans="1:21">
      <c r="A58" s="55" t="s">
        <v>60</v>
      </c>
      <c r="B58" s="56" t="s">
        <v>98</v>
      </c>
      <c r="C58" s="222">
        <v>20</v>
      </c>
      <c r="D58" s="57">
        <v>6.8</v>
      </c>
      <c r="E58" s="57">
        <v>296</v>
      </c>
      <c r="F58" s="57">
        <v>0.5</v>
      </c>
      <c r="G58" s="57">
        <v>10.019500000000001</v>
      </c>
      <c r="H58" s="57">
        <v>5.10405</v>
      </c>
      <c r="I58" s="57">
        <v>1.770212136</v>
      </c>
      <c r="J58" s="57">
        <v>3.0105691000000001</v>
      </c>
      <c r="K58" s="57">
        <v>513.00793499999997</v>
      </c>
      <c r="L58" s="57">
        <v>34.439391408800958</v>
      </c>
      <c r="M58" s="57">
        <v>15</v>
      </c>
      <c r="N58" s="57">
        <v>46.037169399999996</v>
      </c>
      <c r="O58" s="57">
        <v>506.69494986314822</v>
      </c>
      <c r="P58" s="57" t="s">
        <v>97</v>
      </c>
      <c r="Q58" s="57" t="s">
        <v>97</v>
      </c>
      <c r="R58" s="337">
        <f>IF(O58=0,(MAX(P58,E58)/MIN(P58,E58)),(MAX(O58,E58)/MIN(O58,E58)))</f>
        <v>1.7118072630511765</v>
      </c>
      <c r="S58" s="58">
        <f>T58/181</f>
        <v>0.75690607734806625</v>
      </c>
      <c r="T58" s="59">
        <v>137</v>
      </c>
      <c r="U58" s="97" t="s">
        <v>332</v>
      </c>
    </row>
    <row r="59" spans="1:21">
      <c r="A59" s="55" t="s">
        <v>60</v>
      </c>
      <c r="B59" s="56" t="s">
        <v>98</v>
      </c>
      <c r="C59" s="222">
        <v>20</v>
      </c>
      <c r="D59" s="57">
        <v>6.8</v>
      </c>
      <c r="E59" s="57">
        <v>303</v>
      </c>
      <c r="F59" s="57">
        <v>0.5</v>
      </c>
      <c r="G59" s="57">
        <v>10.019500000000001</v>
      </c>
      <c r="H59" s="57">
        <v>9.9650499999999997</v>
      </c>
      <c r="I59" s="57">
        <v>1.770212136</v>
      </c>
      <c r="J59" s="57">
        <v>3.0105691000000001</v>
      </c>
      <c r="K59" s="57">
        <v>513.00793499999997</v>
      </c>
      <c r="L59" s="57">
        <v>48.256591408800958</v>
      </c>
      <c r="M59" s="57">
        <v>15</v>
      </c>
      <c r="N59" s="57">
        <v>66.054767400000003</v>
      </c>
      <c r="O59" s="57">
        <v>541.44021594016567</v>
      </c>
      <c r="P59" s="57" t="s">
        <v>97</v>
      </c>
      <c r="Q59" s="57" t="s">
        <v>97</v>
      </c>
      <c r="R59" s="337">
        <f>IF(O59=0,(MAX(P59,E59)/MIN(P59,E59)),(MAX(O59,E59)/MIN(O59,E59)))</f>
        <v>1.7869314057431209</v>
      </c>
      <c r="S59" s="58">
        <f>T59/181</f>
        <v>0.80110497237569056</v>
      </c>
      <c r="T59" s="59">
        <v>145</v>
      </c>
      <c r="U59" s="97" t="s">
        <v>332</v>
      </c>
    </row>
    <row r="60" spans="1:21">
      <c r="A60" s="55" t="s">
        <v>60</v>
      </c>
      <c r="B60" s="56" t="s">
        <v>98</v>
      </c>
      <c r="C60" s="222">
        <v>20</v>
      </c>
      <c r="D60" s="57">
        <v>6</v>
      </c>
      <c r="E60" s="57">
        <v>550</v>
      </c>
      <c r="F60" s="57">
        <v>0.5</v>
      </c>
      <c r="G60" s="57">
        <v>10.019500000000001</v>
      </c>
      <c r="H60" s="57">
        <v>6.0762499999999999</v>
      </c>
      <c r="I60" s="57">
        <v>1.770212136</v>
      </c>
      <c r="J60" s="57">
        <v>3.0105691000000001</v>
      </c>
      <c r="K60" s="57">
        <v>513.00793499999997</v>
      </c>
      <c r="L60" s="57">
        <v>37.202831408800961</v>
      </c>
      <c r="M60" s="57">
        <v>4</v>
      </c>
      <c r="N60" s="57">
        <v>50.040689</v>
      </c>
      <c r="O60" s="57">
        <v>996.95823421799787</v>
      </c>
      <c r="P60" s="57" t="s">
        <v>97</v>
      </c>
      <c r="Q60" s="57" t="s">
        <v>97</v>
      </c>
      <c r="R60" s="337">
        <f>IF(O60=0,(MAX(P60,E60)/MIN(P60,E60)),(MAX(O60,E60)/MIN(O60,E60)))</f>
        <v>1.8126513349418143</v>
      </c>
      <c r="S60" s="58">
        <f>T60/181</f>
        <v>0.82320441988950277</v>
      </c>
      <c r="T60" s="59">
        <v>149</v>
      </c>
      <c r="U60" s="97" t="s">
        <v>332</v>
      </c>
    </row>
    <row r="61" spans="1:21">
      <c r="A61" s="55" t="s">
        <v>60</v>
      </c>
      <c r="B61" s="56" t="s">
        <v>98</v>
      </c>
      <c r="C61" s="222">
        <v>20</v>
      </c>
      <c r="D61" s="57">
        <v>6.8</v>
      </c>
      <c r="E61" s="57">
        <v>2090</v>
      </c>
      <c r="F61" s="57">
        <v>0.5</v>
      </c>
      <c r="G61" s="57">
        <v>240.46800000000002</v>
      </c>
      <c r="H61" s="57">
        <v>6.0762499999999999</v>
      </c>
      <c r="I61" s="57">
        <v>1.770212136</v>
      </c>
      <c r="J61" s="57">
        <v>3.0105691000000001</v>
      </c>
      <c r="K61" s="57">
        <v>513.00793499999997</v>
      </c>
      <c r="L61" s="57">
        <v>434.44733140880095</v>
      </c>
      <c r="M61" s="57">
        <v>15</v>
      </c>
      <c r="N61" s="57">
        <v>625.47059350000006</v>
      </c>
      <c r="O61" s="57">
        <v>3931.9770463487794</v>
      </c>
      <c r="P61" s="57" t="s">
        <v>97</v>
      </c>
      <c r="Q61" s="57" t="s">
        <v>97</v>
      </c>
      <c r="R61" s="337">
        <f>IF(O61=0,(MAX(P61,E61)/MIN(P61,E61)),(MAX(O61,E61)/MIN(O61,E61)))</f>
        <v>1.8813287303104207</v>
      </c>
      <c r="S61" s="58">
        <f>T61/181</f>
        <v>0.850828729281768</v>
      </c>
      <c r="T61" s="59">
        <v>154</v>
      </c>
      <c r="U61" s="97" t="s">
        <v>332</v>
      </c>
    </row>
    <row r="62" spans="1:21">
      <c r="A62" s="55" t="s">
        <v>60</v>
      </c>
      <c r="B62" s="56" t="s">
        <v>98</v>
      </c>
      <c r="C62" s="222">
        <v>20</v>
      </c>
      <c r="D62" s="57">
        <v>7.5</v>
      </c>
      <c r="E62" s="57">
        <v>747</v>
      </c>
      <c r="F62" s="57">
        <v>0.5</v>
      </c>
      <c r="G62" s="57">
        <v>10.019500000000001</v>
      </c>
      <c r="H62" s="57">
        <v>6.0762499999999999</v>
      </c>
      <c r="I62" s="57">
        <v>1.770212136</v>
      </c>
      <c r="J62" s="57">
        <v>3.0105691000000001</v>
      </c>
      <c r="K62" s="57">
        <v>513.00793499999997</v>
      </c>
      <c r="L62" s="57">
        <v>37.202831408800961</v>
      </c>
      <c r="M62" s="57">
        <v>50</v>
      </c>
      <c r="N62" s="57">
        <v>50.040689</v>
      </c>
      <c r="O62" s="57">
        <v>358.42123914941271</v>
      </c>
      <c r="P62" s="57" t="s">
        <v>97</v>
      </c>
      <c r="Q62" s="57" t="s">
        <v>97</v>
      </c>
      <c r="R62" s="337">
        <f>IF(O62=0,(MAX(P62,E62)/MIN(P62,E62)),(MAX(O62,E62)/MIN(O62,E62)))</f>
        <v>2.0841398846026618</v>
      </c>
      <c r="S62" s="58">
        <f>T62/181</f>
        <v>0.87845303867403313</v>
      </c>
      <c r="T62" s="59">
        <v>159</v>
      </c>
      <c r="U62" s="97" t="s">
        <v>332</v>
      </c>
    </row>
    <row r="63" spans="1:21">
      <c r="A63" s="55" t="s">
        <v>60</v>
      </c>
      <c r="B63" s="56" t="s">
        <v>98</v>
      </c>
      <c r="C63" s="222">
        <v>20</v>
      </c>
      <c r="D63" s="57">
        <v>6.8</v>
      </c>
      <c r="E63" s="57">
        <v>910</v>
      </c>
      <c r="F63" s="57">
        <v>0.5</v>
      </c>
      <c r="G63" s="57">
        <v>10.019500000000001</v>
      </c>
      <c r="H63" s="57">
        <v>194.44</v>
      </c>
      <c r="I63" s="57">
        <v>1.770212136</v>
      </c>
      <c r="J63" s="57">
        <v>3.0105691000000001</v>
      </c>
      <c r="K63" s="57">
        <v>513.00793499999997</v>
      </c>
      <c r="L63" s="57">
        <v>572.61933140880103</v>
      </c>
      <c r="M63" s="57">
        <v>15</v>
      </c>
      <c r="N63" s="57">
        <v>825.72261150000008</v>
      </c>
      <c r="O63" s="57">
        <v>1917.5032813445218</v>
      </c>
      <c r="P63" s="57" t="s">
        <v>97</v>
      </c>
      <c r="Q63" s="57" t="s">
        <v>97</v>
      </c>
      <c r="R63" s="337">
        <f>IF(O63=0,(MAX(P63,E63)/MIN(P63,E63)),(MAX(O63,E63)/MIN(O63,E63)))</f>
        <v>2.1071464630159582</v>
      </c>
      <c r="S63" s="58">
        <f>T63/181</f>
        <v>0.90055248618784534</v>
      </c>
      <c r="T63" s="59">
        <v>163</v>
      </c>
      <c r="U63" s="97" t="s">
        <v>332</v>
      </c>
    </row>
    <row r="64" spans="1:21">
      <c r="A64" s="55" t="s">
        <v>60</v>
      </c>
      <c r="B64" s="56" t="s">
        <v>98</v>
      </c>
      <c r="C64" s="222">
        <v>20</v>
      </c>
      <c r="D64" s="57">
        <v>6.8</v>
      </c>
      <c r="E64" s="57">
        <v>2144</v>
      </c>
      <c r="F64" s="57">
        <v>0.5</v>
      </c>
      <c r="G64" s="57">
        <v>280.54600000000005</v>
      </c>
      <c r="H64" s="57">
        <v>6.0762499999999999</v>
      </c>
      <c r="I64" s="57">
        <v>1.770212136</v>
      </c>
      <c r="J64" s="57">
        <v>3.0105691000000001</v>
      </c>
      <c r="K64" s="57">
        <v>513.00793499999997</v>
      </c>
      <c r="L64" s="57">
        <v>503.53333140880102</v>
      </c>
      <c r="M64" s="57">
        <v>15</v>
      </c>
      <c r="N64" s="57">
        <v>725.54535950000013</v>
      </c>
      <c r="O64" s="57">
        <v>4525.7073720324915</v>
      </c>
      <c r="P64" s="57" t="s">
        <v>97</v>
      </c>
      <c r="Q64" s="57" t="s">
        <v>97</v>
      </c>
      <c r="R64" s="337">
        <f>IF(O64=0,(MAX(P64,E64)/MIN(P64,E64)),(MAX(O64,E64)/MIN(O64,E64)))</f>
        <v>2.1108709757614235</v>
      </c>
      <c r="S64" s="58">
        <f>T64/181</f>
        <v>0.90607734806629836</v>
      </c>
      <c r="T64" s="59">
        <v>164</v>
      </c>
      <c r="U64" s="97" t="s">
        <v>332</v>
      </c>
    </row>
    <row r="65" spans="1:29">
      <c r="A65" s="55" t="s">
        <v>60</v>
      </c>
      <c r="B65" s="56" t="s">
        <v>98</v>
      </c>
      <c r="C65" s="222">
        <v>20</v>
      </c>
      <c r="D65" s="57">
        <v>6.8</v>
      </c>
      <c r="E65" s="57">
        <v>2229</v>
      </c>
      <c r="F65" s="57">
        <v>0.5</v>
      </c>
      <c r="G65" s="57">
        <v>320.62400000000002</v>
      </c>
      <c r="H65" s="57">
        <v>6.0762499999999999</v>
      </c>
      <c r="I65" s="57">
        <v>1.770212136</v>
      </c>
      <c r="J65" s="57">
        <v>3.0105691000000001</v>
      </c>
      <c r="K65" s="57">
        <v>513.00793499999997</v>
      </c>
      <c r="L65" s="57">
        <v>572.61933140880103</v>
      </c>
      <c r="M65" s="57">
        <v>15</v>
      </c>
      <c r="N65" s="57">
        <v>825.62012549999997</v>
      </c>
      <c r="O65" s="57">
        <v>5120.854772245194</v>
      </c>
      <c r="P65" s="57" t="s">
        <v>97</v>
      </c>
      <c r="Q65" s="57" t="s">
        <v>97</v>
      </c>
      <c r="R65" s="337">
        <f>IF(O65=0,(MAX(P65,E65)/MIN(P65,E65)),(MAX(O65,E65)/MIN(O65,E65)))</f>
        <v>2.2973776456909798</v>
      </c>
      <c r="S65" s="58">
        <f>T65/181</f>
        <v>0.93922651933701662</v>
      </c>
      <c r="T65" s="59">
        <v>170</v>
      </c>
      <c r="U65" s="97" t="s">
        <v>332</v>
      </c>
    </row>
    <row r="66" spans="1:29">
      <c r="A66" s="55" t="s">
        <v>60</v>
      </c>
      <c r="B66" s="56" t="s">
        <v>98</v>
      </c>
      <c r="C66" s="222">
        <v>20</v>
      </c>
      <c r="D66" s="57">
        <v>8.4</v>
      </c>
      <c r="E66" s="57">
        <v>1670</v>
      </c>
      <c r="F66" s="57">
        <v>4.17</v>
      </c>
      <c r="G66" s="57">
        <v>37.1</v>
      </c>
      <c r="H66" s="57">
        <v>7.1</v>
      </c>
      <c r="I66" s="57">
        <v>10</v>
      </c>
      <c r="J66" s="57">
        <v>1.3</v>
      </c>
      <c r="K66" s="57">
        <v>20</v>
      </c>
      <c r="L66" s="57">
        <v>21</v>
      </c>
      <c r="M66" s="57">
        <v>125</v>
      </c>
      <c r="N66" s="57">
        <v>121.87649999999999</v>
      </c>
      <c r="O66" s="57">
        <v>695.04401000711141</v>
      </c>
      <c r="P66" s="57" t="s">
        <v>97</v>
      </c>
      <c r="Q66" s="57" t="s">
        <v>97</v>
      </c>
      <c r="R66" s="337">
        <f>IF(O66=0,(MAX(P66,E66)/MIN(P66,E66)),(MAX(O66,E66)/MIN(O66,E66)))</f>
        <v>2.4027255482468126</v>
      </c>
      <c r="S66" s="58">
        <f>T66/181</f>
        <v>0.95027624309392267</v>
      </c>
      <c r="T66" s="59">
        <v>172</v>
      </c>
      <c r="U66" s="97" t="s">
        <v>333</v>
      </c>
    </row>
    <row r="67" spans="1:29">
      <c r="A67" s="55" t="s">
        <v>60</v>
      </c>
      <c r="B67" s="56" t="s">
        <v>98</v>
      </c>
      <c r="C67" s="222">
        <v>20</v>
      </c>
      <c r="D67" s="57">
        <v>6</v>
      </c>
      <c r="E67" s="57">
        <v>356</v>
      </c>
      <c r="F67" s="57">
        <v>5.37</v>
      </c>
      <c r="G67" s="57">
        <v>3.7</v>
      </c>
      <c r="H67" s="57">
        <v>1.1000000000000001</v>
      </c>
      <c r="I67" s="57">
        <v>6.2</v>
      </c>
      <c r="J67" s="57">
        <v>0.9</v>
      </c>
      <c r="K67" s="57">
        <v>4</v>
      </c>
      <c r="L67" s="57">
        <v>15</v>
      </c>
      <c r="M67" s="57">
        <v>6.9</v>
      </c>
      <c r="N67" s="57">
        <v>13.768699999999999</v>
      </c>
      <c r="O67" s="57">
        <v>913.74137811370258</v>
      </c>
      <c r="P67" s="57" t="s">
        <v>97</v>
      </c>
      <c r="Q67" s="57" t="s">
        <v>97</v>
      </c>
      <c r="R67" s="337">
        <f>IF(O67=0,(MAX(P67,E67)/MIN(P67,E67)),(MAX(O67,E67)/MIN(O67,E67)))</f>
        <v>2.5666892643643333</v>
      </c>
      <c r="S67" s="58">
        <f>T67/181</f>
        <v>0.96132596685082872</v>
      </c>
      <c r="T67" s="59">
        <v>174</v>
      </c>
      <c r="U67" s="97" t="s">
        <v>333</v>
      </c>
    </row>
    <row r="68" spans="1:29">
      <c r="A68" s="55" t="s">
        <v>60</v>
      </c>
      <c r="B68" s="56" t="s">
        <v>98</v>
      </c>
      <c r="C68" s="222">
        <v>20</v>
      </c>
      <c r="D68" s="57">
        <v>8</v>
      </c>
      <c r="E68" s="57">
        <v>3290</v>
      </c>
      <c r="F68" s="57">
        <v>7.49</v>
      </c>
      <c r="G68" s="57">
        <v>52.7</v>
      </c>
      <c r="H68" s="57">
        <v>14</v>
      </c>
      <c r="I68" s="57">
        <v>87.3</v>
      </c>
      <c r="J68" s="57">
        <v>8.6999999999999993</v>
      </c>
      <c r="K68" s="57">
        <v>109</v>
      </c>
      <c r="L68" s="57">
        <v>318</v>
      </c>
      <c r="M68" s="57">
        <v>127</v>
      </c>
      <c r="N68" s="57">
        <v>189.2439</v>
      </c>
      <c r="O68" s="57">
        <v>1261.1244702803754</v>
      </c>
      <c r="P68" s="57" t="s">
        <v>97</v>
      </c>
      <c r="Q68" s="57" t="s">
        <v>97</v>
      </c>
      <c r="R68" s="337">
        <f>IF(O68=0,(MAX(P68,E68)/MIN(P68,E68)),(MAX(O68,E68)/MIN(O68,E68)))</f>
        <v>2.6087829373959903</v>
      </c>
      <c r="S68" s="58">
        <f>T68/181</f>
        <v>0.96685082872928174</v>
      </c>
      <c r="T68" s="59">
        <v>175</v>
      </c>
      <c r="U68" s="97" t="s">
        <v>333</v>
      </c>
    </row>
    <row r="69" spans="1:29">
      <c r="A69" s="55" t="s">
        <v>60</v>
      </c>
      <c r="B69" s="56" t="s">
        <v>98</v>
      </c>
      <c r="C69" s="222">
        <v>20</v>
      </c>
      <c r="D69" s="57">
        <v>8.1999999999999993</v>
      </c>
      <c r="E69" s="57">
        <v>2580</v>
      </c>
      <c r="F69" s="57">
        <v>2.2999999999999998</v>
      </c>
      <c r="G69" s="57">
        <v>61</v>
      </c>
      <c r="H69" s="57">
        <v>10.7</v>
      </c>
      <c r="I69" s="57">
        <v>55.4</v>
      </c>
      <c r="J69" s="57">
        <v>5</v>
      </c>
      <c r="K69" s="57">
        <v>57</v>
      </c>
      <c r="L69" s="57">
        <v>215</v>
      </c>
      <c r="M69" s="57">
        <v>159</v>
      </c>
      <c r="N69" s="57">
        <v>196.37960000000001</v>
      </c>
      <c r="O69" s="57">
        <v>830.41892632138445</v>
      </c>
      <c r="P69" s="57" t="s">
        <v>97</v>
      </c>
      <c r="Q69" s="57" t="s">
        <v>97</v>
      </c>
      <c r="R69" s="337">
        <f>IF(O69=0,(MAX(P69,E69)/MIN(P69,E69)),(MAX(O69,E69)/MIN(O69,E69)))</f>
        <v>3.1068656050855732</v>
      </c>
      <c r="S69" s="58">
        <f>T69/181</f>
        <v>0.98342541436464093</v>
      </c>
      <c r="T69" s="59">
        <v>178</v>
      </c>
      <c r="U69" s="97" t="s">
        <v>333</v>
      </c>
    </row>
    <row r="70" spans="1:29">
      <c r="A70" s="50" t="s">
        <v>60</v>
      </c>
      <c r="B70" s="51" t="s">
        <v>98</v>
      </c>
      <c r="C70" s="332">
        <v>20</v>
      </c>
      <c r="D70" s="52">
        <v>8</v>
      </c>
      <c r="E70" s="52">
        <v>1484</v>
      </c>
      <c r="F70" s="52">
        <v>0.5</v>
      </c>
      <c r="G70" s="52">
        <v>10.019500000000001</v>
      </c>
      <c r="H70" s="52">
        <v>6.0762499999999999</v>
      </c>
      <c r="I70" s="52">
        <v>1.770212136</v>
      </c>
      <c r="J70" s="52">
        <v>3.0105691000000001</v>
      </c>
      <c r="K70" s="52">
        <v>513.00793499999997</v>
      </c>
      <c r="L70" s="52">
        <v>37.202831408800961</v>
      </c>
      <c r="M70" s="52">
        <v>120</v>
      </c>
      <c r="N70" s="52">
        <v>50.040689</v>
      </c>
      <c r="O70" s="52">
        <v>255.9058693568399</v>
      </c>
      <c r="P70" s="52" t="s">
        <v>97</v>
      </c>
      <c r="Q70" s="52" t="s">
        <v>97</v>
      </c>
      <c r="R70" s="338">
        <f>IF(O70=0,(MAX(P70,E70)/MIN(P70,E70)),(MAX(O70,E70)/MIN(O70,E70)))</f>
        <v>5.7990072823639807</v>
      </c>
      <c r="S70" s="53">
        <f>T70/181</f>
        <v>0.99447513812154698</v>
      </c>
      <c r="T70" s="54">
        <v>180</v>
      </c>
      <c r="U70" s="97" t="s">
        <v>332</v>
      </c>
    </row>
    <row r="71" spans="1:29">
      <c r="A71" s="55" t="s">
        <v>61</v>
      </c>
      <c r="B71" s="56" t="s">
        <v>98</v>
      </c>
      <c r="C71" s="222">
        <v>21</v>
      </c>
      <c r="D71" s="57">
        <v>7.85</v>
      </c>
      <c r="E71" s="57">
        <v>739</v>
      </c>
      <c r="F71" s="57">
        <v>6.1</v>
      </c>
      <c r="G71" s="57">
        <v>6.8132600000000014</v>
      </c>
      <c r="H71" s="57">
        <v>3.4027000000000003</v>
      </c>
      <c r="I71" s="57">
        <v>13.1</v>
      </c>
      <c r="J71" s="57">
        <v>1.1729399999999999</v>
      </c>
      <c r="K71" s="57">
        <v>636.12983939999992</v>
      </c>
      <c r="L71" s="57">
        <v>1.06359</v>
      </c>
      <c r="M71" s="57">
        <v>28.7</v>
      </c>
      <c r="N71" s="57">
        <v>31.025028820000003</v>
      </c>
      <c r="O71" s="57">
        <v>742.57360162681266</v>
      </c>
      <c r="P71" s="57" t="s">
        <v>97</v>
      </c>
      <c r="Q71" s="57" t="s">
        <v>97</v>
      </c>
      <c r="R71" s="337">
        <f>IF(O71=0,(MAX(P71,E71)/MIN(P71,E71)),(MAX(O71,E71)/MIN(O71,E71)))</f>
        <v>1.0048357261526559</v>
      </c>
      <c r="S71" s="58">
        <f>T71/181</f>
        <v>1.1049723756906077E-2</v>
      </c>
      <c r="T71" s="59">
        <v>2</v>
      </c>
      <c r="U71" s="97" t="s">
        <v>334</v>
      </c>
    </row>
    <row r="72" spans="1:29">
      <c r="A72" s="55" t="s">
        <v>61</v>
      </c>
      <c r="B72" s="56" t="s">
        <v>98</v>
      </c>
      <c r="C72" s="222">
        <v>21</v>
      </c>
      <c r="D72" s="57">
        <v>7.85</v>
      </c>
      <c r="E72" s="57">
        <v>1053</v>
      </c>
      <c r="F72" s="57">
        <v>10.8</v>
      </c>
      <c r="G72" s="57">
        <v>6.8132600000000014</v>
      </c>
      <c r="H72" s="57">
        <v>3.4027000000000003</v>
      </c>
      <c r="I72" s="57">
        <v>13.1</v>
      </c>
      <c r="J72" s="57">
        <v>1.1729399999999999</v>
      </c>
      <c r="K72" s="57">
        <v>636.12983939999992</v>
      </c>
      <c r="L72" s="57">
        <v>1.06359</v>
      </c>
      <c r="M72" s="57">
        <v>28.7</v>
      </c>
      <c r="N72" s="57">
        <v>31.025028820000003</v>
      </c>
      <c r="O72" s="57">
        <v>1083.8375034216465</v>
      </c>
      <c r="P72" s="57" t="s">
        <v>97</v>
      </c>
      <c r="Q72" s="57" t="s">
        <v>97</v>
      </c>
      <c r="R72" s="337">
        <f>IF(O72=0,(MAX(P72,E72)/MIN(P72,E72)),(MAX(O72,E72)/MIN(O72,E72)))</f>
        <v>1.0292853783681353</v>
      </c>
      <c r="S72" s="58">
        <f>T72/181</f>
        <v>7.18232044198895E-2</v>
      </c>
      <c r="T72" s="59">
        <v>13</v>
      </c>
      <c r="U72" s="97" t="s">
        <v>334</v>
      </c>
    </row>
    <row r="73" spans="1:29">
      <c r="A73" s="55" t="s">
        <v>61</v>
      </c>
      <c r="B73" s="56" t="s">
        <v>98</v>
      </c>
      <c r="C73" s="222">
        <v>21</v>
      </c>
      <c r="D73" s="57">
        <v>7.85</v>
      </c>
      <c r="E73" s="57">
        <v>432</v>
      </c>
      <c r="F73" s="57">
        <v>0.6</v>
      </c>
      <c r="G73" s="57">
        <v>6.8132600000000014</v>
      </c>
      <c r="H73" s="57">
        <v>6.5623500000000003</v>
      </c>
      <c r="I73" s="57">
        <v>13.1</v>
      </c>
      <c r="J73" s="57">
        <v>1.1729399999999999</v>
      </c>
      <c r="K73" s="57">
        <v>902.8939656</v>
      </c>
      <c r="L73" s="57">
        <v>1.06359</v>
      </c>
      <c r="M73" s="57">
        <v>28.7</v>
      </c>
      <c r="N73" s="57">
        <v>44.036467520000002</v>
      </c>
      <c r="O73" s="57">
        <v>399.50246256321162</v>
      </c>
      <c r="P73" s="57" t="s">
        <v>97</v>
      </c>
      <c r="Q73" s="57" t="s">
        <v>97</v>
      </c>
      <c r="R73" s="337">
        <f>IF(O73=0,(MAX(P73,E73)/MIN(P73,E73)),(MAX(O73,E73)/MIN(O73,E73)))</f>
        <v>1.0813450240789102</v>
      </c>
      <c r="S73" s="58">
        <f>T73/181</f>
        <v>0.16022099447513813</v>
      </c>
      <c r="T73" s="59">
        <v>29</v>
      </c>
      <c r="U73" s="97" t="s">
        <v>334</v>
      </c>
    </row>
    <row r="74" spans="1:29">
      <c r="A74" s="55" t="s">
        <v>61</v>
      </c>
      <c r="B74" s="56" t="s">
        <v>98</v>
      </c>
      <c r="C74" s="222">
        <v>21</v>
      </c>
      <c r="D74" s="57">
        <v>7.85</v>
      </c>
      <c r="E74" s="57">
        <v>399</v>
      </c>
      <c r="F74" s="57">
        <v>0.6</v>
      </c>
      <c r="G74" s="57">
        <v>7.2140400000000007</v>
      </c>
      <c r="H74" s="57">
        <v>3.4027000000000003</v>
      </c>
      <c r="I74" s="57">
        <v>13.1</v>
      </c>
      <c r="J74" s="57">
        <v>1.1729399999999999</v>
      </c>
      <c r="K74" s="57">
        <v>656.65015679999999</v>
      </c>
      <c r="L74" s="57">
        <v>1.06359</v>
      </c>
      <c r="M74" s="57">
        <v>28.7</v>
      </c>
      <c r="N74" s="57">
        <v>32.025776480000005</v>
      </c>
      <c r="O74" s="57">
        <v>361.2323918772862</v>
      </c>
      <c r="P74" s="57" t="s">
        <v>97</v>
      </c>
      <c r="Q74" s="57" t="s">
        <v>97</v>
      </c>
      <c r="R74" s="337">
        <f>IF(O74=0,(MAX(P74,E74)/MIN(P74,E74)),(MAX(O74,E74)/MIN(O74,E74)))</f>
        <v>1.1045521082050245</v>
      </c>
      <c r="S74" s="58">
        <f>T74/181</f>
        <v>0.21546961325966851</v>
      </c>
      <c r="T74" s="59">
        <v>39</v>
      </c>
      <c r="U74" s="97" t="s">
        <v>334</v>
      </c>
    </row>
    <row r="75" spans="1:29">
      <c r="A75" s="55" t="s">
        <v>61</v>
      </c>
      <c r="B75" s="56" t="s">
        <v>98</v>
      </c>
      <c r="C75" s="222">
        <v>21</v>
      </c>
      <c r="D75" s="57">
        <v>7.85</v>
      </c>
      <c r="E75" s="57">
        <v>392.34000000000003</v>
      </c>
      <c r="F75" s="57">
        <v>0.6</v>
      </c>
      <c r="G75" s="57">
        <v>6.8132600000000014</v>
      </c>
      <c r="H75" s="57">
        <v>3.4027000000000003</v>
      </c>
      <c r="I75" s="57">
        <v>13.1</v>
      </c>
      <c r="J75" s="57">
        <v>54.346219999999995</v>
      </c>
      <c r="K75" s="57">
        <v>636.12983939999992</v>
      </c>
      <c r="L75" s="57">
        <v>49.279670000000003</v>
      </c>
      <c r="M75" s="57">
        <v>28.7</v>
      </c>
      <c r="N75" s="57">
        <v>31.025028820000003</v>
      </c>
      <c r="O75" s="57">
        <v>354.45458931053838</v>
      </c>
      <c r="P75" s="57" t="s">
        <v>97</v>
      </c>
      <c r="Q75" s="57" t="s">
        <v>97</v>
      </c>
      <c r="R75" s="337">
        <f>IF(O75=0,(MAX(P75,E75)/MIN(P75,E75)),(MAX(O75,E75)/MIN(O75,E75)))</f>
        <v>1.1068836794105383</v>
      </c>
      <c r="S75" s="58">
        <f>T75/181</f>
        <v>0.22651933701657459</v>
      </c>
      <c r="T75" s="59">
        <v>41</v>
      </c>
      <c r="U75" s="97" t="s">
        <v>334</v>
      </c>
    </row>
    <row r="76" spans="1:29">
      <c r="A76" s="55" t="s">
        <v>61</v>
      </c>
      <c r="B76" s="56" t="s">
        <v>98</v>
      </c>
      <c r="C76" s="222">
        <v>21</v>
      </c>
      <c r="D76" s="57">
        <v>7.85</v>
      </c>
      <c r="E76" s="57">
        <v>399</v>
      </c>
      <c r="F76" s="57">
        <v>0.6</v>
      </c>
      <c r="G76" s="57">
        <v>6.8132600000000014</v>
      </c>
      <c r="H76" s="57">
        <v>3.4027000000000003</v>
      </c>
      <c r="I76" s="57">
        <v>13.1</v>
      </c>
      <c r="J76" s="57">
        <v>0.39097999999999999</v>
      </c>
      <c r="K76" s="57">
        <v>636.12983939999992</v>
      </c>
      <c r="L76" s="57">
        <v>0.35453000000000001</v>
      </c>
      <c r="M76" s="57">
        <v>28.7</v>
      </c>
      <c r="N76" s="57">
        <v>31.025028820000003</v>
      </c>
      <c r="O76" s="57">
        <v>354.45458931053838</v>
      </c>
      <c r="P76" s="57" t="s">
        <v>97</v>
      </c>
      <c r="Q76" s="57" t="s">
        <v>97</v>
      </c>
      <c r="R76" s="337">
        <f>IF(O76=0,(MAX(P76,E76)/MIN(P76,E76)),(MAX(O76,E76)/MIN(O76,E76)))</f>
        <v>1.1256731102737545</v>
      </c>
      <c r="S76" s="58">
        <f>T76/181</f>
        <v>0.24861878453038674</v>
      </c>
      <c r="T76" s="59">
        <v>45</v>
      </c>
      <c r="U76" s="97" t="s">
        <v>334</v>
      </c>
    </row>
    <row r="77" spans="1:29">
      <c r="A77" s="55" t="s">
        <v>61</v>
      </c>
      <c r="B77" s="56" t="s">
        <v>98</v>
      </c>
      <c r="C77" s="222">
        <v>21</v>
      </c>
      <c r="D77" s="57">
        <v>7.85</v>
      </c>
      <c r="E77" s="57">
        <v>399</v>
      </c>
      <c r="F77" s="57">
        <v>0.6</v>
      </c>
      <c r="G77" s="57">
        <v>6.8132600000000014</v>
      </c>
      <c r="H77" s="57">
        <v>3.4027000000000003</v>
      </c>
      <c r="I77" s="57">
        <v>12.9</v>
      </c>
      <c r="J77" s="57">
        <v>1.1729399999999999</v>
      </c>
      <c r="K77" s="57">
        <v>636.12983939999992</v>
      </c>
      <c r="L77" s="57">
        <v>19.853680000000004</v>
      </c>
      <c r="M77" s="57">
        <v>28.7</v>
      </c>
      <c r="N77" s="57">
        <v>31.025028820000003</v>
      </c>
      <c r="O77" s="57">
        <v>353.82356032656338</v>
      </c>
      <c r="P77" s="57" t="s">
        <v>97</v>
      </c>
      <c r="Q77" s="57" t="s">
        <v>97</v>
      </c>
      <c r="R77" s="337">
        <f>IF(O77=0,(MAX(P77,E77)/MIN(P77,E77)),(MAX(O77,E77)/MIN(O77,E77)))</f>
        <v>1.1276806994755826</v>
      </c>
      <c r="S77" s="58">
        <f>T77/181</f>
        <v>0.25966850828729282</v>
      </c>
      <c r="T77" s="59">
        <v>47</v>
      </c>
      <c r="U77" s="97" t="s">
        <v>334</v>
      </c>
    </row>
    <row r="78" spans="1:29">
      <c r="A78" s="55" t="s">
        <v>61</v>
      </c>
      <c r="B78" s="56" t="s">
        <v>98</v>
      </c>
      <c r="C78" s="222">
        <v>21</v>
      </c>
      <c r="D78" s="57">
        <v>7.85</v>
      </c>
      <c r="E78" s="57">
        <v>928</v>
      </c>
      <c r="F78" s="57">
        <v>10.4</v>
      </c>
      <c r="G78" s="57">
        <v>6.8132600000000014</v>
      </c>
      <c r="H78" s="57">
        <v>3.4027000000000003</v>
      </c>
      <c r="I78" s="57">
        <v>13.1</v>
      </c>
      <c r="J78" s="57">
        <v>1.1729399999999999</v>
      </c>
      <c r="K78" s="57">
        <v>636.12983939999992</v>
      </c>
      <c r="L78" s="57">
        <v>1.06359</v>
      </c>
      <c r="M78" s="57">
        <v>28.7</v>
      </c>
      <c r="N78" s="57">
        <v>31.025028820000003</v>
      </c>
      <c r="O78" s="57">
        <v>1054.2565943472096</v>
      </c>
      <c r="P78" s="57" t="s">
        <v>97</v>
      </c>
      <c r="Q78" s="57" t="s">
        <v>97</v>
      </c>
      <c r="R78" s="337">
        <f>IF(O78=0,(MAX(P78,E78)/MIN(P78,E78)),(MAX(O78,E78)/MIN(O78,E78)))</f>
        <v>1.1360523645982861</v>
      </c>
      <c r="S78" s="58">
        <f>T78/181</f>
        <v>0.27624309392265195</v>
      </c>
      <c r="T78" s="59">
        <v>50</v>
      </c>
      <c r="U78" s="97" t="s">
        <v>334</v>
      </c>
    </row>
    <row r="79" spans="1:29">
      <c r="A79" s="55" t="s">
        <v>61</v>
      </c>
      <c r="B79" s="56" t="s">
        <v>98</v>
      </c>
      <c r="C79" s="222">
        <v>21</v>
      </c>
      <c r="D79" s="57">
        <v>7.85</v>
      </c>
      <c r="E79" s="57">
        <v>399</v>
      </c>
      <c r="F79" s="57">
        <v>0.6</v>
      </c>
      <c r="G79" s="57">
        <v>6.8132600000000014</v>
      </c>
      <c r="H79" s="57">
        <v>3.1596500000000001</v>
      </c>
      <c r="I79" s="57">
        <v>13.1</v>
      </c>
      <c r="J79" s="57">
        <v>1.1729399999999999</v>
      </c>
      <c r="K79" s="57">
        <v>615.60952199999997</v>
      </c>
      <c r="L79" s="57">
        <v>1.06359</v>
      </c>
      <c r="M79" s="57">
        <v>28.7</v>
      </c>
      <c r="N79" s="57">
        <v>30.024148920000002</v>
      </c>
      <c r="O79" s="57">
        <v>351.04305722210029</v>
      </c>
      <c r="P79" s="57" t="s">
        <v>97</v>
      </c>
      <c r="Q79" s="57" t="s">
        <v>97</v>
      </c>
      <c r="R79" s="337">
        <f>IF(O79=0,(MAX(P79,E79)/MIN(P79,E79)),(MAX(O79,E79)/MIN(O79,E79)))</f>
        <v>1.1366127083024975</v>
      </c>
      <c r="S79" s="58">
        <f>T79/181</f>
        <v>0.28176795580110497</v>
      </c>
      <c r="T79" s="59">
        <v>51</v>
      </c>
      <c r="U79" s="97" t="s">
        <v>334</v>
      </c>
      <c r="W79" s="324"/>
      <c r="AC79" s="324"/>
    </row>
    <row r="80" spans="1:29">
      <c r="A80" s="55" t="s">
        <v>61</v>
      </c>
      <c r="B80" s="56" t="s">
        <v>98</v>
      </c>
      <c r="C80" s="222">
        <v>21</v>
      </c>
      <c r="D80" s="57">
        <v>7.85</v>
      </c>
      <c r="E80" s="57">
        <v>268</v>
      </c>
      <c r="F80" s="57">
        <v>0.6</v>
      </c>
      <c r="G80" s="57">
        <v>6.8132600000000014</v>
      </c>
      <c r="H80" s="57">
        <v>0.24305000000000002</v>
      </c>
      <c r="I80" s="57">
        <v>13.1</v>
      </c>
      <c r="J80" s="57">
        <v>1.1729399999999999</v>
      </c>
      <c r="K80" s="57">
        <v>369.36571319999996</v>
      </c>
      <c r="L80" s="57">
        <v>1.06359</v>
      </c>
      <c r="M80" s="57">
        <v>28.7</v>
      </c>
      <c r="N80" s="57">
        <v>18.013590120000003</v>
      </c>
      <c r="O80" s="57">
        <v>307.34161390629652</v>
      </c>
      <c r="P80" s="57" t="s">
        <v>97</v>
      </c>
      <c r="Q80" s="57" t="s">
        <v>97</v>
      </c>
      <c r="R80" s="337">
        <f>IF(O80=0,(MAX(P80,E80)/MIN(P80,E80)),(MAX(O80,E80)/MIN(O80,E80)))</f>
        <v>1.1467970668145393</v>
      </c>
      <c r="S80" s="58">
        <f>T80/181</f>
        <v>0.30939226519337015</v>
      </c>
      <c r="T80" s="59">
        <v>56</v>
      </c>
      <c r="U80" s="97" t="s">
        <v>334</v>
      </c>
    </row>
    <row r="81" spans="1:21">
      <c r="A81" s="55" t="s">
        <v>61</v>
      </c>
      <c r="B81" s="56" t="s">
        <v>98</v>
      </c>
      <c r="C81" s="222">
        <v>21</v>
      </c>
      <c r="D81" s="57">
        <v>7.85</v>
      </c>
      <c r="E81" s="57">
        <v>556</v>
      </c>
      <c r="F81" s="57">
        <v>0.6</v>
      </c>
      <c r="G81" s="57">
        <v>14.428080000000001</v>
      </c>
      <c r="H81" s="57">
        <v>3.4027000000000003</v>
      </c>
      <c r="I81" s="57">
        <v>13.1</v>
      </c>
      <c r="J81" s="57">
        <v>1.1729399999999999</v>
      </c>
      <c r="K81" s="57">
        <v>1026.0158699999999</v>
      </c>
      <c r="L81" s="57">
        <v>1.06359</v>
      </c>
      <c r="M81" s="57">
        <v>28.7</v>
      </c>
      <c r="N81" s="57">
        <v>50.039234360000002</v>
      </c>
      <c r="O81" s="57">
        <v>481.52567414124292</v>
      </c>
      <c r="P81" s="57" t="s">
        <v>97</v>
      </c>
      <c r="Q81" s="57" t="s">
        <v>97</v>
      </c>
      <c r="R81" s="337">
        <f>IF(O81=0,(MAX(P81,E81)/MIN(P81,E81)),(MAX(O81,E81)/MIN(O81,E81)))</f>
        <v>1.1546632502858238</v>
      </c>
      <c r="S81" s="58">
        <f>T81/181</f>
        <v>0.31491712707182318</v>
      </c>
      <c r="T81" s="59">
        <v>57</v>
      </c>
      <c r="U81" s="97" t="s">
        <v>334</v>
      </c>
    </row>
    <row r="82" spans="1:21">
      <c r="A82" s="55" t="s">
        <v>61</v>
      </c>
      <c r="B82" s="56" t="s">
        <v>98</v>
      </c>
      <c r="C82" s="222">
        <v>21</v>
      </c>
      <c r="D82" s="57">
        <v>7.85</v>
      </c>
      <c r="E82" s="57">
        <v>615</v>
      </c>
      <c r="F82" s="57">
        <v>0.6</v>
      </c>
      <c r="G82" s="57">
        <v>6.8132600000000014</v>
      </c>
      <c r="H82" s="57">
        <v>15.069099999999999</v>
      </c>
      <c r="I82" s="57">
        <v>13.1</v>
      </c>
      <c r="J82" s="57">
        <v>1.1729399999999999</v>
      </c>
      <c r="K82" s="57">
        <v>1621.1050746000001</v>
      </c>
      <c r="L82" s="57">
        <v>1.06359</v>
      </c>
      <c r="M82" s="57">
        <v>28.7</v>
      </c>
      <c r="N82" s="57">
        <v>79.06726402000001</v>
      </c>
      <c r="O82" s="57">
        <v>513.43384600476861</v>
      </c>
      <c r="P82" s="57" t="s">
        <v>97</v>
      </c>
      <c r="Q82" s="57" t="s">
        <v>97</v>
      </c>
      <c r="R82" s="337">
        <f>IF(O82=0,(MAX(P82,E82)/MIN(P82,E82)),(MAX(O82,E82)/MIN(O82,E82)))</f>
        <v>1.1978174107249799</v>
      </c>
      <c r="S82" s="58">
        <f>T82/181</f>
        <v>0.37569060773480661</v>
      </c>
      <c r="T82" s="59">
        <v>68</v>
      </c>
      <c r="U82" s="97" t="s">
        <v>334</v>
      </c>
    </row>
    <row r="83" spans="1:21">
      <c r="A83" s="55" t="s">
        <v>61</v>
      </c>
      <c r="B83" s="56" t="s">
        <v>98</v>
      </c>
      <c r="C83" s="222">
        <v>21</v>
      </c>
      <c r="D83" s="57">
        <v>7.85</v>
      </c>
      <c r="E83" s="57">
        <v>353</v>
      </c>
      <c r="F83" s="57">
        <v>0.6</v>
      </c>
      <c r="G83" s="57">
        <v>6.8132600000000014</v>
      </c>
      <c r="H83" s="57">
        <v>9.9650499999999997</v>
      </c>
      <c r="I83" s="57">
        <v>13.1</v>
      </c>
      <c r="J83" s="57">
        <v>1.1729399999999999</v>
      </c>
      <c r="K83" s="57">
        <v>1190.1784091999998</v>
      </c>
      <c r="L83" s="57">
        <v>1.06359</v>
      </c>
      <c r="M83" s="57">
        <v>28.7</v>
      </c>
      <c r="N83" s="57">
        <v>58.048786120000003</v>
      </c>
      <c r="O83" s="57">
        <v>446.06547359703774</v>
      </c>
      <c r="P83" s="57" t="s">
        <v>97</v>
      </c>
      <c r="Q83" s="57" t="s">
        <v>97</v>
      </c>
      <c r="R83" s="337">
        <f>IF(O83=0,(MAX(P83,E83)/MIN(P83,E83)),(MAX(O83,E83)/MIN(O83,E83)))</f>
        <v>1.2636415682635629</v>
      </c>
      <c r="S83" s="58">
        <f>T83/181</f>
        <v>0.46961325966850831</v>
      </c>
      <c r="T83" s="59">
        <v>85</v>
      </c>
      <c r="U83" s="97" t="s">
        <v>334</v>
      </c>
    </row>
    <row r="84" spans="1:21">
      <c r="A84" s="55" t="s">
        <v>61</v>
      </c>
      <c r="B84" s="56" t="s">
        <v>98</v>
      </c>
      <c r="C84" s="222">
        <v>21</v>
      </c>
      <c r="D84" s="57">
        <v>7.85</v>
      </c>
      <c r="E84" s="57">
        <v>320</v>
      </c>
      <c r="F84" s="57">
        <v>0.6</v>
      </c>
      <c r="G84" s="57">
        <v>10.019500000000001</v>
      </c>
      <c r="H84" s="57">
        <v>3.4027000000000003</v>
      </c>
      <c r="I84" s="57">
        <v>13.1</v>
      </c>
      <c r="J84" s="57">
        <v>1.1729399999999999</v>
      </c>
      <c r="K84" s="57">
        <v>800.29237860000001</v>
      </c>
      <c r="L84" s="57">
        <v>1.06359</v>
      </c>
      <c r="M84" s="57">
        <v>28.7</v>
      </c>
      <c r="N84" s="57">
        <v>39.031010100000003</v>
      </c>
      <c r="O84" s="57">
        <v>408.42891007110393</v>
      </c>
      <c r="P84" s="57" t="s">
        <v>97</v>
      </c>
      <c r="Q84" s="57" t="s">
        <v>97</v>
      </c>
      <c r="R84" s="337">
        <f>IF(O84=0,(MAX(P84,E84)/MIN(P84,E84)),(MAX(O84,E84)/MIN(O84,E84)))</f>
        <v>1.2763403439721999</v>
      </c>
      <c r="S84" s="58">
        <f>T84/181</f>
        <v>0.48618784530386738</v>
      </c>
      <c r="T84" s="59">
        <v>88</v>
      </c>
      <c r="U84" s="97" t="s">
        <v>334</v>
      </c>
    </row>
    <row r="85" spans="1:21">
      <c r="A85" s="55" t="s">
        <v>61</v>
      </c>
      <c r="B85" s="56" t="s">
        <v>98</v>
      </c>
      <c r="C85" s="222">
        <v>21</v>
      </c>
      <c r="D85" s="57">
        <v>7.85</v>
      </c>
      <c r="E85" s="57">
        <v>1013</v>
      </c>
      <c r="F85" s="57">
        <v>0.6</v>
      </c>
      <c r="G85" s="57">
        <v>32.062400000000004</v>
      </c>
      <c r="H85" s="57">
        <v>3.4027000000000003</v>
      </c>
      <c r="I85" s="57">
        <v>13.1</v>
      </c>
      <c r="J85" s="57">
        <v>1.1729399999999999</v>
      </c>
      <c r="K85" s="57">
        <v>1928.9098355999997</v>
      </c>
      <c r="L85" s="57">
        <v>1.06359</v>
      </c>
      <c r="M85" s="57">
        <v>28.7</v>
      </c>
      <c r="N85" s="57">
        <v>94.072131400000004</v>
      </c>
      <c r="O85" s="57">
        <v>762.21664908225262</v>
      </c>
      <c r="P85" s="57" t="s">
        <v>97</v>
      </c>
      <c r="Q85" s="57" t="s">
        <v>97</v>
      </c>
      <c r="R85" s="337">
        <f>IF(O85=0,(MAX(P85,E85)/MIN(P85,E85)),(MAX(O85,E85)/MIN(O85,E85)))</f>
        <v>1.3290184637395459</v>
      </c>
      <c r="S85" s="58">
        <f>T85/181</f>
        <v>0.54143646408839774</v>
      </c>
      <c r="T85" s="59">
        <v>98</v>
      </c>
      <c r="U85" s="97" t="s">
        <v>334</v>
      </c>
    </row>
    <row r="86" spans="1:21">
      <c r="A86" s="55" t="s">
        <v>61</v>
      </c>
      <c r="B86" s="56" t="s">
        <v>98</v>
      </c>
      <c r="C86" s="222">
        <v>21</v>
      </c>
      <c r="D86" s="57">
        <v>7.85</v>
      </c>
      <c r="E86" s="57">
        <v>477</v>
      </c>
      <c r="F86" s="57">
        <v>0.6</v>
      </c>
      <c r="G86" s="57">
        <v>6.8132600000000014</v>
      </c>
      <c r="H86" s="57">
        <v>3.4027000000000003</v>
      </c>
      <c r="I86" s="57">
        <v>13.1</v>
      </c>
      <c r="J86" s="57">
        <v>4.6917599999999995</v>
      </c>
      <c r="K86" s="57">
        <v>636.12983939999992</v>
      </c>
      <c r="L86" s="57">
        <v>4.2543600000000001</v>
      </c>
      <c r="M86" s="57">
        <v>28.7</v>
      </c>
      <c r="N86" s="57">
        <v>31.025028820000003</v>
      </c>
      <c r="O86" s="57">
        <v>354.45458931053838</v>
      </c>
      <c r="P86" s="57" t="s">
        <v>97</v>
      </c>
      <c r="Q86" s="57" t="s">
        <v>97</v>
      </c>
      <c r="R86" s="337">
        <f>IF(O86=0,(MAX(P86,E86)/MIN(P86,E86)),(MAX(O86,E86)/MIN(O86,E86)))</f>
        <v>1.3457295077708793</v>
      </c>
      <c r="S86" s="58">
        <f>T86/181</f>
        <v>0.56906077348066297</v>
      </c>
      <c r="T86" s="59">
        <v>103</v>
      </c>
      <c r="U86" s="97" t="s">
        <v>334</v>
      </c>
    </row>
    <row r="87" spans="1:21">
      <c r="A87" s="55" t="s">
        <v>61</v>
      </c>
      <c r="B87" s="56" t="s">
        <v>98</v>
      </c>
      <c r="C87" s="222">
        <v>21</v>
      </c>
      <c r="D87" s="57">
        <v>7.85</v>
      </c>
      <c r="E87" s="57">
        <v>582</v>
      </c>
      <c r="F87" s="57">
        <v>7</v>
      </c>
      <c r="G87" s="57">
        <v>6.8132600000000014</v>
      </c>
      <c r="H87" s="57">
        <v>3.4027000000000003</v>
      </c>
      <c r="I87" s="57">
        <v>13.1</v>
      </c>
      <c r="J87" s="57">
        <v>1.1729399999999999</v>
      </c>
      <c r="K87" s="57">
        <v>636.12983939999992</v>
      </c>
      <c r="L87" s="57">
        <v>1.06359</v>
      </c>
      <c r="M87" s="57">
        <v>28.7</v>
      </c>
      <c r="N87" s="57">
        <v>31.025028820000003</v>
      </c>
      <c r="O87" s="57">
        <v>806.89186039387232</v>
      </c>
      <c r="P87" s="57" t="s">
        <v>97</v>
      </c>
      <c r="Q87" s="57" t="s">
        <v>97</v>
      </c>
      <c r="R87" s="337">
        <f>IF(O87=0,(MAX(P87,E87)/MIN(P87,E87)),(MAX(O87,E87)/MIN(O87,E87)))</f>
        <v>1.386412131260949</v>
      </c>
      <c r="S87" s="58">
        <f>T87/181</f>
        <v>0.61325966850828728</v>
      </c>
      <c r="T87" s="59">
        <v>111</v>
      </c>
      <c r="U87" s="97" t="s">
        <v>334</v>
      </c>
    </row>
    <row r="88" spans="1:21">
      <c r="A88" s="55" t="s">
        <v>61</v>
      </c>
      <c r="B88" s="56" t="s">
        <v>98</v>
      </c>
      <c r="C88" s="222">
        <v>21</v>
      </c>
      <c r="D88" s="57">
        <v>7.28</v>
      </c>
      <c r="E88" s="57">
        <v>765</v>
      </c>
      <c r="F88" s="57">
        <v>0.6</v>
      </c>
      <c r="G88" s="57">
        <v>6.8132600000000014</v>
      </c>
      <c r="H88" s="57">
        <v>3.4027000000000003</v>
      </c>
      <c r="I88" s="57">
        <v>13.1</v>
      </c>
      <c r="J88" s="57">
        <v>1.1729399999999999</v>
      </c>
      <c r="K88" s="57">
        <v>636.12983939999992</v>
      </c>
      <c r="L88" s="57">
        <v>1.06359</v>
      </c>
      <c r="M88" s="57">
        <v>28.6</v>
      </c>
      <c r="N88" s="57">
        <v>31.025028820000003</v>
      </c>
      <c r="O88" s="57">
        <v>506.97595987437359</v>
      </c>
      <c r="P88" s="57" t="s">
        <v>97</v>
      </c>
      <c r="Q88" s="57" t="s">
        <v>97</v>
      </c>
      <c r="R88" s="337">
        <f>IF(O88=0,(MAX(P88,E88)/MIN(P88,E88)),(MAX(O88,E88)/MIN(O88,E88)))</f>
        <v>1.5089472885254038</v>
      </c>
      <c r="S88" s="58">
        <f>T88/181</f>
        <v>0.65745856353591159</v>
      </c>
      <c r="T88" s="59">
        <v>119</v>
      </c>
      <c r="U88" s="97" t="s">
        <v>334</v>
      </c>
    </row>
    <row r="89" spans="1:21">
      <c r="A89" s="55" t="s">
        <v>61</v>
      </c>
      <c r="B89" s="56" t="s">
        <v>98</v>
      </c>
      <c r="C89" s="222">
        <v>21</v>
      </c>
      <c r="D89" s="57">
        <v>7.85</v>
      </c>
      <c r="E89" s="57">
        <v>1883</v>
      </c>
      <c r="F89" s="57">
        <v>0.6</v>
      </c>
      <c r="G89" s="57">
        <v>59.716220000000007</v>
      </c>
      <c r="H89" s="57">
        <v>3.4027000000000003</v>
      </c>
      <c r="I89" s="57">
        <v>13.1</v>
      </c>
      <c r="J89" s="57">
        <v>1.1729399999999999</v>
      </c>
      <c r="K89" s="57">
        <v>3344.8117361999994</v>
      </c>
      <c r="L89" s="57">
        <v>1.06359</v>
      </c>
      <c r="M89" s="57">
        <v>28.7</v>
      </c>
      <c r="N89" s="57">
        <v>163.12371994000003</v>
      </c>
      <c r="O89" s="57">
        <v>1179.8286098063409</v>
      </c>
      <c r="P89" s="57" t="s">
        <v>97</v>
      </c>
      <c r="Q89" s="57" t="s">
        <v>97</v>
      </c>
      <c r="R89" s="337">
        <f>IF(O89=0,(MAX(P89,E89)/MIN(P89,E89)),(MAX(O89,E89)/MIN(O89,E89)))</f>
        <v>1.5959945235681976</v>
      </c>
      <c r="S89" s="58">
        <f>T89/181</f>
        <v>0.7016574585635359</v>
      </c>
      <c r="T89" s="59">
        <v>127</v>
      </c>
      <c r="U89" s="97" t="s">
        <v>334</v>
      </c>
    </row>
    <row r="90" spans="1:21">
      <c r="A90" s="55" t="s">
        <v>61</v>
      </c>
      <c r="B90" s="56" t="s">
        <v>98</v>
      </c>
      <c r="C90" s="222">
        <v>21</v>
      </c>
      <c r="D90" s="57">
        <v>7.85</v>
      </c>
      <c r="E90" s="57">
        <v>523</v>
      </c>
      <c r="F90" s="57">
        <v>0.6</v>
      </c>
      <c r="G90" s="57">
        <v>6.8132600000000014</v>
      </c>
      <c r="H90" s="57">
        <v>3.4027000000000003</v>
      </c>
      <c r="I90" s="57">
        <v>2.2999999999999998</v>
      </c>
      <c r="J90" s="57">
        <v>1.1729399999999999</v>
      </c>
      <c r="K90" s="57">
        <v>636.12983939999992</v>
      </c>
      <c r="L90" s="57">
        <v>3.5453000000000006</v>
      </c>
      <c r="M90" s="57">
        <v>28.7</v>
      </c>
      <c r="N90" s="57">
        <v>31.025028820000003</v>
      </c>
      <c r="O90" s="57">
        <v>324.73312956654706</v>
      </c>
      <c r="P90" s="57" t="s">
        <v>97</v>
      </c>
      <c r="Q90" s="57" t="s">
        <v>97</v>
      </c>
      <c r="R90" s="337">
        <f>IF(O90=0,(MAX(P90,E90)/MIN(P90,E90)),(MAX(O90,E90)/MIN(O90,E90)))</f>
        <v>1.6105532586037619</v>
      </c>
      <c r="S90" s="58">
        <f>T90/181</f>
        <v>0.71823204419889508</v>
      </c>
      <c r="T90" s="59">
        <v>130</v>
      </c>
      <c r="U90" s="97" t="s">
        <v>334</v>
      </c>
    </row>
    <row r="91" spans="1:21">
      <c r="A91" s="55" t="s">
        <v>61</v>
      </c>
      <c r="B91" s="56" t="s">
        <v>98</v>
      </c>
      <c r="C91" s="222">
        <v>21</v>
      </c>
      <c r="D91" s="57">
        <v>7.85</v>
      </c>
      <c r="E91" s="57">
        <v>190</v>
      </c>
      <c r="F91" s="57">
        <v>0.6</v>
      </c>
      <c r="G91" s="57">
        <v>4.4085800000000006</v>
      </c>
      <c r="H91" s="57">
        <v>3.4027000000000003</v>
      </c>
      <c r="I91" s="57">
        <v>13.1</v>
      </c>
      <c r="J91" s="57">
        <v>1.1729399999999999</v>
      </c>
      <c r="K91" s="57">
        <v>513.00793499999997</v>
      </c>
      <c r="L91" s="57">
        <v>1.06359</v>
      </c>
      <c r="M91" s="57">
        <v>28.7</v>
      </c>
      <c r="N91" s="57">
        <v>25.020542860000003</v>
      </c>
      <c r="O91" s="57">
        <v>313.00976078665553</v>
      </c>
      <c r="P91" s="57" t="s">
        <v>97</v>
      </c>
      <c r="Q91" s="57" t="s">
        <v>97</v>
      </c>
      <c r="R91" s="337">
        <f>IF(O91=0,(MAX(P91,E91)/MIN(P91,E91)),(MAX(O91,E91)/MIN(O91,E91)))</f>
        <v>1.6474197936139765</v>
      </c>
      <c r="S91" s="58">
        <f>T91/181</f>
        <v>0.73480662983425415</v>
      </c>
      <c r="T91" s="59">
        <v>133</v>
      </c>
      <c r="U91" s="97" t="s">
        <v>334</v>
      </c>
    </row>
    <row r="92" spans="1:21">
      <c r="A92" s="55" t="s">
        <v>61</v>
      </c>
      <c r="B92" s="56" t="s">
        <v>98</v>
      </c>
      <c r="C92" s="222">
        <v>21</v>
      </c>
      <c r="D92" s="57">
        <v>7.85</v>
      </c>
      <c r="E92" s="57">
        <v>706</v>
      </c>
      <c r="F92" s="57">
        <v>0.6</v>
      </c>
      <c r="G92" s="57">
        <v>6.8132600000000014</v>
      </c>
      <c r="H92" s="57">
        <v>3.4027000000000003</v>
      </c>
      <c r="I92" s="57">
        <v>26.9</v>
      </c>
      <c r="J92" s="57">
        <v>1.1729399999999999</v>
      </c>
      <c r="K92" s="57">
        <v>636.12983939999992</v>
      </c>
      <c r="L92" s="57">
        <v>41.48001</v>
      </c>
      <c r="M92" s="57">
        <v>28.7</v>
      </c>
      <c r="N92" s="57">
        <v>31.025028820000003</v>
      </c>
      <c r="O92" s="57">
        <v>392.55816071652271</v>
      </c>
      <c r="P92" s="57" t="s">
        <v>97</v>
      </c>
      <c r="Q92" s="57" t="s">
        <v>97</v>
      </c>
      <c r="R92" s="337">
        <f>IF(O92=0,(MAX(P92,E92)/MIN(P92,E92)),(MAX(O92,E92)/MIN(O92,E92)))</f>
        <v>1.7984596185985864</v>
      </c>
      <c r="S92" s="58">
        <f>T92/181</f>
        <v>0.8066298342541437</v>
      </c>
      <c r="T92" s="59">
        <v>146</v>
      </c>
      <c r="U92" s="97" t="s">
        <v>334</v>
      </c>
    </row>
    <row r="93" spans="1:21">
      <c r="A93" s="55" t="s">
        <v>61</v>
      </c>
      <c r="B93" s="56" t="s">
        <v>98</v>
      </c>
      <c r="C93" s="222">
        <v>21</v>
      </c>
      <c r="D93" s="57">
        <v>6.32</v>
      </c>
      <c r="E93" s="57">
        <v>425</v>
      </c>
      <c r="F93" s="57">
        <v>0.6</v>
      </c>
      <c r="G93" s="57">
        <v>6.8132600000000014</v>
      </c>
      <c r="H93" s="57">
        <v>3.4027000000000003</v>
      </c>
      <c r="I93" s="57">
        <v>13.1</v>
      </c>
      <c r="J93" s="57">
        <v>1.1729399999999999</v>
      </c>
      <c r="K93" s="57">
        <v>636.12983939999992</v>
      </c>
      <c r="L93" s="57">
        <v>1.06359</v>
      </c>
      <c r="M93" s="57">
        <v>28.5</v>
      </c>
      <c r="N93" s="57">
        <v>31.025028820000003</v>
      </c>
      <c r="O93" s="57">
        <v>917.28128674250934</v>
      </c>
      <c r="P93" s="57" t="s">
        <v>97</v>
      </c>
      <c r="Q93" s="57" t="s">
        <v>97</v>
      </c>
      <c r="R93" s="337">
        <f>IF(O93=0,(MAX(P93,E93)/MIN(P93,E93)),(MAX(O93,E93)/MIN(O93,E93)))</f>
        <v>2.1583089099823751</v>
      </c>
      <c r="S93" s="58">
        <f>T93/181</f>
        <v>0.91160220994475138</v>
      </c>
      <c r="T93" s="59">
        <v>165</v>
      </c>
      <c r="U93" s="97" t="s">
        <v>334</v>
      </c>
    </row>
    <row r="94" spans="1:21">
      <c r="A94" s="55" t="s">
        <v>61</v>
      </c>
      <c r="B94" s="56" t="s">
        <v>98</v>
      </c>
      <c r="C94" s="222">
        <v>21</v>
      </c>
      <c r="D94" s="57">
        <v>8.01</v>
      </c>
      <c r="E94" s="57">
        <v>686</v>
      </c>
      <c r="F94" s="57">
        <v>0.6</v>
      </c>
      <c r="G94" s="57">
        <v>6.8132600000000014</v>
      </c>
      <c r="H94" s="57">
        <v>3.4027000000000003</v>
      </c>
      <c r="I94" s="57">
        <v>13.1</v>
      </c>
      <c r="J94" s="57">
        <v>1.1729399999999999</v>
      </c>
      <c r="K94" s="57">
        <v>636.12983939999992</v>
      </c>
      <c r="L94" s="57">
        <v>1.06359</v>
      </c>
      <c r="M94" s="57">
        <v>28.8</v>
      </c>
      <c r="N94" s="57">
        <v>31.025028820000003</v>
      </c>
      <c r="O94" s="57">
        <v>314.37884788669407</v>
      </c>
      <c r="P94" s="57" t="s">
        <v>97</v>
      </c>
      <c r="Q94" s="57" t="s">
        <v>97</v>
      </c>
      <c r="R94" s="337">
        <f>IF(O94=0,(MAX(P94,E94)/MIN(P94,E94)),(MAX(O94,E94)/MIN(O94,E94)))</f>
        <v>2.1820806476370911</v>
      </c>
      <c r="S94" s="58">
        <f>T94/181</f>
        <v>0.92817679558011046</v>
      </c>
      <c r="T94" s="59">
        <v>168</v>
      </c>
      <c r="U94" s="97" t="s">
        <v>334</v>
      </c>
    </row>
    <row r="95" spans="1:21">
      <c r="A95" s="50" t="s">
        <v>61</v>
      </c>
      <c r="B95" s="51" t="s">
        <v>98</v>
      </c>
      <c r="C95" s="332">
        <v>21</v>
      </c>
      <c r="D95" s="52">
        <v>7.85</v>
      </c>
      <c r="E95" s="52">
        <v>105</v>
      </c>
      <c r="F95" s="52">
        <v>0.6</v>
      </c>
      <c r="G95" s="52">
        <v>1.6031200000000001</v>
      </c>
      <c r="H95" s="52">
        <v>3.4027000000000003</v>
      </c>
      <c r="I95" s="52">
        <v>13.1</v>
      </c>
      <c r="J95" s="52">
        <v>1.1729399999999999</v>
      </c>
      <c r="K95" s="52">
        <v>369.36571319999996</v>
      </c>
      <c r="L95" s="52">
        <v>1.06359</v>
      </c>
      <c r="M95" s="52">
        <v>28.7</v>
      </c>
      <c r="N95" s="52">
        <v>18.015309240000001</v>
      </c>
      <c r="O95" s="52">
        <v>263.26458526731739</v>
      </c>
      <c r="P95" s="52" t="s">
        <v>97</v>
      </c>
      <c r="Q95" s="52" t="s">
        <v>97</v>
      </c>
      <c r="R95" s="338">
        <f>IF(O95=0,(MAX(P95,E95)/MIN(P95,E95)),(MAX(O95,E95)/MIN(O95,E95)))</f>
        <v>2.5072817644506418</v>
      </c>
      <c r="S95" s="53">
        <f>T95/181</f>
        <v>0.95580110497237569</v>
      </c>
      <c r="T95" s="54">
        <v>173</v>
      </c>
      <c r="U95" s="97" t="s">
        <v>334</v>
      </c>
    </row>
    <row r="96" spans="1:21">
      <c r="A96" s="55" t="s">
        <v>62</v>
      </c>
      <c r="B96" s="56" t="s">
        <v>98</v>
      </c>
      <c r="C96" s="222">
        <v>15</v>
      </c>
      <c r="D96" s="57">
        <v>6.7</v>
      </c>
      <c r="E96" s="57">
        <v>548</v>
      </c>
      <c r="F96" s="57">
        <v>0.3</v>
      </c>
      <c r="G96" s="57">
        <v>8.9373940000000012</v>
      </c>
      <c r="H96" s="57">
        <v>1.55552</v>
      </c>
      <c r="I96" s="57">
        <v>103.96078</v>
      </c>
      <c r="J96" s="57">
        <v>1.8767039999999999</v>
      </c>
      <c r="K96" s="57">
        <v>11.431259000000001</v>
      </c>
      <c r="L96" s="57">
        <v>217.32689000000002</v>
      </c>
      <c r="M96" s="57" t="s">
        <v>97</v>
      </c>
      <c r="N96" s="57">
        <v>28.722304178000002</v>
      </c>
      <c r="O96" s="57">
        <v>552.25781438409865</v>
      </c>
      <c r="P96" s="57" t="s">
        <v>97</v>
      </c>
      <c r="Q96" s="57" t="s">
        <v>97</v>
      </c>
      <c r="R96" s="337">
        <f>IF(O96=0,(MAX(P96,E96)/MIN(P96,E96)),(MAX(O96,E96)/MIN(O96,E96)))</f>
        <v>1.0077697342775522</v>
      </c>
      <c r="S96" s="58">
        <f>T96/181</f>
        <v>1.6574585635359115E-2</v>
      </c>
      <c r="T96" s="59">
        <v>3</v>
      </c>
      <c r="U96" s="97" t="s">
        <v>335</v>
      </c>
    </row>
    <row r="97" spans="1:21">
      <c r="A97" s="55" t="s">
        <v>62</v>
      </c>
      <c r="B97" s="56" t="s">
        <v>98</v>
      </c>
      <c r="C97" s="222">
        <v>15</v>
      </c>
      <c r="D97" s="57">
        <v>7.39</v>
      </c>
      <c r="E97" s="57">
        <v>730</v>
      </c>
      <c r="F97" s="57">
        <v>0.3</v>
      </c>
      <c r="G97" s="57">
        <v>7.895366000000001</v>
      </c>
      <c r="H97" s="57">
        <v>75.855904999999993</v>
      </c>
      <c r="I97" s="57">
        <v>18.897779999999997</v>
      </c>
      <c r="J97" s="57">
        <v>1.9549000000000001</v>
      </c>
      <c r="K97" s="57">
        <v>11.52732</v>
      </c>
      <c r="L97" s="57">
        <v>229.69998700000002</v>
      </c>
      <c r="M97" s="57" t="s">
        <v>97</v>
      </c>
      <c r="N97" s="57">
        <v>332.08934569199999</v>
      </c>
      <c r="O97" s="57">
        <v>724.31165261519584</v>
      </c>
      <c r="P97" s="57" t="s">
        <v>97</v>
      </c>
      <c r="Q97" s="57" t="s">
        <v>97</v>
      </c>
      <c r="R97" s="337">
        <f>IF(O97=0,(MAX(P97,E97)/MIN(P97,E97)),(MAX(O97,E97)/MIN(O97,E97)))</f>
        <v>1.0078534528117362</v>
      </c>
      <c r="S97" s="58">
        <f>T97/181</f>
        <v>2.2099447513812154E-2</v>
      </c>
      <c r="T97" s="59">
        <v>4</v>
      </c>
      <c r="U97" s="97" t="s">
        <v>335</v>
      </c>
    </row>
    <row r="98" spans="1:21">
      <c r="A98" s="55" t="s">
        <v>62</v>
      </c>
      <c r="B98" s="56" t="s">
        <v>98</v>
      </c>
      <c r="C98" s="222">
        <v>15</v>
      </c>
      <c r="D98" s="57">
        <v>7.49</v>
      </c>
      <c r="E98" s="57">
        <v>441</v>
      </c>
      <c r="F98" s="57">
        <v>0.3</v>
      </c>
      <c r="G98" s="57">
        <v>9.1377840000000017</v>
      </c>
      <c r="H98" s="57">
        <v>1.7499599999999997</v>
      </c>
      <c r="I98" s="57">
        <v>107.01845</v>
      </c>
      <c r="J98" s="57">
        <v>2.033096</v>
      </c>
      <c r="K98" s="57">
        <v>11.719442000000001</v>
      </c>
      <c r="L98" s="57">
        <v>177.97406000000001</v>
      </c>
      <c r="M98" s="57" t="s">
        <v>97</v>
      </c>
      <c r="N98" s="57">
        <v>30.023381927999999</v>
      </c>
      <c r="O98" s="57">
        <v>406.72301452960664</v>
      </c>
      <c r="P98" s="57" t="s">
        <v>97</v>
      </c>
      <c r="Q98" s="57" t="s">
        <v>97</v>
      </c>
      <c r="R98" s="337">
        <f>IF(O98=0,(MAX(P98,E98)/MIN(P98,E98)),(MAX(O98,E98)/MIN(O98,E98)))</f>
        <v>1.0842759918811977</v>
      </c>
      <c r="S98" s="58">
        <f>T98/181</f>
        <v>0.16574585635359115</v>
      </c>
      <c r="T98" s="59">
        <v>30</v>
      </c>
      <c r="U98" s="97" t="s">
        <v>335</v>
      </c>
    </row>
    <row r="99" spans="1:21">
      <c r="A99" s="55" t="s">
        <v>62</v>
      </c>
      <c r="B99" s="56" t="s">
        <v>98</v>
      </c>
      <c r="C99" s="222">
        <v>15</v>
      </c>
      <c r="D99" s="57">
        <v>7.45</v>
      </c>
      <c r="E99" s="57">
        <v>209</v>
      </c>
      <c r="F99" s="57">
        <v>0.3</v>
      </c>
      <c r="G99" s="57">
        <v>8.8572380000000006</v>
      </c>
      <c r="H99" s="57">
        <v>1.8228749999999998</v>
      </c>
      <c r="I99" s="57">
        <v>17.771269999999998</v>
      </c>
      <c r="J99" s="57">
        <v>2.1894879999999999</v>
      </c>
      <c r="K99" s="57">
        <v>11.815503000000001</v>
      </c>
      <c r="L99" s="57">
        <v>18.222842000000004</v>
      </c>
      <c r="M99" s="57" t="s">
        <v>97</v>
      </c>
      <c r="N99" s="57">
        <v>29.623122536</v>
      </c>
      <c r="O99" s="57">
        <v>261.10409984597169</v>
      </c>
      <c r="P99" s="57" t="s">
        <v>97</v>
      </c>
      <c r="Q99" s="57" t="s">
        <v>97</v>
      </c>
      <c r="R99" s="337">
        <f>IF(O99=0,(MAX(P99,E99)/MIN(P99,E99)),(MAX(O99,E99)/MIN(O99,E99)))</f>
        <v>1.2493019131386205</v>
      </c>
      <c r="S99" s="58">
        <f>T99/181</f>
        <v>0.44751381215469616</v>
      </c>
      <c r="T99" s="59">
        <v>81</v>
      </c>
      <c r="U99" s="97" t="s">
        <v>335</v>
      </c>
    </row>
    <row r="100" spans="1:21">
      <c r="A100" s="55" t="s">
        <v>62</v>
      </c>
      <c r="B100" s="56" t="s">
        <v>98</v>
      </c>
      <c r="C100" s="222">
        <v>15</v>
      </c>
      <c r="D100" s="57">
        <v>7.61</v>
      </c>
      <c r="E100" s="57">
        <v>194</v>
      </c>
      <c r="F100" s="57">
        <v>0.3</v>
      </c>
      <c r="G100" s="57">
        <v>9.1377840000000017</v>
      </c>
      <c r="H100" s="57">
        <v>1.531215</v>
      </c>
      <c r="I100" s="57">
        <v>18.254059999999999</v>
      </c>
      <c r="J100" s="57">
        <v>2.1112919999999997</v>
      </c>
      <c r="K100" s="57">
        <v>11.143076000000001</v>
      </c>
      <c r="L100" s="57">
        <v>16.166568000000002</v>
      </c>
      <c r="M100" s="57" t="s">
        <v>97</v>
      </c>
      <c r="N100" s="57">
        <v>29.122590018000004</v>
      </c>
      <c r="O100" s="57">
        <v>242.4778454077595</v>
      </c>
      <c r="P100" s="57" t="s">
        <v>97</v>
      </c>
      <c r="Q100" s="57" t="s">
        <v>97</v>
      </c>
      <c r="R100" s="337">
        <f>IF(O100=0,(MAX(P100,E100)/MIN(P100,E100)),(MAX(O100,E100)/MIN(O100,E100)))</f>
        <v>1.2498858010709253</v>
      </c>
      <c r="S100" s="58">
        <f>T100/181</f>
        <v>0.45303867403314918</v>
      </c>
      <c r="T100" s="59">
        <v>82</v>
      </c>
      <c r="U100" s="97" t="s">
        <v>335</v>
      </c>
    </row>
    <row r="101" spans="1:21">
      <c r="A101" s="55" t="s">
        <v>62</v>
      </c>
      <c r="B101" s="56" t="s">
        <v>98</v>
      </c>
      <c r="C101" s="222">
        <v>15</v>
      </c>
      <c r="D101" s="57">
        <v>5.68</v>
      </c>
      <c r="E101" s="57">
        <v>1510</v>
      </c>
      <c r="F101" s="57">
        <v>0.3</v>
      </c>
      <c r="G101" s="57">
        <v>8.7370040000000007</v>
      </c>
      <c r="H101" s="57">
        <v>1.7742649999999998</v>
      </c>
      <c r="I101" s="57">
        <v>103.66191000000001</v>
      </c>
      <c r="J101" s="57">
        <v>1.6030180000000001</v>
      </c>
      <c r="K101" s="57">
        <v>11.431259000000001</v>
      </c>
      <c r="L101" s="57">
        <v>229.06183300000004</v>
      </c>
      <c r="M101" s="57" t="s">
        <v>97</v>
      </c>
      <c r="N101" s="57">
        <v>29.122722258</v>
      </c>
      <c r="O101" s="57">
        <v>1187.5749921119957</v>
      </c>
      <c r="P101" s="57" t="s">
        <v>97</v>
      </c>
      <c r="Q101" s="57" t="s">
        <v>97</v>
      </c>
      <c r="R101" s="337">
        <f>IF(O101=0,(MAX(P101,E101)/MIN(P101,E101)),(MAX(O101,E101)/MIN(O101,E101)))</f>
        <v>1.2714986506364541</v>
      </c>
      <c r="S101" s="58">
        <f>T101/181</f>
        <v>0.48066298342541436</v>
      </c>
      <c r="T101" s="59">
        <v>87</v>
      </c>
      <c r="U101" s="97" t="s">
        <v>335</v>
      </c>
    </row>
    <row r="102" spans="1:21">
      <c r="A102" s="55" t="s">
        <v>62</v>
      </c>
      <c r="B102" s="56" t="s">
        <v>98</v>
      </c>
      <c r="C102" s="222">
        <v>15</v>
      </c>
      <c r="D102" s="57">
        <v>7.65</v>
      </c>
      <c r="E102" s="57">
        <v>483</v>
      </c>
      <c r="F102" s="57">
        <v>0.3</v>
      </c>
      <c r="G102" s="57">
        <v>8.4163800000000002</v>
      </c>
      <c r="H102" s="57">
        <v>75.904515000000004</v>
      </c>
      <c r="I102" s="57">
        <v>16.391869999999997</v>
      </c>
      <c r="J102" s="57">
        <v>1.9549000000000001</v>
      </c>
      <c r="K102" s="57">
        <v>11.815503000000001</v>
      </c>
      <c r="L102" s="57">
        <v>263.87667900000002</v>
      </c>
      <c r="M102" s="57" t="s">
        <v>97</v>
      </c>
      <c r="N102" s="57">
        <v>333.59049363000003</v>
      </c>
      <c r="O102" s="57">
        <v>620.03002377911923</v>
      </c>
      <c r="P102" s="57" t="s">
        <v>97</v>
      </c>
      <c r="Q102" s="57" t="s">
        <v>97</v>
      </c>
      <c r="R102" s="337">
        <f>IF(O102=0,(MAX(P102,E102)/MIN(P102,E102)),(MAX(O102,E102)/MIN(O102,E102)))</f>
        <v>1.2837060533729177</v>
      </c>
      <c r="S102" s="58">
        <f>T102/181</f>
        <v>0.49171270718232046</v>
      </c>
      <c r="T102" s="59">
        <v>89</v>
      </c>
      <c r="U102" s="97" t="s">
        <v>335</v>
      </c>
    </row>
    <row r="103" spans="1:21">
      <c r="A103" s="55" t="s">
        <v>62</v>
      </c>
      <c r="B103" s="56" t="s">
        <v>98</v>
      </c>
      <c r="C103" s="222">
        <v>15</v>
      </c>
      <c r="D103" s="57">
        <v>7.75</v>
      </c>
      <c r="E103" s="57">
        <v>171</v>
      </c>
      <c r="F103" s="57">
        <v>0.3</v>
      </c>
      <c r="G103" s="57">
        <v>9.418330000000001</v>
      </c>
      <c r="H103" s="57">
        <v>1.6284350000000001</v>
      </c>
      <c r="I103" s="57">
        <v>16.621769999999998</v>
      </c>
      <c r="J103" s="57">
        <v>2.033096</v>
      </c>
      <c r="K103" s="57">
        <v>11.335198</v>
      </c>
      <c r="L103" s="57">
        <v>14.287559000000002</v>
      </c>
      <c r="M103" s="57" t="s">
        <v>97</v>
      </c>
      <c r="N103" s="57">
        <v>30.223465340000001</v>
      </c>
      <c r="O103" s="57">
        <v>225.06009118277865</v>
      </c>
      <c r="P103" s="57" t="s">
        <v>97</v>
      </c>
      <c r="Q103" s="57" t="s">
        <v>97</v>
      </c>
      <c r="R103" s="337">
        <f>IF(O103=0,(MAX(P103,E103)/MIN(P103,E103)),(MAX(O103,E103)/MIN(O103,E103)))</f>
        <v>1.3161408841098166</v>
      </c>
      <c r="S103" s="58">
        <f>T103/181</f>
        <v>0.53038674033149169</v>
      </c>
      <c r="T103" s="59">
        <v>96</v>
      </c>
      <c r="U103" s="97" t="s">
        <v>335</v>
      </c>
    </row>
    <row r="104" spans="1:21">
      <c r="A104" s="55" t="s">
        <v>62</v>
      </c>
      <c r="B104" s="56" t="s">
        <v>98</v>
      </c>
      <c r="C104" s="222">
        <v>15</v>
      </c>
      <c r="D104" s="57">
        <v>7.68</v>
      </c>
      <c r="E104" s="57">
        <v>2280</v>
      </c>
      <c r="F104" s="57">
        <v>0.3</v>
      </c>
      <c r="G104" s="57">
        <v>155.74310800000001</v>
      </c>
      <c r="H104" s="57">
        <v>1.6770450000000001</v>
      </c>
      <c r="I104" s="57">
        <v>17.058579999999999</v>
      </c>
      <c r="J104" s="57">
        <v>1.9939979999999997</v>
      </c>
      <c r="K104" s="57">
        <v>11.143076000000001</v>
      </c>
      <c r="L104" s="57">
        <v>269.72642400000001</v>
      </c>
      <c r="M104" s="57" t="s">
        <v>97</v>
      </c>
      <c r="N104" s="57">
        <v>395.79661198600002</v>
      </c>
      <c r="O104" s="57">
        <v>1681.5966131437265</v>
      </c>
      <c r="P104" s="57" t="s">
        <v>97</v>
      </c>
      <c r="Q104" s="57" t="s">
        <v>97</v>
      </c>
      <c r="R104" s="337">
        <f>IF(O104=0,(MAX(P104,E104)/MIN(P104,E104)),(MAX(O104,E104)/MIN(O104,E104)))</f>
        <v>1.3558543007157733</v>
      </c>
      <c r="S104" s="58">
        <f>T104/181</f>
        <v>0.59116022099447518</v>
      </c>
      <c r="T104" s="59">
        <v>107</v>
      </c>
      <c r="U104" s="97" t="s">
        <v>335</v>
      </c>
    </row>
    <row r="105" spans="1:21">
      <c r="A105" s="55" t="s">
        <v>62</v>
      </c>
      <c r="B105" s="56" t="s">
        <v>98</v>
      </c>
      <c r="C105" s="222">
        <v>15</v>
      </c>
      <c r="D105" s="57">
        <v>7.58</v>
      </c>
      <c r="E105" s="57">
        <v>610</v>
      </c>
      <c r="F105" s="57">
        <v>0.3</v>
      </c>
      <c r="G105" s="57">
        <v>8.8572380000000006</v>
      </c>
      <c r="H105" s="57">
        <v>1.531215</v>
      </c>
      <c r="I105" s="57">
        <v>111.68541999999998</v>
      </c>
      <c r="J105" s="57">
        <v>1.915802</v>
      </c>
      <c r="K105" s="57">
        <v>11.719442000000001</v>
      </c>
      <c r="L105" s="57">
        <v>192.722508</v>
      </c>
      <c r="M105" s="57" t="s">
        <v>97</v>
      </c>
      <c r="N105" s="57">
        <v>28.422066655999998</v>
      </c>
      <c r="O105" s="57">
        <v>399.26580510780553</v>
      </c>
      <c r="P105" s="57" t="s">
        <v>97</v>
      </c>
      <c r="Q105" s="57" t="s">
        <v>97</v>
      </c>
      <c r="R105" s="337">
        <f>IF(O105=0,(MAX(P105,E105)/MIN(P105,E105)),(MAX(O105,E105)/MIN(O105,E105)))</f>
        <v>1.5278042652194928</v>
      </c>
      <c r="S105" s="58">
        <f>T105/181</f>
        <v>0.66298342541436461</v>
      </c>
      <c r="T105" s="59">
        <v>120</v>
      </c>
      <c r="U105" s="97" t="s">
        <v>335</v>
      </c>
    </row>
    <row r="106" spans="1:21">
      <c r="A106" s="55" t="s">
        <v>62</v>
      </c>
      <c r="B106" s="56" t="s">
        <v>98</v>
      </c>
      <c r="C106" s="222">
        <v>15</v>
      </c>
      <c r="D106" s="57">
        <v>7.73</v>
      </c>
      <c r="E106" s="57">
        <v>153</v>
      </c>
      <c r="F106" s="57">
        <v>0.3</v>
      </c>
      <c r="G106" s="57">
        <v>8.9774720000000006</v>
      </c>
      <c r="H106" s="57">
        <v>5.5172350000000003</v>
      </c>
      <c r="I106" s="57">
        <v>16.805689999999998</v>
      </c>
      <c r="J106" s="57">
        <v>1.8376059999999999</v>
      </c>
      <c r="K106" s="57">
        <v>12.007625000000001</v>
      </c>
      <c r="L106" s="57">
        <v>33.042196000000004</v>
      </c>
      <c r="M106" s="57" t="s">
        <v>97</v>
      </c>
      <c r="N106" s="57">
        <v>45.136721313999999</v>
      </c>
      <c r="O106" s="57">
        <v>236.12786575886764</v>
      </c>
      <c r="P106" s="57" t="s">
        <v>97</v>
      </c>
      <c r="Q106" s="57" t="s">
        <v>97</v>
      </c>
      <c r="R106" s="337">
        <f>IF(O106=0,(MAX(P106,E106)/MIN(P106,E106)),(MAX(O106,E106)/MIN(O106,E106)))</f>
        <v>1.5433193840448864</v>
      </c>
      <c r="S106" s="58">
        <f>T106/181</f>
        <v>0.66850828729281764</v>
      </c>
      <c r="T106" s="59">
        <v>121</v>
      </c>
      <c r="U106" s="97" t="s">
        <v>335</v>
      </c>
    </row>
    <row r="107" spans="1:21">
      <c r="A107" s="55" t="s">
        <v>62</v>
      </c>
      <c r="B107" s="56" t="s">
        <v>98</v>
      </c>
      <c r="C107" s="222">
        <v>15</v>
      </c>
      <c r="D107" s="57">
        <v>7.79</v>
      </c>
      <c r="E107" s="57">
        <v>283</v>
      </c>
      <c r="F107" s="57">
        <v>0.3</v>
      </c>
      <c r="G107" s="57">
        <v>9.1778620000000011</v>
      </c>
      <c r="H107" s="57">
        <v>50.068300000000001</v>
      </c>
      <c r="I107" s="57">
        <v>17.771269999999998</v>
      </c>
      <c r="J107" s="57">
        <v>1.9549000000000001</v>
      </c>
      <c r="K107" s="57">
        <v>11.911564</v>
      </c>
      <c r="L107" s="57">
        <v>187.51091700000001</v>
      </c>
      <c r="M107" s="57" t="s">
        <v>97</v>
      </c>
      <c r="N107" s="57">
        <v>229.09838081400002</v>
      </c>
      <c r="O107" s="57">
        <v>449.30469762743604</v>
      </c>
      <c r="P107" s="57" t="s">
        <v>97</v>
      </c>
      <c r="Q107" s="57" t="s">
        <v>97</v>
      </c>
      <c r="R107" s="337">
        <f>IF(O107=0,(MAX(P107,E107)/MIN(P107,E107)),(MAX(O107,E107)/MIN(O107,E107)))</f>
        <v>1.5876491082241557</v>
      </c>
      <c r="S107" s="58">
        <f>T107/181</f>
        <v>0.69613259668508287</v>
      </c>
      <c r="T107" s="59">
        <v>126</v>
      </c>
      <c r="U107" s="97" t="s">
        <v>335</v>
      </c>
    </row>
    <row r="108" spans="1:21">
      <c r="A108" s="55" t="s">
        <v>62</v>
      </c>
      <c r="B108" s="56" t="s">
        <v>98</v>
      </c>
      <c r="C108" s="222">
        <v>15</v>
      </c>
      <c r="D108" s="57">
        <v>7.58</v>
      </c>
      <c r="E108" s="57">
        <v>904</v>
      </c>
      <c r="F108" s="57">
        <v>0.3</v>
      </c>
      <c r="G108" s="57">
        <v>38.194333999999998</v>
      </c>
      <c r="H108" s="57">
        <v>1.6527400000000001</v>
      </c>
      <c r="I108" s="57">
        <v>17.012599999999999</v>
      </c>
      <c r="J108" s="57">
        <v>1.915802</v>
      </c>
      <c r="K108" s="57">
        <v>11.719442000000001</v>
      </c>
      <c r="L108" s="57">
        <v>69.062443999999999</v>
      </c>
      <c r="M108" s="57" t="s">
        <v>97</v>
      </c>
      <c r="N108" s="57">
        <v>102.17723531799999</v>
      </c>
      <c r="O108" s="57">
        <v>564.39581915448025</v>
      </c>
      <c r="P108" s="57" t="s">
        <v>97</v>
      </c>
      <c r="Q108" s="57" t="s">
        <v>97</v>
      </c>
      <c r="R108" s="337">
        <f>IF(O108=0,(MAX(P108,E108)/MIN(P108,E108)),(MAX(O108,E108)/MIN(O108,E108)))</f>
        <v>1.601712786168898</v>
      </c>
      <c r="S108" s="58">
        <f>T108/181</f>
        <v>0.71270718232044195</v>
      </c>
      <c r="T108" s="59">
        <v>129</v>
      </c>
      <c r="U108" s="97" t="s">
        <v>335</v>
      </c>
    </row>
    <row r="109" spans="1:21">
      <c r="A109" s="55" t="s">
        <v>62</v>
      </c>
      <c r="B109" s="56" t="s">
        <v>98</v>
      </c>
      <c r="C109" s="222">
        <v>15</v>
      </c>
      <c r="D109" s="57">
        <v>7.85</v>
      </c>
      <c r="E109" s="57">
        <v>2560</v>
      </c>
      <c r="F109" s="57">
        <v>0.3</v>
      </c>
      <c r="G109" s="57">
        <v>156.98552599999999</v>
      </c>
      <c r="H109" s="57">
        <v>1.579825</v>
      </c>
      <c r="I109" s="57">
        <v>17.21951</v>
      </c>
      <c r="J109" s="57">
        <v>1.8767039999999999</v>
      </c>
      <c r="K109" s="57">
        <v>11.52732</v>
      </c>
      <c r="L109" s="57">
        <v>273.37808300000006</v>
      </c>
      <c r="M109" s="57" t="s">
        <v>97</v>
      </c>
      <c r="N109" s="57">
        <v>398.49857777199998</v>
      </c>
      <c r="O109" s="57">
        <v>1524.338629511846</v>
      </c>
      <c r="P109" s="57" t="s">
        <v>97</v>
      </c>
      <c r="Q109" s="57" t="s">
        <v>97</v>
      </c>
      <c r="R109" s="337">
        <f>IF(O109=0,(MAX(P109,E109)/MIN(P109,E109)),(MAX(O109,E109)/MIN(O109,E109)))</f>
        <v>1.6794168634431406</v>
      </c>
      <c r="S109" s="58">
        <f>T109/181</f>
        <v>0.75138121546961323</v>
      </c>
      <c r="T109" s="59">
        <v>136</v>
      </c>
      <c r="U109" s="97" t="s">
        <v>335</v>
      </c>
    </row>
    <row r="110" spans="1:21">
      <c r="A110" s="55" t="s">
        <v>62</v>
      </c>
      <c r="B110" s="56" t="s">
        <v>98</v>
      </c>
      <c r="C110" s="222">
        <v>15</v>
      </c>
      <c r="D110" s="57">
        <v>7.74</v>
      </c>
      <c r="E110" s="57">
        <v>214</v>
      </c>
      <c r="F110" s="57">
        <v>0.3</v>
      </c>
      <c r="G110" s="57">
        <v>9.6587980000000009</v>
      </c>
      <c r="H110" s="57">
        <v>27.999359999999996</v>
      </c>
      <c r="I110" s="57">
        <v>21.12781</v>
      </c>
      <c r="J110" s="57">
        <v>1.915802</v>
      </c>
      <c r="K110" s="57">
        <v>12.295808000000001</v>
      </c>
      <c r="L110" s="57">
        <v>102.849153</v>
      </c>
      <c r="M110" s="57" t="s">
        <v>97</v>
      </c>
      <c r="N110" s="57">
        <v>139.41938308599998</v>
      </c>
      <c r="O110" s="57">
        <v>368.69885145996369</v>
      </c>
      <c r="P110" s="57" t="s">
        <v>97</v>
      </c>
      <c r="Q110" s="57" t="s">
        <v>97</v>
      </c>
      <c r="R110" s="337">
        <f>IF(O110=0,(MAX(P110,E110)/MIN(P110,E110)),(MAX(O110,E110)/MIN(O110,E110)))</f>
        <v>1.7228918292521669</v>
      </c>
      <c r="S110" s="58">
        <f>T110/181</f>
        <v>0.76795580110497241</v>
      </c>
      <c r="T110" s="59">
        <v>139</v>
      </c>
      <c r="U110" s="97" t="s">
        <v>335</v>
      </c>
    </row>
    <row r="111" spans="1:21">
      <c r="A111" s="55" t="s">
        <v>62</v>
      </c>
      <c r="B111" s="56" t="s">
        <v>98</v>
      </c>
      <c r="C111" s="222">
        <v>15</v>
      </c>
      <c r="D111" s="57">
        <v>7.65</v>
      </c>
      <c r="E111" s="57">
        <v>130</v>
      </c>
      <c r="F111" s="57">
        <v>0.3</v>
      </c>
      <c r="G111" s="57">
        <v>8.5766920000000013</v>
      </c>
      <c r="H111" s="57">
        <v>1.8957899999999999</v>
      </c>
      <c r="I111" s="57">
        <v>18.139109999999999</v>
      </c>
      <c r="J111" s="57">
        <v>1.915802</v>
      </c>
      <c r="K111" s="57">
        <v>11.623381</v>
      </c>
      <c r="L111" s="57">
        <v>20.172757000000001</v>
      </c>
      <c r="M111" s="57" t="s">
        <v>97</v>
      </c>
      <c r="N111" s="57">
        <v>29.222863144000002</v>
      </c>
      <c r="O111" s="57">
        <v>231.69179717011019</v>
      </c>
      <c r="P111" s="57" t="s">
        <v>97</v>
      </c>
      <c r="Q111" s="57" t="s">
        <v>97</v>
      </c>
      <c r="R111" s="337">
        <f>IF(O111=0,(MAX(P111,E111)/MIN(P111,E111)),(MAX(O111,E111)/MIN(O111,E111)))</f>
        <v>1.7822445936162323</v>
      </c>
      <c r="S111" s="58">
        <f>T111/181</f>
        <v>0.79005524861878451</v>
      </c>
      <c r="T111" s="59">
        <v>143</v>
      </c>
      <c r="U111" s="97" t="s">
        <v>335</v>
      </c>
    </row>
    <row r="112" spans="1:21">
      <c r="A112" s="55" t="s">
        <v>62</v>
      </c>
      <c r="B112" s="56" t="s">
        <v>98</v>
      </c>
      <c r="C112" s="222">
        <v>15</v>
      </c>
      <c r="D112" s="57">
        <v>7.87</v>
      </c>
      <c r="E112" s="57">
        <v>1470</v>
      </c>
      <c r="F112" s="57">
        <v>0.3</v>
      </c>
      <c r="G112" s="57">
        <v>73.903832000000008</v>
      </c>
      <c r="H112" s="57">
        <v>1.3853850000000001</v>
      </c>
      <c r="I112" s="57">
        <v>15.65619</v>
      </c>
      <c r="J112" s="57">
        <v>1.5248219999999999</v>
      </c>
      <c r="K112" s="57">
        <v>12.295808000000001</v>
      </c>
      <c r="L112" s="57">
        <v>144.40006900000003</v>
      </c>
      <c r="M112" s="57" t="s">
        <v>97</v>
      </c>
      <c r="N112" s="57">
        <v>190.24288393400002</v>
      </c>
      <c r="O112" s="57">
        <v>776.35612579860253</v>
      </c>
      <c r="P112" s="57" t="s">
        <v>97</v>
      </c>
      <c r="Q112" s="57" t="s">
        <v>97</v>
      </c>
      <c r="R112" s="337">
        <f>IF(O112=0,(MAX(P112,E112)/MIN(P112,E112)),(MAX(O112,E112)/MIN(O112,E112)))</f>
        <v>1.8934609403485769</v>
      </c>
      <c r="S112" s="58">
        <f>T112/181</f>
        <v>0.85635359116022103</v>
      </c>
      <c r="T112" s="59">
        <v>155</v>
      </c>
      <c r="U112" s="97" t="s">
        <v>335</v>
      </c>
    </row>
    <row r="113" spans="1:21">
      <c r="A113" s="50" t="s">
        <v>62</v>
      </c>
      <c r="B113" s="51" t="s">
        <v>98</v>
      </c>
      <c r="C113" s="332">
        <v>15</v>
      </c>
      <c r="D113" s="52">
        <v>7.8</v>
      </c>
      <c r="E113" s="52">
        <v>1170</v>
      </c>
      <c r="F113" s="52">
        <v>0.3</v>
      </c>
      <c r="G113" s="52">
        <v>39.516908000000001</v>
      </c>
      <c r="H113" s="52">
        <v>1.6527400000000001</v>
      </c>
      <c r="I113" s="52">
        <v>17.42642</v>
      </c>
      <c r="J113" s="52">
        <v>1.9549000000000001</v>
      </c>
      <c r="K113" s="52">
        <v>11.52732</v>
      </c>
      <c r="L113" s="52">
        <v>65.268973000000003</v>
      </c>
      <c r="M113" s="52" t="s">
        <v>97</v>
      </c>
      <c r="N113" s="52">
        <v>105.479702596</v>
      </c>
      <c r="O113" s="52">
        <v>495.08824831727088</v>
      </c>
      <c r="P113" s="52" t="s">
        <v>97</v>
      </c>
      <c r="Q113" s="52" t="s">
        <v>97</v>
      </c>
      <c r="R113" s="338">
        <f>IF(O113=0,(MAX(P113,E113)/MIN(P113,E113)),(MAX(O113,E113)/MIN(O113,E113)))</f>
        <v>2.3632150510068675</v>
      </c>
      <c r="S113" s="53">
        <f>T113/181</f>
        <v>0.94475138121546964</v>
      </c>
      <c r="T113" s="54">
        <v>171</v>
      </c>
      <c r="U113" s="97" t="s">
        <v>335</v>
      </c>
    </row>
    <row r="114" spans="1:21">
      <c r="A114" s="55" t="s">
        <v>63</v>
      </c>
      <c r="B114" s="56" t="s">
        <v>99</v>
      </c>
      <c r="C114" s="222">
        <v>25</v>
      </c>
      <c r="D114" s="57">
        <v>7.77</v>
      </c>
      <c r="E114" s="57">
        <v>720</v>
      </c>
      <c r="F114" s="57">
        <v>8.94</v>
      </c>
      <c r="G114" s="57">
        <v>79.2</v>
      </c>
      <c r="H114" s="57">
        <v>13.9</v>
      </c>
      <c r="I114" s="57">
        <v>64.400000000000006</v>
      </c>
      <c r="J114" s="57">
        <v>10.4</v>
      </c>
      <c r="K114" s="57">
        <v>78.7</v>
      </c>
      <c r="L114" s="57">
        <v>90.8</v>
      </c>
      <c r="M114" s="57" t="s">
        <v>97</v>
      </c>
      <c r="N114" s="57">
        <v>255.0026</v>
      </c>
      <c r="O114" s="57" t="s">
        <v>97</v>
      </c>
      <c r="P114" s="57">
        <v>729.50600261903412</v>
      </c>
      <c r="Q114" s="57" t="s">
        <v>97</v>
      </c>
      <c r="R114" s="337">
        <f t="shared" ref="R114:R152" si="0">IF(O114="-",(MAX(P114,E114)/MIN(P114,E114)),(MAX(O114,E114)/MIN(O114,E114)))</f>
        <v>1.0132027814153253</v>
      </c>
      <c r="S114" s="58">
        <f>T114/181</f>
        <v>2.7624309392265192E-2</v>
      </c>
      <c r="T114" s="59">
        <v>5</v>
      </c>
      <c r="U114" s="97" t="s">
        <v>336</v>
      </c>
    </row>
    <row r="115" spans="1:21">
      <c r="A115" s="55" t="s">
        <v>63</v>
      </c>
      <c r="B115" s="56" t="s">
        <v>99</v>
      </c>
      <c r="C115" s="222">
        <v>25</v>
      </c>
      <c r="D115" s="57">
        <v>7.4</v>
      </c>
      <c r="E115" s="57">
        <v>209</v>
      </c>
      <c r="F115" s="57">
        <v>2.83</v>
      </c>
      <c r="G115" s="57">
        <v>11.4</v>
      </c>
      <c r="H115" s="57">
        <v>4.2</v>
      </c>
      <c r="I115" s="57">
        <v>11.1</v>
      </c>
      <c r="J115" s="57">
        <v>1.65</v>
      </c>
      <c r="K115" s="57">
        <v>17.2</v>
      </c>
      <c r="L115" s="57">
        <v>9.5</v>
      </c>
      <c r="M115" s="57" t="s">
        <v>97</v>
      </c>
      <c r="N115" s="57">
        <v>45.761400000000002</v>
      </c>
      <c r="O115" s="57" t="s">
        <v>97</v>
      </c>
      <c r="P115" s="57">
        <v>192.20435936915601</v>
      </c>
      <c r="Q115" s="57" t="s">
        <v>97</v>
      </c>
      <c r="R115" s="337">
        <f t="shared" si="0"/>
        <v>1.087384285590451</v>
      </c>
      <c r="S115" s="58">
        <f>T115/181</f>
        <v>0.17127071823204421</v>
      </c>
      <c r="T115" s="59">
        <v>31</v>
      </c>
      <c r="U115" s="97" t="s">
        <v>336</v>
      </c>
    </row>
    <row r="116" spans="1:21">
      <c r="A116" s="55" t="s">
        <v>63</v>
      </c>
      <c r="B116" s="56" t="s">
        <v>99</v>
      </c>
      <c r="C116" s="222">
        <v>25</v>
      </c>
      <c r="D116" s="57">
        <v>6.89</v>
      </c>
      <c r="E116" s="57">
        <v>159</v>
      </c>
      <c r="F116" s="57">
        <v>1.18</v>
      </c>
      <c r="G116" s="57">
        <v>10.9</v>
      </c>
      <c r="H116" s="57">
        <v>4.8</v>
      </c>
      <c r="I116" s="57">
        <v>14.1</v>
      </c>
      <c r="J116" s="57">
        <v>3.24</v>
      </c>
      <c r="K116" s="57">
        <v>20.100000000000001</v>
      </c>
      <c r="L116" s="57">
        <v>14.6</v>
      </c>
      <c r="M116" s="57" t="s">
        <v>97</v>
      </c>
      <c r="N116" s="57">
        <v>46.983699999999999</v>
      </c>
      <c r="O116" s="57" t="s">
        <v>97</v>
      </c>
      <c r="P116" s="57">
        <v>137.44684043416862</v>
      </c>
      <c r="Q116" s="57" t="s">
        <v>97</v>
      </c>
      <c r="R116" s="337">
        <f>IF(O116="-",(MAX(P116,E116)/MIN(P116,E116)),(MAX(O116,E116)/MIN(O116,E116)))</f>
        <v>1.156810876828809</v>
      </c>
      <c r="S116" s="58">
        <f>T116/181</f>
        <v>0.32044198895027626</v>
      </c>
      <c r="T116" s="59">
        <v>58</v>
      </c>
      <c r="U116" s="97" t="s">
        <v>336</v>
      </c>
    </row>
    <row r="117" spans="1:21">
      <c r="A117" s="55" t="s">
        <v>63</v>
      </c>
      <c r="B117" s="56" t="s">
        <v>99</v>
      </c>
      <c r="C117" s="222">
        <v>25</v>
      </c>
      <c r="D117" s="57">
        <v>8.16</v>
      </c>
      <c r="E117" s="57">
        <v>538</v>
      </c>
      <c r="F117" s="57">
        <v>1.49</v>
      </c>
      <c r="G117" s="57">
        <v>118</v>
      </c>
      <c r="H117" s="57">
        <v>3.9</v>
      </c>
      <c r="I117" s="57">
        <v>87</v>
      </c>
      <c r="J117" s="57">
        <v>4.72</v>
      </c>
      <c r="K117" s="57">
        <v>20.100000000000001</v>
      </c>
      <c r="L117" s="57">
        <v>192.1</v>
      </c>
      <c r="M117" s="57" t="s">
        <v>97</v>
      </c>
      <c r="N117" s="57">
        <v>310.70619999999997</v>
      </c>
      <c r="O117" s="57" t="s">
        <v>97</v>
      </c>
      <c r="P117" s="57">
        <v>410.23664781746561</v>
      </c>
      <c r="Q117" s="57" t="s">
        <v>97</v>
      </c>
      <c r="R117" s="337">
        <f t="shared" ref="R117:R153" si="1">IF(O117="-",(MAX(P117,E117)/MIN(P117,E117)),(MAX(O117,E117)/MIN(O117,E117)))</f>
        <v>1.3114381732160179</v>
      </c>
      <c r="S117" s="58">
        <f>T117/181</f>
        <v>0.52486187845303867</v>
      </c>
      <c r="T117" s="59">
        <v>95</v>
      </c>
      <c r="U117" s="97" t="s">
        <v>336</v>
      </c>
    </row>
    <row r="118" spans="1:21">
      <c r="A118" s="50" t="s">
        <v>63</v>
      </c>
      <c r="B118" s="51" t="s">
        <v>99</v>
      </c>
      <c r="C118" s="332">
        <v>25</v>
      </c>
      <c r="D118" s="52">
        <v>8.09</v>
      </c>
      <c r="E118" s="52">
        <v>112</v>
      </c>
      <c r="F118" s="52">
        <v>1.73</v>
      </c>
      <c r="G118" s="52">
        <v>10.199999999999999</v>
      </c>
      <c r="H118" s="52">
        <v>3.9</v>
      </c>
      <c r="I118" s="52">
        <v>83.9</v>
      </c>
      <c r="J118" s="52">
        <v>4.78</v>
      </c>
      <c r="K118" s="52">
        <v>20.100000000000001</v>
      </c>
      <c r="L118" s="52">
        <v>14.6</v>
      </c>
      <c r="M118" s="52" t="s">
        <v>97</v>
      </c>
      <c r="N118" s="52">
        <v>41.529600000000002</v>
      </c>
      <c r="O118" s="52" t="s">
        <v>97</v>
      </c>
      <c r="P118" s="52">
        <v>163.86383573190622</v>
      </c>
      <c r="Q118" s="52" t="s">
        <v>97</v>
      </c>
      <c r="R118" s="338">
        <f t="shared" si="1"/>
        <v>1.4630699618920198</v>
      </c>
      <c r="S118" s="53">
        <f>T118/181</f>
        <v>0.64640883977900554</v>
      </c>
      <c r="T118" s="54">
        <v>117</v>
      </c>
      <c r="U118" s="97" t="s">
        <v>336</v>
      </c>
    </row>
    <row r="119" spans="1:21">
      <c r="A119" s="55" t="s">
        <v>60</v>
      </c>
      <c r="B119" s="56" t="s">
        <v>99</v>
      </c>
      <c r="C119" s="222">
        <v>20</v>
      </c>
      <c r="D119" s="57">
        <v>8.1999999999999993</v>
      </c>
      <c r="E119" s="57">
        <v>160.31774480757869</v>
      </c>
      <c r="F119" s="57">
        <v>2.2999999999999998</v>
      </c>
      <c r="G119" s="57">
        <v>61</v>
      </c>
      <c r="H119" s="57">
        <v>10.7</v>
      </c>
      <c r="I119" s="57">
        <v>55.4</v>
      </c>
      <c r="J119" s="57">
        <v>5</v>
      </c>
      <c r="K119" s="57">
        <v>57</v>
      </c>
      <c r="L119" s="57">
        <v>215</v>
      </c>
      <c r="M119" s="57">
        <v>159</v>
      </c>
      <c r="N119" s="57">
        <v>196.37960000000001</v>
      </c>
      <c r="O119" s="57" t="s">
        <v>97</v>
      </c>
      <c r="P119" s="57">
        <v>160.0478537021369</v>
      </c>
      <c r="Q119" s="57" t="s">
        <v>97</v>
      </c>
      <c r="R119" s="337">
        <f t="shared" si="1"/>
        <v>1.0016863150563962</v>
      </c>
      <c r="S119" s="58">
        <f>T119/181</f>
        <v>5.5248618784530384E-3</v>
      </c>
      <c r="T119" s="59">
        <v>1</v>
      </c>
      <c r="U119" s="97" t="s">
        <v>333</v>
      </c>
    </row>
    <row r="120" spans="1:21">
      <c r="A120" s="55" t="s">
        <v>60</v>
      </c>
      <c r="B120" s="56" t="s">
        <v>99</v>
      </c>
      <c r="C120" s="222">
        <v>20</v>
      </c>
      <c r="D120" s="57">
        <v>6.8</v>
      </c>
      <c r="E120" s="57">
        <v>436.43278041550496</v>
      </c>
      <c r="F120" s="57">
        <v>17.3</v>
      </c>
      <c r="G120" s="57">
        <v>38.299999999999997</v>
      </c>
      <c r="H120" s="57">
        <v>6.5</v>
      </c>
      <c r="I120" s="57">
        <v>17.399999999999999</v>
      </c>
      <c r="J120" s="57">
        <v>6.1</v>
      </c>
      <c r="K120" s="57">
        <v>127</v>
      </c>
      <c r="L120" s="57">
        <v>50</v>
      </c>
      <c r="M120" s="57">
        <v>12.3</v>
      </c>
      <c r="N120" s="57">
        <v>122.40209999999999</v>
      </c>
      <c r="O120" s="57" t="s">
        <v>97</v>
      </c>
      <c r="P120" s="57">
        <v>428.89479567378856</v>
      </c>
      <c r="Q120" s="57" t="s">
        <v>97</v>
      </c>
      <c r="R120" s="337">
        <f t="shared" si="1"/>
        <v>1.0175753700388794</v>
      </c>
      <c r="S120" s="58">
        <f>T120/181</f>
        <v>3.8674033149171269E-2</v>
      </c>
      <c r="T120" s="59">
        <v>7</v>
      </c>
      <c r="U120" s="97" t="s">
        <v>333</v>
      </c>
    </row>
    <row r="121" spans="1:21">
      <c r="A121" s="55" t="s">
        <v>60</v>
      </c>
      <c r="B121" s="56" t="s">
        <v>99</v>
      </c>
      <c r="C121" s="222">
        <v>20</v>
      </c>
      <c r="D121" s="57">
        <v>5.5</v>
      </c>
      <c r="E121" s="57">
        <v>267</v>
      </c>
      <c r="F121" s="57">
        <v>5</v>
      </c>
      <c r="G121" s="57">
        <v>10.019500000000001</v>
      </c>
      <c r="H121" s="57">
        <v>6.0762499999999999</v>
      </c>
      <c r="I121" s="57">
        <v>127.59449999999998</v>
      </c>
      <c r="J121" s="57">
        <v>3.1</v>
      </c>
      <c r="K121" s="57">
        <v>24.015250000000002</v>
      </c>
      <c r="L121" s="57">
        <v>143.4</v>
      </c>
      <c r="M121" s="57">
        <v>1.4906999999999999</v>
      </c>
      <c r="N121" s="57">
        <v>50.040689</v>
      </c>
      <c r="O121" s="57" t="s">
        <v>97</v>
      </c>
      <c r="P121" s="57">
        <v>284.65692338073222</v>
      </c>
      <c r="Q121" s="57" t="s">
        <v>97</v>
      </c>
      <c r="R121" s="337">
        <f t="shared" si="1"/>
        <v>1.0661307991787723</v>
      </c>
      <c r="S121" s="58">
        <f>T121/181</f>
        <v>0.1270718232044199</v>
      </c>
      <c r="T121" s="59">
        <v>23</v>
      </c>
      <c r="U121" s="97" t="s">
        <v>337</v>
      </c>
    </row>
    <row r="122" spans="1:21">
      <c r="A122" s="55" t="s">
        <v>60</v>
      </c>
      <c r="B122" s="56" t="s">
        <v>99</v>
      </c>
      <c r="C122" s="222">
        <v>20</v>
      </c>
      <c r="D122" s="57">
        <v>7</v>
      </c>
      <c r="E122" s="57">
        <v>211.80616138346878</v>
      </c>
      <c r="F122" s="57">
        <v>5</v>
      </c>
      <c r="G122" s="57">
        <v>10.019500000000001</v>
      </c>
      <c r="H122" s="57">
        <v>6.0762499999999999</v>
      </c>
      <c r="I122" s="57">
        <v>127.59449999999998</v>
      </c>
      <c r="J122" s="57">
        <v>3.1</v>
      </c>
      <c r="K122" s="57">
        <v>24.015250000000002</v>
      </c>
      <c r="L122" s="57">
        <v>67.8</v>
      </c>
      <c r="M122" s="57">
        <v>7.5504000000000007</v>
      </c>
      <c r="N122" s="57">
        <v>50.040689</v>
      </c>
      <c r="O122" s="57" t="s">
        <v>97</v>
      </c>
      <c r="P122" s="57">
        <v>194.15550786554869</v>
      </c>
      <c r="Q122" s="57" t="s">
        <v>97</v>
      </c>
      <c r="R122" s="337">
        <f t="shared" si="1"/>
        <v>1.0909098779218926</v>
      </c>
      <c r="S122" s="58">
        <f>T122/181</f>
        <v>0.18232044198895028</v>
      </c>
      <c r="T122" s="59">
        <v>33</v>
      </c>
      <c r="U122" s="97" t="s">
        <v>337</v>
      </c>
    </row>
    <row r="123" spans="1:21">
      <c r="A123" s="55" t="s">
        <v>60</v>
      </c>
      <c r="B123" s="56" t="s">
        <v>99</v>
      </c>
      <c r="C123" s="222">
        <v>20</v>
      </c>
      <c r="D123" s="57">
        <v>8</v>
      </c>
      <c r="E123" s="57">
        <v>196</v>
      </c>
      <c r="F123" s="57">
        <v>5</v>
      </c>
      <c r="G123" s="57">
        <v>10.019500000000001</v>
      </c>
      <c r="H123" s="57">
        <v>6.0762499999999999</v>
      </c>
      <c r="I123" s="57">
        <v>127.59449999999998</v>
      </c>
      <c r="J123" s="57">
        <v>3.1</v>
      </c>
      <c r="K123" s="57">
        <v>24.015250000000002</v>
      </c>
      <c r="L123" s="57">
        <v>20.5</v>
      </c>
      <c r="M123" s="57">
        <v>64.17</v>
      </c>
      <c r="N123" s="57">
        <v>50.040689</v>
      </c>
      <c r="O123" s="57" t="s">
        <v>97</v>
      </c>
      <c r="P123" s="57">
        <v>215.38068204009105</v>
      </c>
      <c r="Q123" s="57" t="s">
        <v>97</v>
      </c>
      <c r="R123" s="337">
        <f t="shared" si="1"/>
        <v>1.0988810308167911</v>
      </c>
      <c r="S123" s="58">
        <f>T123/181</f>
        <v>0.19889502762430938</v>
      </c>
      <c r="T123" s="59">
        <v>36</v>
      </c>
      <c r="U123" s="97" t="s">
        <v>337</v>
      </c>
    </row>
    <row r="124" spans="1:21">
      <c r="A124" s="55" t="s">
        <v>60</v>
      </c>
      <c r="B124" s="56" t="s">
        <v>99</v>
      </c>
      <c r="C124" s="222">
        <v>20</v>
      </c>
      <c r="D124" s="57">
        <v>6.6</v>
      </c>
      <c r="E124" s="57">
        <v>148</v>
      </c>
      <c r="F124" s="57">
        <v>0.5</v>
      </c>
      <c r="G124" s="57">
        <v>10.019500000000001</v>
      </c>
      <c r="H124" s="57">
        <v>6.0762499999999999</v>
      </c>
      <c r="I124" s="57">
        <v>275.88</v>
      </c>
      <c r="J124" s="57">
        <v>3.1</v>
      </c>
      <c r="K124" s="57">
        <v>24.015250000000002</v>
      </c>
      <c r="L124" s="57">
        <v>20.5</v>
      </c>
      <c r="M124" s="57">
        <v>3.8262</v>
      </c>
      <c r="N124" s="57">
        <v>50.040689</v>
      </c>
      <c r="O124" s="57" t="s">
        <v>97</v>
      </c>
      <c r="P124" s="57">
        <v>133.21768787276807</v>
      </c>
      <c r="Q124" s="57" t="s">
        <v>97</v>
      </c>
      <c r="R124" s="337">
        <f t="shared" si="1"/>
        <v>1.1109635842152585</v>
      </c>
      <c r="S124" s="58">
        <f>T124/181</f>
        <v>0.23204419889502761</v>
      </c>
      <c r="T124" s="59">
        <v>42</v>
      </c>
      <c r="U124" s="97" t="s">
        <v>337</v>
      </c>
    </row>
    <row r="125" spans="1:21">
      <c r="A125" s="55" t="s">
        <v>60</v>
      </c>
      <c r="B125" s="56" t="s">
        <v>99</v>
      </c>
      <c r="C125" s="222">
        <v>20</v>
      </c>
      <c r="D125" s="57">
        <v>7.3</v>
      </c>
      <c r="E125" s="57">
        <v>99.401864937752023</v>
      </c>
      <c r="F125" s="57">
        <v>2.5299999999999998</v>
      </c>
      <c r="G125" s="57">
        <v>5</v>
      </c>
      <c r="H125" s="57">
        <v>3.4</v>
      </c>
      <c r="I125" s="57">
        <v>8.8000000000000007</v>
      </c>
      <c r="J125" s="57">
        <v>2.1</v>
      </c>
      <c r="K125" s="57">
        <v>9.5</v>
      </c>
      <c r="L125" s="57">
        <v>23</v>
      </c>
      <c r="M125" s="57">
        <v>13.6</v>
      </c>
      <c r="N125" s="57">
        <v>26.4862</v>
      </c>
      <c r="O125" s="57" t="s">
        <v>97</v>
      </c>
      <c r="P125" s="57">
        <v>85.651076415919277</v>
      </c>
      <c r="Q125" s="57" t="s">
        <v>97</v>
      </c>
      <c r="R125" s="337">
        <f t="shared" si="1"/>
        <v>1.1605442581370407</v>
      </c>
      <c r="S125" s="58">
        <f>T125/181</f>
        <v>0.33149171270718231</v>
      </c>
      <c r="T125" s="59">
        <v>60</v>
      </c>
      <c r="U125" s="97" t="s">
        <v>333</v>
      </c>
    </row>
    <row r="126" spans="1:21">
      <c r="A126" s="55" t="s">
        <v>60</v>
      </c>
      <c r="B126" s="56" t="s">
        <v>99</v>
      </c>
      <c r="C126" s="222">
        <v>20</v>
      </c>
      <c r="D126" s="57">
        <v>6</v>
      </c>
      <c r="E126" s="57">
        <v>214</v>
      </c>
      <c r="F126" s="57">
        <v>5</v>
      </c>
      <c r="G126" s="57">
        <v>10.019500000000001</v>
      </c>
      <c r="H126" s="57">
        <v>6.0762499999999999</v>
      </c>
      <c r="I126" s="57">
        <v>127.59449999999998</v>
      </c>
      <c r="J126" s="57">
        <v>3.1</v>
      </c>
      <c r="K126" s="57">
        <v>24.015250000000002</v>
      </c>
      <c r="L126" s="57">
        <v>131.6</v>
      </c>
      <c r="M126" s="57">
        <v>1.9205999999999999</v>
      </c>
      <c r="N126" s="57">
        <v>50.040689</v>
      </c>
      <c r="O126" s="57" t="s">
        <v>97</v>
      </c>
      <c r="P126" s="57">
        <v>183.57943532078932</v>
      </c>
      <c r="Q126" s="57" t="s">
        <v>97</v>
      </c>
      <c r="R126" s="337">
        <f t="shared" si="1"/>
        <v>1.165707910725694</v>
      </c>
      <c r="S126" s="58">
        <f>T126/181</f>
        <v>0.33701657458563539</v>
      </c>
      <c r="T126" s="59">
        <v>61</v>
      </c>
      <c r="U126" s="97" t="s">
        <v>337</v>
      </c>
    </row>
    <row r="127" spans="1:21">
      <c r="A127" s="55" t="s">
        <v>60</v>
      </c>
      <c r="B127" s="56" t="s">
        <v>99</v>
      </c>
      <c r="C127" s="222">
        <v>20</v>
      </c>
      <c r="D127" s="57">
        <v>6.6</v>
      </c>
      <c r="E127" s="57">
        <v>81</v>
      </c>
      <c r="F127" s="57">
        <v>0.5</v>
      </c>
      <c r="G127" s="57">
        <v>10.019500000000001</v>
      </c>
      <c r="H127" s="57">
        <v>6.0762499999999999</v>
      </c>
      <c r="I127" s="57">
        <v>47.819199999999995</v>
      </c>
      <c r="J127" s="57">
        <v>3.1</v>
      </c>
      <c r="K127" s="57">
        <v>24.015250000000002</v>
      </c>
      <c r="L127" s="57">
        <v>20.5</v>
      </c>
      <c r="M127" s="57">
        <v>3.7335000000000003</v>
      </c>
      <c r="N127" s="57">
        <v>50.040689</v>
      </c>
      <c r="O127" s="57" t="s">
        <v>97</v>
      </c>
      <c r="P127" s="57">
        <v>67.5549741474575</v>
      </c>
      <c r="Q127" s="57" t="s">
        <v>97</v>
      </c>
      <c r="R127" s="337">
        <f t="shared" si="1"/>
        <v>1.1990234771342669</v>
      </c>
      <c r="S127" s="58">
        <f>T127/181</f>
        <v>0.38674033149171272</v>
      </c>
      <c r="T127" s="59">
        <v>70</v>
      </c>
      <c r="U127" s="97" t="s">
        <v>337</v>
      </c>
    </row>
    <row r="128" spans="1:21">
      <c r="A128" s="55" t="s">
        <v>60</v>
      </c>
      <c r="B128" s="56" t="s">
        <v>99</v>
      </c>
      <c r="C128" s="222">
        <v>20</v>
      </c>
      <c r="D128" s="57">
        <v>6.6</v>
      </c>
      <c r="E128" s="57">
        <v>82</v>
      </c>
      <c r="F128" s="57">
        <v>0.5</v>
      </c>
      <c r="G128" s="57">
        <v>10.019500000000001</v>
      </c>
      <c r="H128" s="57">
        <v>6.0762499999999999</v>
      </c>
      <c r="I128" s="57">
        <v>47.819199999999995</v>
      </c>
      <c r="J128" s="57">
        <v>3.1</v>
      </c>
      <c r="K128" s="57">
        <v>24.015250000000002</v>
      </c>
      <c r="L128" s="57">
        <v>20.5</v>
      </c>
      <c r="M128" s="57">
        <v>3.7336</v>
      </c>
      <c r="N128" s="57">
        <v>50.040689</v>
      </c>
      <c r="O128" s="57" t="s">
        <v>97</v>
      </c>
      <c r="P128" s="57">
        <v>67.560339889222888</v>
      </c>
      <c r="Q128" s="57" t="s">
        <v>97</v>
      </c>
      <c r="R128" s="337">
        <f t="shared" si="1"/>
        <v>1.2137298322426069</v>
      </c>
      <c r="S128" s="58">
        <f>T128/181</f>
        <v>0.39226519337016574</v>
      </c>
      <c r="T128" s="59">
        <v>71</v>
      </c>
      <c r="U128" s="97" t="s">
        <v>337</v>
      </c>
    </row>
    <row r="129" spans="1:21">
      <c r="A129" s="55" t="s">
        <v>60</v>
      </c>
      <c r="B129" s="56" t="s">
        <v>99</v>
      </c>
      <c r="C129" s="222">
        <v>20</v>
      </c>
      <c r="D129" s="57">
        <v>6.5</v>
      </c>
      <c r="E129" s="57">
        <v>209.99861904307852</v>
      </c>
      <c r="F129" s="57">
        <v>5</v>
      </c>
      <c r="G129" s="57">
        <v>10.019500000000001</v>
      </c>
      <c r="H129" s="57">
        <v>6.0762499999999999</v>
      </c>
      <c r="I129" s="57">
        <v>127.59449999999998</v>
      </c>
      <c r="J129" s="57">
        <v>3.1</v>
      </c>
      <c r="K129" s="57">
        <v>24.015250000000002</v>
      </c>
      <c r="L129" s="57">
        <v>100.8</v>
      </c>
      <c r="M129" s="57">
        <v>3.2755000000000001</v>
      </c>
      <c r="N129" s="57">
        <v>50.040689</v>
      </c>
      <c r="O129" s="57" t="s">
        <v>97</v>
      </c>
      <c r="P129" s="57">
        <v>171.22507043988796</v>
      </c>
      <c r="Q129" s="57" t="s">
        <v>97</v>
      </c>
      <c r="R129" s="337">
        <f t="shared" si="1"/>
        <v>1.226447847289996</v>
      </c>
      <c r="S129" s="58">
        <f>T129/181</f>
        <v>0.41988950276243092</v>
      </c>
      <c r="T129" s="59">
        <v>76</v>
      </c>
      <c r="U129" s="97" t="s">
        <v>337</v>
      </c>
    </row>
    <row r="130" spans="1:21">
      <c r="A130" s="55" t="s">
        <v>60</v>
      </c>
      <c r="B130" s="56" t="s">
        <v>99</v>
      </c>
      <c r="C130" s="222">
        <v>20</v>
      </c>
      <c r="D130" s="57">
        <v>8</v>
      </c>
      <c r="E130" s="57">
        <v>328.17808952715774</v>
      </c>
      <c r="F130" s="57">
        <v>9.8699999999999992</v>
      </c>
      <c r="G130" s="57">
        <v>60.1</v>
      </c>
      <c r="H130" s="57">
        <v>8</v>
      </c>
      <c r="I130" s="57">
        <v>52.9</v>
      </c>
      <c r="J130" s="57">
        <v>10.4</v>
      </c>
      <c r="K130" s="57">
        <v>63</v>
      </c>
      <c r="L130" s="57">
        <v>144</v>
      </c>
      <c r="M130" s="57">
        <v>165</v>
      </c>
      <c r="N130" s="57">
        <v>183.01369999999997</v>
      </c>
      <c r="O130" s="57" t="s">
        <v>97</v>
      </c>
      <c r="P130" s="57">
        <v>426.88439377982564</v>
      </c>
      <c r="Q130" s="57" t="s">
        <v>97</v>
      </c>
      <c r="R130" s="337">
        <f t="shared" si="1"/>
        <v>1.3007705492919559</v>
      </c>
      <c r="S130" s="58">
        <f>T130/181</f>
        <v>0.51381215469613262</v>
      </c>
      <c r="T130" s="59">
        <v>93</v>
      </c>
      <c r="U130" s="97" t="s">
        <v>333</v>
      </c>
    </row>
    <row r="131" spans="1:21">
      <c r="A131" s="55" t="s">
        <v>60</v>
      </c>
      <c r="B131" s="56" t="s">
        <v>99</v>
      </c>
      <c r="C131" s="222">
        <v>20</v>
      </c>
      <c r="D131" s="57">
        <v>7.5</v>
      </c>
      <c r="E131" s="57">
        <v>160</v>
      </c>
      <c r="F131" s="57">
        <v>5</v>
      </c>
      <c r="G131" s="57">
        <v>10.019500000000001</v>
      </c>
      <c r="H131" s="57">
        <v>6.0762499999999999</v>
      </c>
      <c r="I131" s="57">
        <v>127.59449999999998</v>
      </c>
      <c r="J131" s="57">
        <v>3.1</v>
      </c>
      <c r="K131" s="57">
        <v>24.015250000000002</v>
      </c>
      <c r="L131" s="57">
        <v>41.8</v>
      </c>
      <c r="M131" s="57">
        <v>21.077999999999999</v>
      </c>
      <c r="N131" s="57">
        <v>50.040689</v>
      </c>
      <c r="O131" s="57" t="s">
        <v>97</v>
      </c>
      <c r="P131" s="57">
        <v>215.38068204009105</v>
      </c>
      <c r="Q131" s="57" t="s">
        <v>97</v>
      </c>
      <c r="R131" s="337">
        <f t="shared" si="1"/>
        <v>1.346129262750569</v>
      </c>
      <c r="S131" s="58">
        <f>T131/181</f>
        <v>0.574585635359116</v>
      </c>
      <c r="T131" s="59">
        <v>104</v>
      </c>
      <c r="U131" s="97" t="s">
        <v>337</v>
      </c>
    </row>
    <row r="132" spans="1:21">
      <c r="A132" s="55" t="s">
        <v>60</v>
      </c>
      <c r="B132" s="56" t="s">
        <v>99</v>
      </c>
      <c r="C132" s="222">
        <v>20</v>
      </c>
      <c r="D132" s="57">
        <v>6.6</v>
      </c>
      <c r="E132" s="57">
        <v>232</v>
      </c>
      <c r="F132" s="57">
        <v>0.5</v>
      </c>
      <c r="G132" s="57">
        <v>10.019500000000001</v>
      </c>
      <c r="H132" s="57">
        <v>97.22</v>
      </c>
      <c r="I132" s="57">
        <v>47.819199999999995</v>
      </c>
      <c r="J132" s="57">
        <v>3.1</v>
      </c>
      <c r="K132" s="57">
        <v>384.24400000000003</v>
      </c>
      <c r="L132" s="57">
        <v>20.5</v>
      </c>
      <c r="M132" s="57">
        <v>3.9372000000000003</v>
      </c>
      <c r="N132" s="57">
        <v>425.37065150000001</v>
      </c>
      <c r="O132" s="57" t="s">
        <v>97</v>
      </c>
      <c r="P132" s="57">
        <v>170.17782316129308</v>
      </c>
      <c r="Q132" s="57" t="s">
        <v>97</v>
      </c>
      <c r="R132" s="337">
        <f t="shared" si="1"/>
        <v>1.3632798662614951</v>
      </c>
      <c r="S132" s="58">
        <f>T132/181</f>
        <v>0.60220994475138123</v>
      </c>
      <c r="T132" s="59">
        <v>109</v>
      </c>
      <c r="U132" s="97" t="s">
        <v>337</v>
      </c>
    </row>
    <row r="133" spans="1:21">
      <c r="A133" s="55" t="s">
        <v>60</v>
      </c>
      <c r="B133" s="56" t="s">
        <v>99</v>
      </c>
      <c r="C133" s="222">
        <v>20</v>
      </c>
      <c r="D133" s="57">
        <v>7.2</v>
      </c>
      <c r="E133" s="57">
        <v>229.05993533269225</v>
      </c>
      <c r="F133" s="57">
        <v>0.3</v>
      </c>
      <c r="G133" s="57">
        <v>80.2</v>
      </c>
      <c r="H133" s="57">
        <v>12.2</v>
      </c>
      <c r="I133" s="57">
        <v>17.7</v>
      </c>
      <c r="J133" s="57">
        <v>3</v>
      </c>
      <c r="K133" s="57">
        <v>48</v>
      </c>
      <c r="L133" s="57">
        <v>73.8</v>
      </c>
      <c r="M133" s="57">
        <v>33.200000000000003</v>
      </c>
      <c r="N133" s="57">
        <v>250.499</v>
      </c>
      <c r="O133" s="57" t="s">
        <v>97</v>
      </c>
      <c r="P133" s="57">
        <v>167.64479195352558</v>
      </c>
      <c r="Q133" s="57" t="s">
        <v>97</v>
      </c>
      <c r="R133" s="337">
        <f t="shared" si="1"/>
        <v>1.3663408965080892</v>
      </c>
      <c r="S133" s="58">
        <f>T133/181</f>
        <v>0.60773480662983426</v>
      </c>
      <c r="T133" s="59">
        <v>110</v>
      </c>
      <c r="U133" s="97" t="s">
        <v>333</v>
      </c>
    </row>
    <row r="134" spans="1:21">
      <c r="A134" s="55" t="s">
        <v>60</v>
      </c>
      <c r="B134" s="56" t="s">
        <v>99</v>
      </c>
      <c r="C134" s="222">
        <v>20</v>
      </c>
      <c r="D134" s="57">
        <v>6.6</v>
      </c>
      <c r="E134" s="57">
        <v>157.16326530612244</v>
      </c>
      <c r="F134" s="57">
        <v>0.5</v>
      </c>
      <c r="G134" s="57">
        <v>10.019500000000001</v>
      </c>
      <c r="H134" s="57">
        <v>6.0762499999999999</v>
      </c>
      <c r="I134" s="57">
        <v>206.91</v>
      </c>
      <c r="J134" s="57">
        <v>3.1</v>
      </c>
      <c r="K134" s="57">
        <v>24.015250000000002</v>
      </c>
      <c r="L134" s="57">
        <v>20.5</v>
      </c>
      <c r="M134" s="57">
        <v>3.8027000000000002</v>
      </c>
      <c r="N134" s="57">
        <v>50.040689</v>
      </c>
      <c r="O134" s="57" t="s">
        <v>97</v>
      </c>
      <c r="P134" s="57">
        <v>112.77316608454825</v>
      </c>
      <c r="Q134" s="57" t="s">
        <v>97</v>
      </c>
      <c r="R134" s="337">
        <f t="shared" si="1"/>
        <v>1.3936228870997029</v>
      </c>
      <c r="S134" s="58">
        <f>T134/181</f>
        <v>0.61878453038674031</v>
      </c>
      <c r="T134" s="59">
        <v>112</v>
      </c>
      <c r="U134" s="97" t="s">
        <v>337</v>
      </c>
    </row>
    <row r="135" spans="1:21">
      <c r="A135" s="55" t="s">
        <v>60</v>
      </c>
      <c r="B135" s="56" t="s">
        <v>99</v>
      </c>
      <c r="C135" s="222">
        <v>20</v>
      </c>
      <c r="D135" s="57">
        <v>6.6</v>
      </c>
      <c r="E135" s="57">
        <v>110</v>
      </c>
      <c r="F135" s="57">
        <v>0.5</v>
      </c>
      <c r="G135" s="57">
        <v>10.019500000000001</v>
      </c>
      <c r="H135" s="57">
        <v>12.1525</v>
      </c>
      <c r="I135" s="57">
        <v>47.819199999999995</v>
      </c>
      <c r="J135" s="57">
        <v>3.1</v>
      </c>
      <c r="K135" s="57">
        <v>48.030500000000004</v>
      </c>
      <c r="L135" s="57">
        <v>20.5</v>
      </c>
      <c r="M135" s="57">
        <v>3.7570000000000001</v>
      </c>
      <c r="N135" s="57">
        <v>75.062686499999998</v>
      </c>
      <c r="O135" s="57" t="s">
        <v>97</v>
      </c>
      <c r="P135" s="57">
        <v>74.522856327374157</v>
      </c>
      <c r="Q135" s="57" t="s">
        <v>97</v>
      </c>
      <c r="R135" s="337">
        <f t="shared" si="1"/>
        <v>1.4760572181610567</v>
      </c>
      <c r="S135" s="58">
        <f>T135/181</f>
        <v>0.65193370165745856</v>
      </c>
      <c r="T135" s="59">
        <v>118</v>
      </c>
      <c r="U135" s="97" t="s">
        <v>337</v>
      </c>
    </row>
    <row r="136" spans="1:21">
      <c r="A136" s="55" t="s">
        <v>60</v>
      </c>
      <c r="B136" s="56" t="s">
        <v>99</v>
      </c>
      <c r="C136" s="222">
        <v>20</v>
      </c>
      <c r="D136" s="57">
        <v>6.6</v>
      </c>
      <c r="E136" s="57">
        <v>55.555555555555557</v>
      </c>
      <c r="F136" s="57">
        <v>0.5</v>
      </c>
      <c r="G136" s="57">
        <v>20.039000000000001</v>
      </c>
      <c r="H136" s="57">
        <v>6.0762499999999999</v>
      </c>
      <c r="I136" s="57">
        <v>47.819199999999995</v>
      </c>
      <c r="J136" s="57">
        <v>3.1</v>
      </c>
      <c r="K136" s="57">
        <v>24.015250000000002</v>
      </c>
      <c r="L136" s="57">
        <v>38.200000000000003</v>
      </c>
      <c r="M136" s="57">
        <v>3.7547999999999999</v>
      </c>
      <c r="N136" s="57">
        <v>75.059380500000003</v>
      </c>
      <c r="O136" s="57" t="s">
        <v>97</v>
      </c>
      <c r="P136" s="57">
        <v>86.556656432586806</v>
      </c>
      <c r="Q136" s="57" t="s">
        <v>97</v>
      </c>
      <c r="R136" s="337">
        <f t="shared" si="1"/>
        <v>1.5580198157865626</v>
      </c>
      <c r="S136" s="58">
        <f>T136/181</f>
        <v>0.67403314917127077</v>
      </c>
      <c r="T136" s="59">
        <v>122</v>
      </c>
      <c r="U136" s="97" t="s">
        <v>337</v>
      </c>
    </row>
    <row r="137" spans="1:21">
      <c r="A137" s="55" t="s">
        <v>60</v>
      </c>
      <c r="B137" s="56" t="s">
        <v>99</v>
      </c>
      <c r="C137" s="222">
        <v>20</v>
      </c>
      <c r="D137" s="57">
        <v>8</v>
      </c>
      <c r="E137" s="57">
        <v>213.74445120663106</v>
      </c>
      <c r="F137" s="57">
        <v>7.49</v>
      </c>
      <c r="G137" s="57">
        <v>52.7</v>
      </c>
      <c r="H137" s="57">
        <v>14</v>
      </c>
      <c r="I137" s="57">
        <v>87.3</v>
      </c>
      <c r="J137" s="57">
        <v>8.6999999999999993</v>
      </c>
      <c r="K137" s="57">
        <v>109</v>
      </c>
      <c r="L137" s="57">
        <v>318</v>
      </c>
      <c r="M137" s="57">
        <v>127</v>
      </c>
      <c r="N137" s="57">
        <v>189.2439</v>
      </c>
      <c r="O137" s="57" t="s">
        <v>97</v>
      </c>
      <c r="P137" s="57">
        <v>337.7032118506682</v>
      </c>
      <c r="Q137" s="57" t="s">
        <v>97</v>
      </c>
      <c r="R137" s="337">
        <f t="shared" si="1"/>
        <v>1.5799390811984342</v>
      </c>
      <c r="S137" s="58">
        <f>T137/181</f>
        <v>0.69060773480662985</v>
      </c>
      <c r="T137" s="59">
        <v>125</v>
      </c>
      <c r="U137" s="97" t="s">
        <v>333</v>
      </c>
    </row>
    <row r="138" spans="1:21">
      <c r="A138" s="55" t="s">
        <v>60</v>
      </c>
      <c r="B138" s="56" t="s">
        <v>99</v>
      </c>
      <c r="C138" s="222">
        <v>20</v>
      </c>
      <c r="D138" s="57">
        <v>6.6</v>
      </c>
      <c r="E138" s="57">
        <v>108</v>
      </c>
      <c r="F138" s="57">
        <v>0.5</v>
      </c>
      <c r="G138" s="57">
        <v>10.019500000000001</v>
      </c>
      <c r="H138" s="57">
        <v>6.0762499999999999</v>
      </c>
      <c r="I138" s="57">
        <v>47.819199999999995</v>
      </c>
      <c r="J138" s="57">
        <v>3.1</v>
      </c>
      <c r="K138" s="57">
        <v>24.015250000000002</v>
      </c>
      <c r="L138" s="57">
        <v>20.5</v>
      </c>
      <c r="M138" s="57">
        <v>3.7336</v>
      </c>
      <c r="N138" s="57">
        <v>50.040689</v>
      </c>
      <c r="O138" s="57" t="s">
        <v>97</v>
      </c>
      <c r="P138" s="57">
        <v>67.560194543219595</v>
      </c>
      <c r="Q138" s="57" t="s">
        <v>97</v>
      </c>
      <c r="R138" s="337">
        <f t="shared" si="1"/>
        <v>1.5985744376581132</v>
      </c>
      <c r="S138" s="58">
        <f>T138/181</f>
        <v>0.70718232044198892</v>
      </c>
      <c r="T138" s="59">
        <v>128</v>
      </c>
      <c r="U138" s="97" t="s">
        <v>337</v>
      </c>
    </row>
    <row r="139" spans="1:21">
      <c r="A139" s="55" t="s">
        <v>60</v>
      </c>
      <c r="B139" s="56" t="s">
        <v>99</v>
      </c>
      <c r="C139" s="222">
        <v>20</v>
      </c>
      <c r="D139" s="57">
        <v>6.6</v>
      </c>
      <c r="E139" s="57">
        <v>190</v>
      </c>
      <c r="F139" s="57">
        <v>0.5</v>
      </c>
      <c r="G139" s="57">
        <v>10.019500000000001</v>
      </c>
      <c r="H139" s="57">
        <v>48.61</v>
      </c>
      <c r="I139" s="57">
        <v>47.819199999999995</v>
      </c>
      <c r="J139" s="57">
        <v>3.1</v>
      </c>
      <c r="K139" s="57">
        <v>192.12200000000001</v>
      </c>
      <c r="L139" s="57">
        <v>20.5</v>
      </c>
      <c r="M139" s="57">
        <v>3.8532000000000002</v>
      </c>
      <c r="N139" s="57">
        <v>225.1946715</v>
      </c>
      <c r="O139" s="57" t="s">
        <v>97</v>
      </c>
      <c r="P139" s="57">
        <v>116.23824693573044</v>
      </c>
      <c r="Q139" s="57" t="s">
        <v>97</v>
      </c>
      <c r="R139" s="337">
        <f t="shared" si="1"/>
        <v>1.6345738602290978</v>
      </c>
      <c r="S139" s="58">
        <f>T139/181</f>
        <v>0.72375690607734811</v>
      </c>
      <c r="T139" s="59">
        <v>131</v>
      </c>
      <c r="U139" s="97" t="s">
        <v>337</v>
      </c>
    </row>
    <row r="140" spans="1:21">
      <c r="A140" s="55" t="s">
        <v>60</v>
      </c>
      <c r="B140" s="56" t="s">
        <v>99</v>
      </c>
      <c r="C140" s="222">
        <v>20</v>
      </c>
      <c r="D140" s="57">
        <v>6.6</v>
      </c>
      <c r="E140" s="57">
        <v>153</v>
      </c>
      <c r="F140" s="57">
        <v>0.5</v>
      </c>
      <c r="G140" s="57">
        <v>10.019500000000001</v>
      </c>
      <c r="H140" s="57">
        <v>6.0762499999999999</v>
      </c>
      <c r="I140" s="57">
        <v>137.94</v>
      </c>
      <c r="J140" s="57">
        <v>3.1</v>
      </c>
      <c r="K140" s="57">
        <v>24.015250000000002</v>
      </c>
      <c r="L140" s="57">
        <v>20.5</v>
      </c>
      <c r="M140" s="57">
        <v>3.7761</v>
      </c>
      <c r="N140" s="57">
        <v>50.040689</v>
      </c>
      <c r="O140" s="57" t="s">
        <v>97</v>
      </c>
      <c r="P140" s="57">
        <v>92.824258334012384</v>
      </c>
      <c r="Q140" s="57" t="s">
        <v>97</v>
      </c>
      <c r="R140" s="337">
        <f t="shared" si="1"/>
        <v>1.6482760298440025</v>
      </c>
      <c r="S140" s="58">
        <f>T140/181</f>
        <v>0.74033149171270718</v>
      </c>
      <c r="T140" s="59">
        <v>134</v>
      </c>
      <c r="U140" s="97" t="s">
        <v>337</v>
      </c>
    </row>
    <row r="141" spans="1:21">
      <c r="A141" s="55" t="s">
        <v>60</v>
      </c>
      <c r="B141" s="56" t="s">
        <v>99</v>
      </c>
      <c r="C141" s="222">
        <v>20</v>
      </c>
      <c r="D141" s="57">
        <v>6.6</v>
      </c>
      <c r="E141" s="57">
        <v>75</v>
      </c>
      <c r="F141" s="57">
        <v>0.5</v>
      </c>
      <c r="G141" s="57">
        <v>40.078000000000003</v>
      </c>
      <c r="H141" s="57">
        <v>6.0762499999999999</v>
      </c>
      <c r="I141" s="57">
        <v>47.819199999999995</v>
      </c>
      <c r="J141" s="57">
        <v>3.1</v>
      </c>
      <c r="K141" s="57">
        <v>24.015250000000002</v>
      </c>
      <c r="L141" s="57">
        <v>73.7</v>
      </c>
      <c r="M141" s="57">
        <v>3.7926000000000002</v>
      </c>
      <c r="N141" s="57">
        <v>125.09676349999999</v>
      </c>
      <c r="O141" s="57" t="s">
        <v>97</v>
      </c>
      <c r="P141" s="57">
        <v>124.63114153747428</v>
      </c>
      <c r="Q141" s="57" t="s">
        <v>97</v>
      </c>
      <c r="R141" s="337">
        <f t="shared" si="1"/>
        <v>1.6617485538329904</v>
      </c>
      <c r="S141" s="58">
        <f>T141/181</f>
        <v>0.7458563535911602</v>
      </c>
      <c r="T141" s="59">
        <v>135</v>
      </c>
      <c r="U141" s="97" t="s">
        <v>337</v>
      </c>
    </row>
    <row r="142" spans="1:21">
      <c r="A142" s="55" t="s">
        <v>60</v>
      </c>
      <c r="B142" s="56" t="s">
        <v>99</v>
      </c>
      <c r="C142" s="222">
        <v>20</v>
      </c>
      <c r="D142" s="57">
        <v>6.6</v>
      </c>
      <c r="E142" s="57">
        <v>160</v>
      </c>
      <c r="F142" s="57">
        <v>0.5</v>
      </c>
      <c r="G142" s="57">
        <v>120.23400000000001</v>
      </c>
      <c r="H142" s="57">
        <v>6.0762499999999999</v>
      </c>
      <c r="I142" s="57">
        <v>47.819199999999995</v>
      </c>
      <c r="J142" s="57">
        <v>3.1</v>
      </c>
      <c r="K142" s="57">
        <v>24.015250000000002</v>
      </c>
      <c r="L142" s="57">
        <v>215.5</v>
      </c>
      <c r="M142" s="57">
        <v>3.9085000000000005</v>
      </c>
      <c r="N142" s="57">
        <v>325.24629550000003</v>
      </c>
      <c r="O142" s="57" t="s">
        <v>97</v>
      </c>
      <c r="P142" s="57">
        <v>275.02073254903843</v>
      </c>
      <c r="Q142" s="57" t="s">
        <v>97</v>
      </c>
      <c r="R142" s="337">
        <f t="shared" si="1"/>
        <v>1.7188795784314901</v>
      </c>
      <c r="S142" s="58">
        <f>T142/181</f>
        <v>0.76243093922651939</v>
      </c>
      <c r="T142" s="59">
        <v>138</v>
      </c>
      <c r="U142" s="97" t="s">
        <v>337</v>
      </c>
    </row>
    <row r="143" spans="1:21">
      <c r="A143" s="55" t="s">
        <v>60</v>
      </c>
      <c r="B143" s="56" t="s">
        <v>99</v>
      </c>
      <c r="C143" s="222">
        <v>20</v>
      </c>
      <c r="D143" s="57">
        <v>6.6</v>
      </c>
      <c r="E143" s="57">
        <v>180</v>
      </c>
      <c r="F143" s="57">
        <v>0.5</v>
      </c>
      <c r="G143" s="57">
        <v>10.019500000000001</v>
      </c>
      <c r="H143" s="57">
        <v>36.457499999999996</v>
      </c>
      <c r="I143" s="57">
        <v>47.819199999999995</v>
      </c>
      <c r="J143" s="57">
        <v>3.1</v>
      </c>
      <c r="K143" s="57">
        <v>144.0915</v>
      </c>
      <c r="L143" s="57">
        <v>20.5</v>
      </c>
      <c r="M143" s="57">
        <v>3.8263999999999996</v>
      </c>
      <c r="N143" s="57">
        <v>175.15067649999997</v>
      </c>
      <c r="O143" s="57" t="s">
        <v>97</v>
      </c>
      <c r="P143" s="57">
        <v>102.50681487263097</v>
      </c>
      <c r="Q143" s="57" t="s">
        <v>97</v>
      </c>
      <c r="R143" s="337">
        <f t="shared" si="1"/>
        <v>1.7559808118480471</v>
      </c>
      <c r="S143" s="58">
        <f>T143/181</f>
        <v>0.78453038674033149</v>
      </c>
      <c r="T143" s="59">
        <v>142</v>
      </c>
      <c r="U143" s="97" t="s">
        <v>337</v>
      </c>
    </row>
    <row r="144" spans="1:21">
      <c r="A144" s="55" t="s">
        <v>60</v>
      </c>
      <c r="B144" s="56" t="s">
        <v>99</v>
      </c>
      <c r="C144" s="222">
        <v>20</v>
      </c>
      <c r="D144" s="57">
        <v>6.6</v>
      </c>
      <c r="E144" s="57">
        <v>165</v>
      </c>
      <c r="F144" s="57">
        <v>0.5</v>
      </c>
      <c r="G144" s="57">
        <v>10.019500000000001</v>
      </c>
      <c r="H144" s="57">
        <v>24.305</v>
      </c>
      <c r="I144" s="57">
        <v>47.819199999999995</v>
      </c>
      <c r="J144" s="57">
        <v>3.1</v>
      </c>
      <c r="K144" s="57">
        <v>96</v>
      </c>
      <c r="L144" s="57">
        <v>20.5</v>
      </c>
      <c r="M144" s="57">
        <v>3.7950000000000004</v>
      </c>
      <c r="N144" s="57">
        <v>125.10668150000001</v>
      </c>
      <c r="O144" s="57" t="s">
        <v>97</v>
      </c>
      <c r="P144" s="57">
        <v>88.524189196634168</v>
      </c>
      <c r="Q144" s="57" t="s">
        <v>97</v>
      </c>
      <c r="R144" s="337">
        <f t="shared" si="1"/>
        <v>1.8638973313101359</v>
      </c>
      <c r="S144" s="58">
        <f>T144/181</f>
        <v>0.84530386740331487</v>
      </c>
      <c r="T144" s="59">
        <v>153</v>
      </c>
      <c r="U144" s="97" t="s">
        <v>337</v>
      </c>
    </row>
    <row r="145" spans="1:41">
      <c r="A145" s="55" t="s">
        <v>60</v>
      </c>
      <c r="B145" s="56" t="s">
        <v>99</v>
      </c>
      <c r="C145" s="222">
        <v>20</v>
      </c>
      <c r="D145" s="57">
        <v>8.4</v>
      </c>
      <c r="E145" s="57">
        <v>87.567494227836306</v>
      </c>
      <c r="F145" s="57">
        <v>4.17</v>
      </c>
      <c r="G145" s="57">
        <v>37.1</v>
      </c>
      <c r="H145" s="57">
        <v>7.1</v>
      </c>
      <c r="I145" s="57">
        <v>10</v>
      </c>
      <c r="J145" s="57">
        <v>1.3</v>
      </c>
      <c r="K145" s="57">
        <v>20</v>
      </c>
      <c r="L145" s="57">
        <v>21</v>
      </c>
      <c r="M145" s="57">
        <v>125</v>
      </c>
      <c r="N145" s="57">
        <v>121.87649999999999</v>
      </c>
      <c r="O145" s="57" t="s">
        <v>97</v>
      </c>
      <c r="P145" s="57">
        <v>179.23403830874568</v>
      </c>
      <c r="Q145" s="57" t="s">
        <v>97</v>
      </c>
      <c r="R145" s="337">
        <f t="shared" si="1"/>
        <v>2.0468101764155544</v>
      </c>
      <c r="S145" s="58">
        <f>T145/181</f>
        <v>0.8729281767955801</v>
      </c>
      <c r="T145" s="59">
        <v>158</v>
      </c>
      <c r="U145" s="97" t="s">
        <v>333</v>
      </c>
    </row>
    <row r="146" spans="1:41">
      <c r="A146" s="50" t="s">
        <v>60</v>
      </c>
      <c r="B146" s="51" t="s">
        <v>99</v>
      </c>
      <c r="C146" s="332">
        <v>20</v>
      </c>
      <c r="D146" s="52">
        <v>6.6</v>
      </c>
      <c r="E146" s="52">
        <v>95.238095238095255</v>
      </c>
      <c r="F146" s="52">
        <v>0.5</v>
      </c>
      <c r="G146" s="52">
        <v>80.156000000000006</v>
      </c>
      <c r="H146" s="52">
        <v>6.0762499999999999</v>
      </c>
      <c r="I146" s="52">
        <v>47.819199999999995</v>
      </c>
      <c r="J146" s="52">
        <v>3.1</v>
      </c>
      <c r="K146" s="52">
        <v>24.015250000000002</v>
      </c>
      <c r="L146" s="52">
        <v>144.6</v>
      </c>
      <c r="M146" s="52">
        <v>3.8556999999999997</v>
      </c>
      <c r="N146" s="52">
        <v>225.17152949999999</v>
      </c>
      <c r="O146" s="52" t="s">
        <v>97</v>
      </c>
      <c r="P146" s="52">
        <v>200.20882566952258</v>
      </c>
      <c r="Q146" s="52" t="s">
        <v>97</v>
      </c>
      <c r="R146" s="338">
        <f t="shared" si="1"/>
        <v>2.1021926695299866</v>
      </c>
      <c r="S146" s="53">
        <f>T146/181</f>
        <v>0.89502762430939231</v>
      </c>
      <c r="T146" s="54">
        <v>162</v>
      </c>
      <c r="U146" s="97" t="s">
        <v>337</v>
      </c>
    </row>
    <row r="147" spans="1:41">
      <c r="A147" s="55" t="s">
        <v>64</v>
      </c>
      <c r="B147" s="56" t="s">
        <v>99</v>
      </c>
      <c r="C147" s="222">
        <v>20</v>
      </c>
      <c r="D147" s="57">
        <v>8.25</v>
      </c>
      <c r="E147" s="57">
        <v>846.33374229165508</v>
      </c>
      <c r="F147" s="57">
        <v>1.53</v>
      </c>
      <c r="G147" s="57">
        <v>112</v>
      </c>
      <c r="H147" s="57">
        <v>3.8</v>
      </c>
      <c r="I147" s="57">
        <v>76</v>
      </c>
      <c r="J147" s="57">
        <v>4</v>
      </c>
      <c r="K147" s="57">
        <v>20.100000000000001</v>
      </c>
      <c r="L147" s="57">
        <v>192.1</v>
      </c>
      <c r="M147" s="57" t="s">
        <v>97</v>
      </c>
      <c r="N147" s="57">
        <v>295.31239999999997</v>
      </c>
      <c r="O147" s="57" t="s">
        <v>97</v>
      </c>
      <c r="P147" s="57">
        <v>829.89860292495325</v>
      </c>
      <c r="Q147" s="57" t="s">
        <v>97</v>
      </c>
      <c r="R147" s="337">
        <f t="shared" si="1"/>
        <v>1.0198037920642071</v>
      </c>
      <c r="S147" s="58">
        <f>T147/181</f>
        <v>4.4198895027624308E-2</v>
      </c>
      <c r="T147" s="59">
        <v>8</v>
      </c>
      <c r="U147" s="327" t="s">
        <v>336</v>
      </c>
    </row>
    <row r="148" spans="1:41">
      <c r="A148" s="55" t="s">
        <v>64</v>
      </c>
      <c r="B148" s="56" t="s">
        <v>99</v>
      </c>
      <c r="C148" s="222">
        <v>20</v>
      </c>
      <c r="D148" s="57">
        <v>7.9</v>
      </c>
      <c r="E148" s="57">
        <v>1033.6340700126543</v>
      </c>
      <c r="F148" s="57">
        <v>7.82</v>
      </c>
      <c r="G148" s="57">
        <v>64.400000000000006</v>
      </c>
      <c r="H148" s="57">
        <v>15.7</v>
      </c>
      <c r="I148" s="57">
        <v>75.599999999999994</v>
      </c>
      <c r="J148" s="57">
        <v>13.6</v>
      </c>
      <c r="K148" s="57">
        <v>57.2</v>
      </c>
      <c r="L148" s="57">
        <v>93.8</v>
      </c>
      <c r="M148" s="57" t="s">
        <v>97</v>
      </c>
      <c r="N148" s="57">
        <v>225.45940000000002</v>
      </c>
      <c r="O148" s="57" t="s">
        <v>97</v>
      </c>
      <c r="P148" s="57">
        <v>1108.297474220625</v>
      </c>
      <c r="Q148" s="57" t="s">
        <v>97</v>
      </c>
      <c r="R148" s="337">
        <f t="shared" si="1"/>
        <v>1.0722338846735737</v>
      </c>
      <c r="S148" s="58">
        <f>T148/181</f>
        <v>0.13812154696132597</v>
      </c>
      <c r="T148" s="59">
        <v>25</v>
      </c>
      <c r="U148" s="97" t="s">
        <v>336</v>
      </c>
    </row>
    <row r="149" spans="1:41">
      <c r="A149" s="55" t="s">
        <v>64</v>
      </c>
      <c r="B149" s="56" t="s">
        <v>99</v>
      </c>
      <c r="C149" s="222">
        <v>20</v>
      </c>
      <c r="D149" s="57">
        <v>6.77</v>
      </c>
      <c r="E149" s="57">
        <v>294.89491557460974</v>
      </c>
      <c r="F149" s="57">
        <v>1.5</v>
      </c>
      <c r="G149" s="57">
        <v>9.8000000000000007</v>
      </c>
      <c r="H149" s="57">
        <v>4</v>
      </c>
      <c r="I149" s="57">
        <v>8</v>
      </c>
      <c r="J149" s="57">
        <v>2.6</v>
      </c>
      <c r="K149" s="57">
        <v>20.100000000000001</v>
      </c>
      <c r="L149" s="57">
        <v>14.6</v>
      </c>
      <c r="M149" s="57" t="s">
        <v>97</v>
      </c>
      <c r="N149" s="57">
        <v>40.942599999999999</v>
      </c>
      <c r="O149" s="57" t="s">
        <v>97</v>
      </c>
      <c r="P149" s="57">
        <v>320.94298980907536</v>
      </c>
      <c r="Q149" s="57" t="s">
        <v>97</v>
      </c>
      <c r="R149" s="337">
        <f t="shared" si="1"/>
        <v>1.0883300215051532</v>
      </c>
      <c r="S149" s="58">
        <f>T149/181</f>
        <v>0.17679558011049723</v>
      </c>
      <c r="T149" s="59">
        <v>32</v>
      </c>
      <c r="U149" s="97" t="s">
        <v>336</v>
      </c>
    </row>
    <row r="150" spans="1:41">
      <c r="A150" s="55" t="s">
        <v>64</v>
      </c>
      <c r="B150" s="56" t="s">
        <v>99</v>
      </c>
      <c r="C150" s="222">
        <v>20</v>
      </c>
      <c r="D150" s="57">
        <v>7.81</v>
      </c>
      <c r="E150" s="57">
        <v>1765.7828570473503</v>
      </c>
      <c r="F150" s="57">
        <v>12.7</v>
      </c>
      <c r="G150" s="57">
        <v>79.400000000000006</v>
      </c>
      <c r="H150" s="57">
        <v>14</v>
      </c>
      <c r="I150" s="57">
        <v>64.8</v>
      </c>
      <c r="J150" s="57">
        <v>10.3</v>
      </c>
      <c r="K150" s="57">
        <v>78.7</v>
      </c>
      <c r="L150" s="57">
        <v>90.8</v>
      </c>
      <c r="M150" s="57" t="s">
        <v>97</v>
      </c>
      <c r="N150" s="57">
        <v>255.91379999999998</v>
      </c>
      <c r="O150" s="57" t="s">
        <v>97</v>
      </c>
      <c r="P150" s="57">
        <v>1563.9175898563249</v>
      </c>
      <c r="Q150" s="57" t="s">
        <v>97</v>
      </c>
      <c r="R150" s="337">
        <f t="shared" si="1"/>
        <v>1.1290766652286137</v>
      </c>
      <c r="S150" s="58">
        <f>T150/181</f>
        <v>0.27071823204419887</v>
      </c>
      <c r="T150" s="59">
        <v>49</v>
      </c>
      <c r="U150" s="327" t="s">
        <v>336</v>
      </c>
    </row>
    <row r="151" spans="1:41">
      <c r="A151" s="55" t="s">
        <v>64</v>
      </c>
      <c r="B151" s="56" t="s">
        <v>99</v>
      </c>
      <c r="C151" s="222">
        <v>20</v>
      </c>
      <c r="D151" s="57">
        <v>7.41</v>
      </c>
      <c r="E151" s="57">
        <v>254.0495519056565</v>
      </c>
      <c r="F151" s="57">
        <v>2.85</v>
      </c>
      <c r="G151" s="57">
        <v>8.8000000000000007</v>
      </c>
      <c r="H151" s="57">
        <v>3.8</v>
      </c>
      <c r="I151" s="57">
        <v>7.1</v>
      </c>
      <c r="J151" s="57">
        <v>0.9</v>
      </c>
      <c r="K151" s="57">
        <v>17.2</v>
      </c>
      <c r="L151" s="57">
        <v>9.5</v>
      </c>
      <c r="M151" s="57" t="s">
        <v>97</v>
      </c>
      <c r="N151" s="57">
        <v>37.622</v>
      </c>
      <c r="O151" s="57" t="s">
        <v>97</v>
      </c>
      <c r="P151" s="57">
        <v>343.45819885960827</v>
      </c>
      <c r="Q151" s="57" t="s">
        <v>97</v>
      </c>
      <c r="R151" s="337">
        <f t="shared" si="1"/>
        <v>1.3519338896025861</v>
      </c>
      <c r="S151" s="58">
        <f>T151/181</f>
        <v>0.58563535911602205</v>
      </c>
      <c r="T151" s="59">
        <v>106</v>
      </c>
      <c r="U151" s="327" t="s">
        <v>336</v>
      </c>
      <c r="V151" s="326"/>
      <c r="W151" s="326"/>
      <c r="X151" s="326"/>
      <c r="Y151" s="325"/>
      <c r="Z151" s="326"/>
      <c r="AA151" s="326"/>
      <c r="AB151" s="326"/>
      <c r="AC151" s="326"/>
      <c r="AD151" s="326"/>
      <c r="AE151" s="326"/>
      <c r="AF151" s="326"/>
      <c r="AG151" s="326"/>
      <c r="AH151" s="326"/>
      <c r="AI151" s="326"/>
    </row>
    <row r="152" spans="1:41">
      <c r="A152" s="50" t="s">
        <v>64</v>
      </c>
      <c r="B152" s="51" t="s">
        <v>99</v>
      </c>
      <c r="C152" s="332">
        <v>20</v>
      </c>
      <c r="D152" s="52">
        <v>8.2799999999999994</v>
      </c>
      <c r="E152" s="52">
        <v>402.81197324214025</v>
      </c>
      <c r="F152" s="52">
        <v>1.71</v>
      </c>
      <c r="G152" s="52">
        <v>9.6999999999999993</v>
      </c>
      <c r="H152" s="52">
        <v>3.9</v>
      </c>
      <c r="I152" s="52">
        <v>75.400000000000006</v>
      </c>
      <c r="J152" s="52">
        <v>3.8</v>
      </c>
      <c r="K152" s="52">
        <v>20.100000000000001</v>
      </c>
      <c r="L152" s="52">
        <v>14.6</v>
      </c>
      <c r="M152" s="52" t="s">
        <v>97</v>
      </c>
      <c r="N152" s="52">
        <v>40.281099999999995</v>
      </c>
      <c r="O152" s="52" t="s">
        <v>97</v>
      </c>
      <c r="P152" s="52">
        <v>284.87267476413905</v>
      </c>
      <c r="Q152" s="52" t="s">
        <v>97</v>
      </c>
      <c r="R152" s="338">
        <f t="shared" si="1"/>
        <v>1.4140070597351933</v>
      </c>
      <c r="S152" s="53">
        <f>T152/181</f>
        <v>0.63535911602209949</v>
      </c>
      <c r="T152" s="54">
        <v>115</v>
      </c>
      <c r="U152" s="327" t="s">
        <v>336</v>
      </c>
      <c r="V152" s="326"/>
      <c r="W152" s="326"/>
      <c r="X152" s="326"/>
      <c r="Y152" s="325"/>
      <c r="Z152" s="326"/>
      <c r="AA152" s="326"/>
      <c r="AB152" s="326"/>
      <c r="AC152" s="326"/>
      <c r="AD152" s="326"/>
      <c r="AE152" s="326"/>
      <c r="AF152" s="326"/>
      <c r="AG152" s="326"/>
      <c r="AH152" s="326"/>
      <c r="AI152" s="326"/>
    </row>
    <row r="153" spans="1:41">
      <c r="A153" s="266" t="s">
        <v>54</v>
      </c>
      <c r="B153" s="56" t="s">
        <v>283</v>
      </c>
      <c r="C153" s="334">
        <v>23</v>
      </c>
      <c r="D153" s="331">
        <v>5.7</v>
      </c>
      <c r="E153" s="264">
        <v>328</v>
      </c>
      <c r="F153" s="335">
        <v>6.28</v>
      </c>
      <c r="G153" s="335">
        <v>3.45</v>
      </c>
      <c r="H153" s="335">
        <v>1.36</v>
      </c>
      <c r="I153" s="335">
        <v>3.84</v>
      </c>
      <c r="J153" s="335">
        <v>0.62</v>
      </c>
      <c r="K153" s="335">
        <v>4.8600000000000003</v>
      </c>
      <c r="L153" s="335">
        <v>8.7100000000000009</v>
      </c>
      <c r="M153" s="206" t="s">
        <v>97</v>
      </c>
      <c r="N153" s="206" t="s">
        <v>97</v>
      </c>
      <c r="O153" s="57" t="s">
        <v>97</v>
      </c>
      <c r="P153" s="56" t="s">
        <v>97</v>
      </c>
      <c r="Q153" s="57">
        <v>318.71086000000003</v>
      </c>
      <c r="R153" s="337">
        <f>IF(O153="-",(MAX(Q153,E153)/MIN(Q153,E153)),(MAX(O153,E153)/MIN(O153,E153)))</f>
        <v>1.0291459788976127</v>
      </c>
      <c r="S153" s="58">
        <f>T153/181</f>
        <v>6.6298342541436461E-2</v>
      </c>
      <c r="T153" s="59">
        <v>12</v>
      </c>
      <c r="U153" s="333" t="s">
        <v>305</v>
      </c>
      <c r="V153" s="322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>
      <c r="A154" s="266" t="s">
        <v>54</v>
      </c>
      <c r="B154" s="56" t="s">
        <v>263</v>
      </c>
      <c r="C154" s="334">
        <v>25</v>
      </c>
      <c r="D154" s="330">
        <v>7.26</v>
      </c>
      <c r="E154" s="264">
        <v>49.9</v>
      </c>
      <c r="F154" s="335">
        <v>12</v>
      </c>
      <c r="G154" s="335">
        <v>8.8000000000000007</v>
      </c>
      <c r="H154" s="335">
        <v>5.6</v>
      </c>
      <c r="I154" s="335">
        <v>72.5</v>
      </c>
      <c r="J154" s="335">
        <v>2.8</v>
      </c>
      <c r="K154" s="335">
        <v>5.2</v>
      </c>
      <c r="L154" s="335">
        <v>34.799999999999997</v>
      </c>
      <c r="M154" s="206" t="s">
        <v>97</v>
      </c>
      <c r="N154" s="206" t="s">
        <v>97</v>
      </c>
      <c r="O154" s="57" t="s">
        <v>97</v>
      </c>
      <c r="P154" s="56" t="s">
        <v>97</v>
      </c>
      <c r="Q154" s="57">
        <v>52</v>
      </c>
      <c r="R154" s="337">
        <f t="shared" ref="R154:R181" si="2">IF(O154="-",(MAX(Q154,E154)/MIN(Q154,E154)),(MAX(O154,E154)/MIN(O154,E154)))</f>
        <v>1.0420841683366733</v>
      </c>
      <c r="S154" s="58">
        <f>T154/181</f>
        <v>9.3922651933701654E-2</v>
      </c>
      <c r="T154" s="59">
        <v>17</v>
      </c>
      <c r="U154" s="333" t="s">
        <v>338</v>
      </c>
      <c r="V154" s="322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>
      <c r="A155" s="266" t="s">
        <v>54</v>
      </c>
      <c r="B155" s="56" t="s">
        <v>280</v>
      </c>
      <c r="C155" s="334">
        <v>23</v>
      </c>
      <c r="D155" s="331">
        <v>8.01</v>
      </c>
      <c r="E155" s="264">
        <v>27</v>
      </c>
      <c r="F155" s="335">
        <v>5.89</v>
      </c>
      <c r="G155" s="335">
        <v>65.403265439999998</v>
      </c>
      <c r="H155" s="335">
        <v>18.4000005995</v>
      </c>
      <c r="I155" s="335">
        <v>116.3989896758</v>
      </c>
      <c r="J155" s="335">
        <v>1.0301397223690001</v>
      </c>
      <c r="K155" s="335">
        <v>144.929576844</v>
      </c>
      <c r="L155" s="335">
        <v>186.50001015800001</v>
      </c>
      <c r="M155" s="206" t="s">
        <v>97</v>
      </c>
      <c r="N155" s="206" t="s">
        <v>97</v>
      </c>
      <c r="O155" s="57" t="s">
        <v>97</v>
      </c>
      <c r="P155" s="56" t="s">
        <v>97</v>
      </c>
      <c r="Q155" s="57">
        <v>28.156934</v>
      </c>
      <c r="R155" s="337">
        <f t="shared" si="2"/>
        <v>1.0428494074074075</v>
      </c>
      <c r="S155" s="58">
        <f>T155/181</f>
        <v>9.9447513812154692E-2</v>
      </c>
      <c r="T155" s="59">
        <v>18</v>
      </c>
      <c r="U155" s="333" t="s">
        <v>305</v>
      </c>
      <c r="V155" s="322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1:41">
      <c r="A156" s="266" t="s">
        <v>54</v>
      </c>
      <c r="B156" s="56" t="s">
        <v>284</v>
      </c>
      <c r="C156" s="334">
        <v>23</v>
      </c>
      <c r="D156" s="331">
        <v>6.26</v>
      </c>
      <c r="E156" s="264">
        <v>109</v>
      </c>
      <c r="F156" s="335">
        <v>2.48</v>
      </c>
      <c r="G156" s="335">
        <v>6.8203414560000004</v>
      </c>
      <c r="H156" s="335">
        <v>2.4199999969500001</v>
      </c>
      <c r="I156" s="335">
        <v>4.1999628813800003</v>
      </c>
      <c r="J156" s="335">
        <v>0.86011646400599995</v>
      </c>
      <c r="K156" s="335">
        <v>7.621555201864</v>
      </c>
      <c r="L156" s="335">
        <v>7.9100003718999998</v>
      </c>
      <c r="M156" s="206" t="s">
        <v>97</v>
      </c>
      <c r="N156" s="206" t="s">
        <v>97</v>
      </c>
      <c r="O156" s="57" t="s">
        <v>97</v>
      </c>
      <c r="P156" s="56" t="s">
        <v>97</v>
      </c>
      <c r="Q156" s="57">
        <v>98.477339999999998</v>
      </c>
      <c r="R156" s="337">
        <f t="shared" si="2"/>
        <v>1.1068536172890129</v>
      </c>
      <c r="S156" s="58">
        <f>T156/181</f>
        <v>0.22099447513812154</v>
      </c>
      <c r="T156" s="59">
        <v>40</v>
      </c>
      <c r="U156" s="333" t="s">
        <v>305</v>
      </c>
      <c r="V156" s="322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1:41">
      <c r="A157" s="266" t="s">
        <v>54</v>
      </c>
      <c r="B157" s="56" t="s">
        <v>262</v>
      </c>
      <c r="C157" s="334">
        <v>25</v>
      </c>
      <c r="D157" s="330">
        <v>7.13</v>
      </c>
      <c r="E157" s="264">
        <v>51.4</v>
      </c>
      <c r="F157" s="335">
        <v>9.9</v>
      </c>
      <c r="G157" s="335">
        <v>8.9</v>
      </c>
      <c r="H157" s="335">
        <v>6.2</v>
      </c>
      <c r="I157" s="335">
        <v>72.8</v>
      </c>
      <c r="J157" s="335">
        <v>2.9</v>
      </c>
      <c r="K157" s="335">
        <v>15.1</v>
      </c>
      <c r="L157" s="335">
        <v>25.8</v>
      </c>
      <c r="M157" s="206" t="s">
        <v>97</v>
      </c>
      <c r="N157" s="206" t="s">
        <v>97</v>
      </c>
      <c r="O157" s="57" t="s">
        <v>97</v>
      </c>
      <c r="P157" s="56" t="s">
        <v>97</v>
      </c>
      <c r="Q157" s="57">
        <v>45</v>
      </c>
      <c r="R157" s="337">
        <f t="shared" si="2"/>
        <v>1.1422222222222222</v>
      </c>
      <c r="S157" s="58">
        <f>T157/181</f>
        <v>0.29281767955801102</v>
      </c>
      <c r="T157" s="59">
        <v>53</v>
      </c>
      <c r="U157" s="333" t="s">
        <v>338</v>
      </c>
      <c r="V157" s="322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1:41">
      <c r="A158" s="266" t="s">
        <v>54</v>
      </c>
      <c r="B158" s="56" t="s">
        <v>282</v>
      </c>
      <c r="C158" s="334">
        <v>23</v>
      </c>
      <c r="D158" s="331">
        <v>6.43</v>
      </c>
      <c r="E158" s="264">
        <v>79</v>
      </c>
      <c r="F158" s="335">
        <v>3.65</v>
      </c>
      <c r="G158" s="335">
        <v>8.7204340560000002</v>
      </c>
      <c r="H158" s="335">
        <v>1.3799999841999999</v>
      </c>
      <c r="I158" s="335">
        <v>18.399840450399999</v>
      </c>
      <c r="J158" s="335">
        <v>0.82011108344600003</v>
      </c>
      <c r="K158" s="335">
        <v>14.502957696959999</v>
      </c>
      <c r="L158" s="335">
        <v>21.800000065799999</v>
      </c>
      <c r="M158" s="206" t="s">
        <v>97</v>
      </c>
      <c r="N158" s="206" t="s">
        <v>97</v>
      </c>
      <c r="O158" s="57" t="s">
        <v>97</v>
      </c>
      <c r="P158" s="56" t="s">
        <v>97</v>
      </c>
      <c r="Q158" s="57">
        <v>90.368980000000008</v>
      </c>
      <c r="R158" s="337">
        <f t="shared" si="2"/>
        <v>1.1439111392405064</v>
      </c>
      <c r="S158" s="58">
        <f>T158/181</f>
        <v>0.2983425414364641</v>
      </c>
      <c r="T158" s="59">
        <v>54</v>
      </c>
      <c r="U158" s="333" t="s">
        <v>305</v>
      </c>
      <c r="V158" s="322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1:41">
      <c r="A159" s="266" t="s">
        <v>54</v>
      </c>
      <c r="B159" s="56" t="s">
        <v>276</v>
      </c>
      <c r="C159" s="334">
        <v>25</v>
      </c>
      <c r="D159" s="330">
        <v>6.01</v>
      </c>
      <c r="E159" s="264">
        <v>32</v>
      </c>
      <c r="F159" s="335">
        <v>4.4000000000000004</v>
      </c>
      <c r="G159" s="335">
        <v>2.9</v>
      </c>
      <c r="H159" s="335">
        <v>0.4</v>
      </c>
      <c r="I159" s="335">
        <v>12.6</v>
      </c>
      <c r="J159" s="335">
        <v>1.1000000000000001</v>
      </c>
      <c r="K159" s="202" t="s">
        <v>340</v>
      </c>
      <c r="L159" s="335">
        <v>17</v>
      </c>
      <c r="M159" s="206" t="s">
        <v>97</v>
      </c>
      <c r="N159" s="206" t="s">
        <v>97</v>
      </c>
      <c r="O159" s="57" t="s">
        <v>97</v>
      </c>
      <c r="P159" s="56" t="s">
        <v>97</v>
      </c>
      <c r="Q159" s="57">
        <v>37.070459999999997</v>
      </c>
      <c r="R159" s="337">
        <f t="shared" si="2"/>
        <v>1.1584518749999999</v>
      </c>
      <c r="S159" s="58">
        <f>T159/181</f>
        <v>0.32596685082872928</v>
      </c>
      <c r="T159" s="59">
        <v>59</v>
      </c>
      <c r="U159" s="333" t="s">
        <v>338</v>
      </c>
      <c r="V159" s="322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1:41">
      <c r="A160" s="266" t="s">
        <v>54</v>
      </c>
      <c r="B160" s="56" t="s">
        <v>269</v>
      </c>
      <c r="C160" s="334">
        <v>25</v>
      </c>
      <c r="D160" s="330">
        <v>8.5299999999999994</v>
      </c>
      <c r="E160" s="264">
        <v>15.9</v>
      </c>
      <c r="F160" s="335">
        <v>4.8</v>
      </c>
      <c r="G160" s="335">
        <v>8.1</v>
      </c>
      <c r="H160" s="335">
        <v>6.3</v>
      </c>
      <c r="I160" s="335">
        <v>39.9</v>
      </c>
      <c r="J160" s="335">
        <v>3.8</v>
      </c>
      <c r="K160" s="335">
        <v>14.8</v>
      </c>
      <c r="L160" s="335">
        <v>27</v>
      </c>
      <c r="M160" s="206" t="s">
        <v>97</v>
      </c>
      <c r="N160" s="206" t="s">
        <v>97</v>
      </c>
      <c r="O160" s="57" t="s">
        <v>97</v>
      </c>
      <c r="P160" s="56" t="s">
        <v>97</v>
      </c>
      <c r="Q160" s="57">
        <v>19</v>
      </c>
      <c r="R160" s="337">
        <f t="shared" si="2"/>
        <v>1.1949685534591195</v>
      </c>
      <c r="S160" s="58">
        <f>T160/181</f>
        <v>0.36464088397790057</v>
      </c>
      <c r="T160" s="59">
        <v>66</v>
      </c>
      <c r="U160" s="333" t="s">
        <v>338</v>
      </c>
      <c r="V160" s="322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:41">
      <c r="A161" s="266" t="s">
        <v>54</v>
      </c>
      <c r="B161" s="56" t="s">
        <v>277</v>
      </c>
      <c r="C161" s="334">
        <v>23</v>
      </c>
      <c r="D161" s="331">
        <v>7.42</v>
      </c>
      <c r="E161" s="264">
        <v>136</v>
      </c>
      <c r="F161" s="335">
        <v>22.3</v>
      </c>
      <c r="G161" s="335">
        <v>43.40215104</v>
      </c>
      <c r="H161" s="335">
        <v>8.7400002239999992</v>
      </c>
      <c r="I161" s="335">
        <v>86.399254808799995</v>
      </c>
      <c r="J161" s="335">
        <v>0.66008956120600004</v>
      </c>
      <c r="K161" s="335">
        <v>51.110429228240001</v>
      </c>
      <c r="L161" s="335">
        <v>86.300011677000001</v>
      </c>
      <c r="M161" s="206" t="s">
        <v>97</v>
      </c>
      <c r="N161" s="206" t="s">
        <v>97</v>
      </c>
      <c r="O161" s="57" t="s">
        <v>97</v>
      </c>
      <c r="P161" s="56" t="s">
        <v>97</v>
      </c>
      <c r="Q161" s="57">
        <v>112.01306999999998</v>
      </c>
      <c r="R161" s="337">
        <f t="shared" si="2"/>
        <v>1.214144028013874</v>
      </c>
      <c r="S161" s="58">
        <f>T161/181</f>
        <v>0.39779005524861877</v>
      </c>
      <c r="T161" s="59">
        <v>72</v>
      </c>
      <c r="U161" s="333" t="s">
        <v>305</v>
      </c>
      <c r="V161" s="322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1:41">
      <c r="A162" s="266" t="s">
        <v>54</v>
      </c>
      <c r="B162" s="56" t="s">
        <v>268</v>
      </c>
      <c r="C162" s="334">
        <v>25</v>
      </c>
      <c r="D162" s="330">
        <v>8.51</v>
      </c>
      <c r="E162" s="264">
        <v>15.5</v>
      </c>
      <c r="F162" s="335">
        <v>4.8</v>
      </c>
      <c r="G162" s="335">
        <v>8.1</v>
      </c>
      <c r="H162" s="335">
        <v>6.3</v>
      </c>
      <c r="I162" s="335">
        <v>39.200000000000003</v>
      </c>
      <c r="J162" s="335">
        <v>3.8</v>
      </c>
      <c r="K162" s="335">
        <v>14.8</v>
      </c>
      <c r="L162" s="335">
        <v>27</v>
      </c>
      <c r="M162" s="206" t="s">
        <v>97</v>
      </c>
      <c r="N162" s="206" t="s">
        <v>97</v>
      </c>
      <c r="O162" s="57" t="s">
        <v>97</v>
      </c>
      <c r="P162" s="56" t="s">
        <v>97</v>
      </c>
      <c r="Q162" s="57">
        <v>19</v>
      </c>
      <c r="R162" s="337">
        <f t="shared" si="2"/>
        <v>1.2258064516129032</v>
      </c>
      <c r="S162" s="58">
        <f>T162/181</f>
        <v>0.4143646408839779</v>
      </c>
      <c r="T162" s="59">
        <v>75</v>
      </c>
      <c r="U162" s="333" t="s">
        <v>338</v>
      </c>
      <c r="V162" s="32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1:41">
      <c r="A163" s="266" t="s">
        <v>54</v>
      </c>
      <c r="B163" s="56" t="s">
        <v>263</v>
      </c>
      <c r="C163" s="334">
        <v>25</v>
      </c>
      <c r="D163" s="330">
        <v>7.15</v>
      </c>
      <c r="E163" s="264">
        <v>55.4</v>
      </c>
      <c r="F163" s="335">
        <v>9.9</v>
      </c>
      <c r="G163" s="335">
        <v>8.9</v>
      </c>
      <c r="H163" s="335">
        <v>6.2</v>
      </c>
      <c r="I163" s="335">
        <v>73.8</v>
      </c>
      <c r="J163" s="335">
        <v>2.9</v>
      </c>
      <c r="K163" s="335">
        <v>15.1</v>
      </c>
      <c r="L163" s="335">
        <v>25.8</v>
      </c>
      <c r="M163" s="206" t="s">
        <v>97</v>
      </c>
      <c r="N163" s="206" t="s">
        <v>97</v>
      </c>
      <c r="O163" s="57" t="s">
        <v>97</v>
      </c>
      <c r="P163" s="56" t="s">
        <v>97</v>
      </c>
      <c r="Q163" s="57">
        <v>45</v>
      </c>
      <c r="R163" s="337">
        <f t="shared" si="2"/>
        <v>1.231111111111111</v>
      </c>
      <c r="S163" s="58">
        <f>T163/181</f>
        <v>0.43093922651933703</v>
      </c>
      <c r="T163" s="59">
        <v>78</v>
      </c>
      <c r="U163" s="333" t="s">
        <v>338</v>
      </c>
      <c r="V163" s="322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1:41">
      <c r="A164" s="266" t="s">
        <v>54</v>
      </c>
      <c r="B164" s="56" t="s">
        <v>264</v>
      </c>
      <c r="C164" s="334">
        <v>25</v>
      </c>
      <c r="D164" s="330">
        <v>6.23</v>
      </c>
      <c r="E164" s="264">
        <v>79.5</v>
      </c>
      <c r="F164" s="335">
        <v>9.3000000000000007</v>
      </c>
      <c r="G164" s="335">
        <v>2.2000000000000002</v>
      </c>
      <c r="H164" s="335">
        <v>3.3</v>
      </c>
      <c r="I164" s="335">
        <v>147.1</v>
      </c>
      <c r="J164" s="335">
        <v>1.8</v>
      </c>
      <c r="K164" s="335">
        <v>4.7</v>
      </c>
      <c r="L164" s="335">
        <v>24.6</v>
      </c>
      <c r="M164" s="206" t="s">
        <v>97</v>
      </c>
      <c r="N164" s="206" t="s">
        <v>97</v>
      </c>
      <c r="O164" s="57" t="s">
        <v>97</v>
      </c>
      <c r="P164" s="56" t="s">
        <v>97</v>
      </c>
      <c r="Q164" s="57">
        <v>100</v>
      </c>
      <c r="R164" s="337">
        <f t="shared" si="2"/>
        <v>1.2578616352201257</v>
      </c>
      <c r="S164" s="58">
        <f>T164/181</f>
        <v>0.46408839779005523</v>
      </c>
      <c r="T164" s="59">
        <v>84</v>
      </c>
      <c r="U164" s="333" t="s">
        <v>338</v>
      </c>
      <c r="V164" s="322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>
      <c r="A165" s="266" t="s">
        <v>54</v>
      </c>
      <c r="B165" s="56" t="s">
        <v>279</v>
      </c>
      <c r="C165" s="334">
        <v>25</v>
      </c>
      <c r="D165" s="330">
        <v>7.15</v>
      </c>
      <c r="E165" s="264">
        <v>56</v>
      </c>
      <c r="F165" s="335">
        <v>9.9</v>
      </c>
      <c r="G165" s="335">
        <v>8.9</v>
      </c>
      <c r="H165" s="335">
        <v>6.2</v>
      </c>
      <c r="I165" s="335">
        <v>73.8</v>
      </c>
      <c r="J165" s="335">
        <v>2.9</v>
      </c>
      <c r="K165" s="335">
        <v>15.1</v>
      </c>
      <c r="L165" s="335">
        <v>25.8</v>
      </c>
      <c r="M165" s="206" t="s">
        <v>97</v>
      </c>
      <c r="N165" s="206" t="s">
        <v>97</v>
      </c>
      <c r="O165" s="57" t="s">
        <v>97</v>
      </c>
      <c r="P165" s="56" t="s">
        <v>97</v>
      </c>
      <c r="Q165" s="57">
        <v>72.125169999999997</v>
      </c>
      <c r="R165" s="337">
        <f t="shared" si="2"/>
        <v>1.2879494642857143</v>
      </c>
      <c r="S165" s="58">
        <f>T165/181</f>
        <v>0.50276243093922657</v>
      </c>
      <c r="T165" s="59">
        <v>91</v>
      </c>
      <c r="U165" s="333" t="s">
        <v>338</v>
      </c>
      <c r="V165" s="322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>
      <c r="A166" s="266" t="s">
        <v>54</v>
      </c>
      <c r="B166" s="56" t="s">
        <v>270</v>
      </c>
      <c r="C166" s="334">
        <v>25</v>
      </c>
      <c r="D166" s="330">
        <v>6.23</v>
      </c>
      <c r="E166" s="264">
        <v>131</v>
      </c>
      <c r="F166" s="335">
        <v>9.3000000000000007</v>
      </c>
      <c r="G166" s="335">
        <v>2.2000000000000002</v>
      </c>
      <c r="H166" s="335">
        <v>3.3</v>
      </c>
      <c r="I166" s="335">
        <v>148.4</v>
      </c>
      <c r="J166" s="335">
        <v>1.8</v>
      </c>
      <c r="K166" s="335">
        <v>4.7</v>
      </c>
      <c r="L166" s="335">
        <v>24.6</v>
      </c>
      <c r="M166" s="206" t="s">
        <v>97</v>
      </c>
      <c r="N166" s="206" t="s">
        <v>97</v>
      </c>
      <c r="O166" s="57" t="s">
        <v>97</v>
      </c>
      <c r="P166" s="56" t="s">
        <v>97</v>
      </c>
      <c r="Q166" s="57">
        <v>100</v>
      </c>
      <c r="R166" s="337">
        <f t="shared" si="2"/>
        <v>1.31</v>
      </c>
      <c r="S166" s="58">
        <f>T166/181</f>
        <v>0.51933701657458564</v>
      </c>
      <c r="T166" s="59">
        <v>94</v>
      </c>
      <c r="U166" s="333" t="s">
        <v>338</v>
      </c>
      <c r="V166" s="322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1:41">
      <c r="A167" s="266" t="s">
        <v>54</v>
      </c>
      <c r="B167" s="56" t="s">
        <v>264</v>
      </c>
      <c r="C167" s="334">
        <v>25</v>
      </c>
      <c r="D167" s="330">
        <v>6.16</v>
      </c>
      <c r="E167" s="264">
        <v>88.6</v>
      </c>
      <c r="F167" s="335">
        <v>11.3</v>
      </c>
      <c r="G167" s="335">
        <v>3</v>
      </c>
      <c r="H167" s="335">
        <v>3.7</v>
      </c>
      <c r="I167" s="335">
        <v>1140.3</v>
      </c>
      <c r="J167" s="335">
        <v>1.8</v>
      </c>
      <c r="K167" s="335">
        <v>7.2</v>
      </c>
      <c r="L167" s="335">
        <v>26.2</v>
      </c>
      <c r="M167" s="206" t="s">
        <v>97</v>
      </c>
      <c r="N167" s="206" t="s">
        <v>97</v>
      </c>
      <c r="O167" s="57" t="s">
        <v>97</v>
      </c>
      <c r="P167" s="56" t="s">
        <v>97</v>
      </c>
      <c r="Q167" s="57">
        <v>119</v>
      </c>
      <c r="R167" s="337">
        <f t="shared" si="2"/>
        <v>1.3431151241534989</v>
      </c>
      <c r="S167" s="58">
        <f>T167/181</f>
        <v>0.56353591160220995</v>
      </c>
      <c r="T167" s="59">
        <v>102</v>
      </c>
      <c r="U167" s="333" t="s">
        <v>338</v>
      </c>
      <c r="V167" s="322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1:41">
      <c r="A168" s="266" t="s">
        <v>54</v>
      </c>
      <c r="B168" s="56" t="s">
        <v>262</v>
      </c>
      <c r="C168" s="334">
        <v>25</v>
      </c>
      <c r="D168" s="330">
        <v>7.26</v>
      </c>
      <c r="E168" s="264">
        <v>36.161499999999997</v>
      </c>
      <c r="F168" s="335">
        <v>12</v>
      </c>
      <c r="G168" s="335">
        <v>8.8000000000000007</v>
      </c>
      <c r="H168" s="335">
        <v>5.6</v>
      </c>
      <c r="I168" s="335">
        <v>72.5</v>
      </c>
      <c r="J168" s="335">
        <v>2.8</v>
      </c>
      <c r="K168" s="335">
        <v>5.2</v>
      </c>
      <c r="L168" s="335">
        <v>34.799999999999997</v>
      </c>
      <c r="M168" s="206" t="s">
        <v>97</v>
      </c>
      <c r="N168" s="206" t="s">
        <v>97</v>
      </c>
      <c r="O168" s="57" t="s">
        <v>97</v>
      </c>
      <c r="P168" s="56" t="s">
        <v>97</v>
      </c>
      <c r="Q168" s="57">
        <v>52</v>
      </c>
      <c r="R168" s="337">
        <f t="shared" si="2"/>
        <v>1.4379934460683326</v>
      </c>
      <c r="S168" s="58">
        <f>T168/181</f>
        <v>0.64088397790055252</v>
      </c>
      <c r="T168" s="59">
        <v>116</v>
      </c>
      <c r="U168" s="333" t="s">
        <v>338</v>
      </c>
      <c r="V168" s="322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1:41">
      <c r="A169" s="266" t="s">
        <v>54</v>
      </c>
      <c r="B169" s="56" t="s">
        <v>275</v>
      </c>
      <c r="C169" s="334">
        <v>25</v>
      </c>
      <c r="D169" s="330">
        <v>6.08</v>
      </c>
      <c r="E169" s="264">
        <v>22</v>
      </c>
      <c r="F169" s="335">
        <v>4.5</v>
      </c>
      <c r="G169" s="335">
        <v>2.8</v>
      </c>
      <c r="H169" s="335">
        <v>0.4</v>
      </c>
      <c r="I169" s="335">
        <v>15.4</v>
      </c>
      <c r="J169" s="335">
        <v>1.3</v>
      </c>
      <c r="K169" s="202" t="s">
        <v>340</v>
      </c>
      <c r="L169" s="335">
        <v>19.5</v>
      </c>
      <c r="M169" s="206" t="s">
        <v>97</v>
      </c>
      <c r="N169" s="206" t="s">
        <v>97</v>
      </c>
      <c r="O169" s="57" t="s">
        <v>97</v>
      </c>
      <c r="P169" s="56" t="s">
        <v>97</v>
      </c>
      <c r="Q169" s="57">
        <v>34.291809999999998</v>
      </c>
      <c r="R169" s="337">
        <f t="shared" si="2"/>
        <v>1.5587186363636363</v>
      </c>
      <c r="S169" s="58">
        <f>T169/181</f>
        <v>0.6795580110497238</v>
      </c>
      <c r="T169" s="59">
        <v>123</v>
      </c>
      <c r="U169" s="333" t="s">
        <v>338</v>
      </c>
      <c r="V169" s="322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:41">
      <c r="A170" s="266" t="s">
        <v>54</v>
      </c>
      <c r="B170" s="56" t="s">
        <v>261</v>
      </c>
      <c r="C170" s="334">
        <v>25</v>
      </c>
      <c r="D170" s="330">
        <v>8.5399999999999991</v>
      </c>
      <c r="E170" s="264">
        <v>16.600000000000001</v>
      </c>
      <c r="F170" s="335">
        <v>9</v>
      </c>
      <c r="G170" s="335">
        <v>15.2</v>
      </c>
      <c r="H170" s="335">
        <v>7.9</v>
      </c>
      <c r="I170" s="335">
        <v>37.799999999999997</v>
      </c>
      <c r="J170" s="335">
        <v>2.8</v>
      </c>
      <c r="K170" s="335">
        <v>21.3</v>
      </c>
      <c r="L170" s="335">
        <v>25</v>
      </c>
      <c r="M170" s="206" t="s">
        <v>97</v>
      </c>
      <c r="N170" s="206" t="s">
        <v>97</v>
      </c>
      <c r="O170" s="57" t="s">
        <v>97</v>
      </c>
      <c r="P170" s="56" t="s">
        <v>97</v>
      </c>
      <c r="Q170" s="57">
        <v>29</v>
      </c>
      <c r="R170" s="337">
        <f t="shared" si="2"/>
        <v>1.7469879518072287</v>
      </c>
      <c r="S170" s="58">
        <f>T170/181</f>
        <v>0.77900552486187846</v>
      </c>
      <c r="T170" s="59">
        <v>141</v>
      </c>
      <c r="U170" s="333" t="s">
        <v>338</v>
      </c>
      <c r="V170" s="322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>
      <c r="A171" s="266" t="s">
        <v>54</v>
      </c>
      <c r="B171" s="56" t="s">
        <v>273</v>
      </c>
      <c r="C171" s="334">
        <v>25</v>
      </c>
      <c r="D171" s="330">
        <v>6.72</v>
      </c>
      <c r="E171" s="264">
        <v>67.900000000000006</v>
      </c>
      <c r="F171" s="335">
        <v>3.7</v>
      </c>
      <c r="G171" s="335">
        <v>0.9</v>
      </c>
      <c r="H171" s="335">
        <v>2.8</v>
      </c>
      <c r="I171" s="335">
        <v>45.7</v>
      </c>
      <c r="J171" s="335">
        <v>1.3</v>
      </c>
      <c r="K171" s="335">
        <v>7.7</v>
      </c>
      <c r="L171" s="335">
        <v>23.9</v>
      </c>
      <c r="M171" s="206" t="s">
        <v>97</v>
      </c>
      <c r="N171" s="206" t="s">
        <v>97</v>
      </c>
      <c r="O171" s="57" t="s">
        <v>97</v>
      </c>
      <c r="P171" s="56" t="s">
        <v>97</v>
      </c>
      <c r="Q171" s="57">
        <v>38</v>
      </c>
      <c r="R171" s="337">
        <f t="shared" si="2"/>
        <v>1.786842105263158</v>
      </c>
      <c r="S171" s="58">
        <f>T171/181</f>
        <v>0.79558011049723754</v>
      </c>
      <c r="T171" s="59">
        <v>144</v>
      </c>
      <c r="U171" s="333" t="s">
        <v>338</v>
      </c>
      <c r="V171" s="322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:41">
      <c r="A172" s="266" t="s">
        <v>54</v>
      </c>
      <c r="B172" s="56" t="s">
        <v>278</v>
      </c>
      <c r="C172" s="334">
        <v>23</v>
      </c>
      <c r="D172" s="331">
        <v>5.7</v>
      </c>
      <c r="E172" s="264">
        <v>563</v>
      </c>
      <c r="F172" s="335">
        <v>6.27</v>
      </c>
      <c r="G172" s="335">
        <v>3.74</v>
      </c>
      <c r="H172" s="335">
        <v>1.71</v>
      </c>
      <c r="I172" s="335">
        <v>7.5</v>
      </c>
      <c r="J172" s="335">
        <v>0.51</v>
      </c>
      <c r="K172" s="335">
        <v>7.55</v>
      </c>
      <c r="L172" s="335">
        <v>10.199999999999999</v>
      </c>
      <c r="M172" s="206" t="s">
        <v>97</v>
      </c>
      <c r="N172" s="206" t="s">
        <v>97</v>
      </c>
      <c r="O172" s="57" t="s">
        <v>97</v>
      </c>
      <c r="P172" s="56" t="s">
        <v>97</v>
      </c>
      <c r="Q172" s="57">
        <v>311.58335</v>
      </c>
      <c r="R172" s="337">
        <f t="shared" si="2"/>
        <v>1.8069001440545525</v>
      </c>
      <c r="S172" s="58">
        <f>T172/181</f>
        <v>0.81767955801104975</v>
      </c>
      <c r="T172" s="59">
        <v>148</v>
      </c>
      <c r="U172" s="333" t="s">
        <v>305</v>
      </c>
      <c r="V172" s="32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:41">
      <c r="A173" s="266" t="s">
        <v>54</v>
      </c>
      <c r="B173" s="56" t="s">
        <v>264</v>
      </c>
      <c r="C173" s="334">
        <v>25</v>
      </c>
      <c r="D173" s="330">
        <v>6.26</v>
      </c>
      <c r="E173" s="264">
        <v>116.2</v>
      </c>
      <c r="F173" s="335">
        <v>4.0999999999999996</v>
      </c>
      <c r="G173" s="335">
        <v>3</v>
      </c>
      <c r="H173" s="335">
        <v>3.4</v>
      </c>
      <c r="I173" s="335">
        <v>151.19999999999999</v>
      </c>
      <c r="J173" s="335">
        <v>1.7</v>
      </c>
      <c r="K173" s="335">
        <v>13.5</v>
      </c>
      <c r="L173" s="335">
        <v>34.4</v>
      </c>
      <c r="M173" s="206" t="s">
        <v>97</v>
      </c>
      <c r="N173" s="206" t="s">
        <v>97</v>
      </c>
      <c r="O173" s="57" t="s">
        <v>97</v>
      </c>
      <c r="P173" s="56" t="s">
        <v>97</v>
      </c>
      <c r="Q173" s="57">
        <v>63</v>
      </c>
      <c r="R173" s="337">
        <f t="shared" si="2"/>
        <v>1.8444444444444446</v>
      </c>
      <c r="S173" s="58">
        <f>T173/181</f>
        <v>0.83425414364640882</v>
      </c>
      <c r="T173" s="59">
        <v>151</v>
      </c>
      <c r="U173" s="333" t="s">
        <v>338</v>
      </c>
      <c r="V173" s="322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1:41">
      <c r="A174" s="266" t="s">
        <v>54</v>
      </c>
      <c r="B174" s="56" t="s">
        <v>267</v>
      </c>
      <c r="C174" s="334">
        <v>24</v>
      </c>
      <c r="D174" s="330">
        <v>8.1999999999999993</v>
      </c>
      <c r="E174" s="264">
        <v>9.6999999999999993</v>
      </c>
      <c r="F174" s="202">
        <v>4.5999999999999996</v>
      </c>
      <c r="G174" s="202">
        <v>17.899999999999999</v>
      </c>
      <c r="H174" s="202">
        <v>14.7</v>
      </c>
      <c r="I174" s="202">
        <v>17.7</v>
      </c>
      <c r="J174" s="202">
        <v>2.2000000000000002</v>
      </c>
      <c r="K174" s="202">
        <v>18.100000000000001</v>
      </c>
      <c r="L174" s="202">
        <v>37.9</v>
      </c>
      <c r="M174" s="206" t="s">
        <v>97</v>
      </c>
      <c r="N174" s="206" t="s">
        <v>97</v>
      </c>
      <c r="O174" s="57" t="s">
        <v>97</v>
      </c>
      <c r="P174" s="56" t="s">
        <v>97</v>
      </c>
      <c r="Q174" s="57">
        <v>18</v>
      </c>
      <c r="R174" s="337">
        <f t="shared" si="2"/>
        <v>1.8556701030927836</v>
      </c>
      <c r="S174" s="58">
        <f>T174/181</f>
        <v>0.83977900552486184</v>
      </c>
      <c r="T174" s="59">
        <v>152</v>
      </c>
      <c r="U174" s="328" t="s">
        <v>339</v>
      </c>
      <c r="V174" s="322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1:41">
      <c r="A175" s="266" t="s">
        <v>54</v>
      </c>
      <c r="B175" s="56" t="s">
        <v>274</v>
      </c>
      <c r="C175" s="334">
        <v>25</v>
      </c>
      <c r="D175" s="330">
        <v>5.85</v>
      </c>
      <c r="E175" s="264">
        <v>62</v>
      </c>
      <c r="F175" s="335">
        <v>2.9</v>
      </c>
      <c r="G175" s="335">
        <v>5.0999999999999996</v>
      </c>
      <c r="H175" s="335">
        <v>1.6</v>
      </c>
      <c r="I175" s="335">
        <v>7.7</v>
      </c>
      <c r="J175" s="335">
        <v>11.1</v>
      </c>
      <c r="K175" s="335">
        <v>6.7</v>
      </c>
      <c r="L175" s="335">
        <v>32.5</v>
      </c>
      <c r="M175" s="206" t="s">
        <v>97</v>
      </c>
      <c r="N175" s="206" t="s">
        <v>97</v>
      </c>
      <c r="O175" s="57" t="s">
        <v>97</v>
      </c>
      <c r="P175" s="56" t="s">
        <v>97</v>
      </c>
      <c r="Q175" s="57">
        <v>32.304257999999997</v>
      </c>
      <c r="R175" s="337">
        <f t="shared" si="2"/>
        <v>1.9192516354964726</v>
      </c>
      <c r="S175" s="58">
        <f>T175/181</f>
        <v>0.86187845303867405</v>
      </c>
      <c r="T175" s="59">
        <v>156</v>
      </c>
      <c r="U175" s="333" t="s">
        <v>338</v>
      </c>
      <c r="V175" s="322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:41">
      <c r="A176" s="266" t="s">
        <v>54</v>
      </c>
      <c r="B176" s="56" t="s">
        <v>272</v>
      </c>
      <c r="C176" s="334">
        <v>24</v>
      </c>
      <c r="D176" s="330">
        <v>7.2</v>
      </c>
      <c r="E176" s="264">
        <v>64.7</v>
      </c>
      <c r="F176" s="202">
        <v>3.7</v>
      </c>
      <c r="G176" s="202">
        <v>2.6</v>
      </c>
      <c r="H176" s="202">
        <v>6.8</v>
      </c>
      <c r="I176" s="202">
        <v>14.8</v>
      </c>
      <c r="J176" s="202">
        <v>76.8</v>
      </c>
      <c r="K176" s="202">
        <v>23.4</v>
      </c>
      <c r="L176" s="202">
        <v>65</v>
      </c>
      <c r="M176" s="206" t="s">
        <v>97</v>
      </c>
      <c r="N176" s="206" t="s">
        <v>97</v>
      </c>
      <c r="O176" s="57" t="s">
        <v>97</v>
      </c>
      <c r="P176" s="56" t="s">
        <v>97</v>
      </c>
      <c r="Q176" s="57">
        <v>31</v>
      </c>
      <c r="R176" s="337">
        <f t="shared" si="2"/>
        <v>2.0870967741935487</v>
      </c>
      <c r="S176" s="58">
        <f>T176/181</f>
        <v>0.88397790055248615</v>
      </c>
      <c r="T176" s="59">
        <v>160</v>
      </c>
      <c r="U176" s="198" t="s">
        <v>339</v>
      </c>
      <c r="V176" s="322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>
      <c r="A177" s="266" t="s">
        <v>54</v>
      </c>
      <c r="B177" s="56" t="s">
        <v>265</v>
      </c>
      <c r="C177" s="334">
        <v>25</v>
      </c>
      <c r="D177" s="330">
        <v>8.5399999999999991</v>
      </c>
      <c r="E177" s="264">
        <v>13.8</v>
      </c>
      <c r="F177" s="335">
        <v>9</v>
      </c>
      <c r="G177" s="335">
        <v>15.2</v>
      </c>
      <c r="H177" s="335">
        <v>7.9</v>
      </c>
      <c r="I177" s="335">
        <v>39</v>
      </c>
      <c r="J177" s="335">
        <v>2.8</v>
      </c>
      <c r="K177" s="335">
        <v>21.3</v>
      </c>
      <c r="L177" s="335">
        <v>25</v>
      </c>
      <c r="M177" s="206" t="s">
        <v>97</v>
      </c>
      <c r="N177" s="206" t="s">
        <v>97</v>
      </c>
      <c r="O177" s="57" t="s">
        <v>97</v>
      </c>
      <c r="P177" s="56" t="s">
        <v>97</v>
      </c>
      <c r="Q177" s="57">
        <v>29</v>
      </c>
      <c r="R177" s="337">
        <f t="shared" si="2"/>
        <v>2.1014492753623188</v>
      </c>
      <c r="S177" s="58">
        <f>T177/181</f>
        <v>0.88950276243093918</v>
      </c>
      <c r="T177" s="59">
        <v>161</v>
      </c>
      <c r="U177" s="336" t="s">
        <v>338</v>
      </c>
      <c r="V177" s="322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>
      <c r="A178" s="266" t="s">
        <v>54</v>
      </c>
      <c r="B178" s="56" t="s">
        <v>261</v>
      </c>
      <c r="C178" s="334">
        <v>25</v>
      </c>
      <c r="D178" s="331">
        <v>6.98</v>
      </c>
      <c r="E178" s="264">
        <v>88.5</v>
      </c>
      <c r="F178" s="335">
        <v>9.5</v>
      </c>
      <c r="G178" s="335">
        <v>17.100000000000001</v>
      </c>
      <c r="H178" s="335">
        <v>7.9</v>
      </c>
      <c r="I178" s="335">
        <v>44.3</v>
      </c>
      <c r="J178" s="335">
        <v>2.7</v>
      </c>
      <c r="K178" s="335">
        <v>19.899999999999999</v>
      </c>
      <c r="L178" s="335">
        <v>47.3</v>
      </c>
      <c r="M178" s="206" t="s">
        <v>97</v>
      </c>
      <c r="N178" s="206" t="s">
        <v>97</v>
      </c>
      <c r="O178" s="57" t="s">
        <v>97</v>
      </c>
      <c r="P178" s="56" t="s">
        <v>97</v>
      </c>
      <c r="Q178" s="57">
        <v>41</v>
      </c>
      <c r="R178" s="337">
        <f t="shared" si="2"/>
        <v>2.1585365853658538</v>
      </c>
      <c r="S178" s="58">
        <f>T178/181</f>
        <v>0.91712707182320441</v>
      </c>
      <c r="T178" s="59">
        <v>166</v>
      </c>
      <c r="U178" s="333" t="s">
        <v>338</v>
      </c>
      <c r="V178" s="322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:41">
      <c r="A179" s="266" t="s">
        <v>54</v>
      </c>
      <c r="B179" s="56" t="s">
        <v>281</v>
      </c>
      <c r="C179" s="334">
        <v>23</v>
      </c>
      <c r="D179" s="331">
        <v>5.75</v>
      </c>
      <c r="E179" s="264">
        <v>169</v>
      </c>
      <c r="F179" s="335">
        <v>6.7</v>
      </c>
      <c r="G179" s="335">
        <v>1.51</v>
      </c>
      <c r="H179" s="335">
        <v>0.79</v>
      </c>
      <c r="I179" s="335">
        <v>4.42</v>
      </c>
      <c r="J179" s="335">
        <v>0.59</v>
      </c>
      <c r="K179" s="335">
        <v>17.5</v>
      </c>
      <c r="L179" s="335">
        <v>33.700000000000003</v>
      </c>
      <c r="M179" s="206" t="s">
        <v>97</v>
      </c>
      <c r="N179" s="206" t="s">
        <v>97</v>
      </c>
      <c r="O179" s="57" t="s">
        <v>97</v>
      </c>
      <c r="P179" s="56" t="s">
        <v>97</v>
      </c>
      <c r="Q179" s="57">
        <v>368.40725999999995</v>
      </c>
      <c r="R179" s="337">
        <f t="shared" si="2"/>
        <v>2.179924615384615</v>
      </c>
      <c r="S179" s="58">
        <f>T179/181</f>
        <v>0.92265193370165743</v>
      </c>
      <c r="T179" s="59">
        <v>167</v>
      </c>
      <c r="U179" s="333" t="s">
        <v>305</v>
      </c>
      <c r="V179" s="322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:41">
      <c r="A180" s="266" t="s">
        <v>54</v>
      </c>
      <c r="B180" s="56" t="s">
        <v>266</v>
      </c>
      <c r="C180" s="334">
        <v>25</v>
      </c>
      <c r="D180" s="330">
        <v>8.27</v>
      </c>
      <c r="E180" s="264">
        <v>6.2</v>
      </c>
      <c r="F180" s="335">
        <v>4.5</v>
      </c>
      <c r="G180" s="335">
        <v>8.3000000000000007</v>
      </c>
      <c r="H180" s="335">
        <v>6.3</v>
      </c>
      <c r="I180" s="335">
        <v>40.799999999999997</v>
      </c>
      <c r="J180" s="335">
        <v>3.8</v>
      </c>
      <c r="K180" s="335">
        <v>14.1</v>
      </c>
      <c r="L180" s="335">
        <v>32.799999999999997</v>
      </c>
      <c r="M180" s="206" t="s">
        <v>97</v>
      </c>
      <c r="N180" s="206" t="s">
        <v>97</v>
      </c>
      <c r="O180" s="57" t="s">
        <v>97</v>
      </c>
      <c r="P180" s="56" t="s">
        <v>97</v>
      </c>
      <c r="Q180" s="57">
        <v>18</v>
      </c>
      <c r="R180" s="337">
        <f t="shared" si="2"/>
        <v>2.903225806451613</v>
      </c>
      <c r="S180" s="58">
        <f>T180/181</f>
        <v>0.97237569060773477</v>
      </c>
      <c r="T180" s="59">
        <v>176</v>
      </c>
      <c r="U180" s="336" t="s">
        <v>338</v>
      </c>
      <c r="V180" s="322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:41">
      <c r="A181" s="266" t="s">
        <v>54</v>
      </c>
      <c r="B181" s="56" t="s">
        <v>271</v>
      </c>
      <c r="C181" s="334">
        <v>25</v>
      </c>
      <c r="D181" s="330">
        <v>8.32</v>
      </c>
      <c r="E181" s="264">
        <v>34.200000000000003</v>
      </c>
      <c r="F181" s="335">
        <v>7</v>
      </c>
      <c r="G181" s="335">
        <v>159.1</v>
      </c>
      <c r="H181" s="335">
        <v>28.2</v>
      </c>
      <c r="I181" s="335">
        <v>55.7</v>
      </c>
      <c r="J181" s="335">
        <v>6.8</v>
      </c>
      <c r="K181" s="335">
        <v>172.3</v>
      </c>
      <c r="L181" s="335">
        <v>76.099999999999994</v>
      </c>
      <c r="M181" s="206" t="s">
        <v>97</v>
      </c>
      <c r="N181" s="206" t="s">
        <v>97</v>
      </c>
      <c r="O181" s="57" t="s">
        <v>97</v>
      </c>
      <c r="P181" s="56" t="s">
        <v>97</v>
      </c>
      <c r="Q181" s="57">
        <v>11</v>
      </c>
      <c r="R181" s="337">
        <f t="shared" si="2"/>
        <v>3.1090909090909093</v>
      </c>
      <c r="S181" s="58">
        <f>T181/181</f>
        <v>0.98895027624309395</v>
      </c>
      <c r="T181" s="59">
        <v>179</v>
      </c>
      <c r="U181" s="333" t="s">
        <v>338</v>
      </c>
      <c r="V181" s="322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:41">
      <c r="V182" s="32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1:41">
      <c r="V183" s="322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1:41">
      <c r="V184" s="322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1:41">
      <c r="V185" s="322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1:41">
      <c r="A186" s="55" t="s">
        <v>292</v>
      </c>
      <c r="V186" s="322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1:41">
      <c r="A187" s="55" t="s">
        <v>293</v>
      </c>
      <c r="V187" s="322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1:41">
      <c r="A188" s="55" t="s">
        <v>294</v>
      </c>
      <c r="V188" s="322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:41">
      <c r="A189" s="142" t="s">
        <v>289</v>
      </c>
      <c r="V189" s="322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:41">
      <c r="A190" s="142" t="s">
        <v>290</v>
      </c>
      <c r="V190" s="322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:41">
      <c r="A191" s="142" t="s">
        <v>295</v>
      </c>
      <c r="V191" s="322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1:41">
      <c r="A192" s="142" t="s">
        <v>296</v>
      </c>
      <c r="V192" s="32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:41">
      <c r="A193" s="142" t="s">
        <v>291</v>
      </c>
      <c r="V193" s="322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:41">
      <c r="V194" s="322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:41">
      <c r="V195" s="322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:41">
      <c r="V196" s="322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:41">
      <c r="V197" s="322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:41">
      <c r="V198" s="322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:41">
      <c r="V199" s="322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:41">
      <c r="V200" s="322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1:41">
      <c r="V201" s="322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1:41">
      <c r="V202" s="32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1:41">
      <c r="V203" s="322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1:41">
      <c r="V204" s="322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1:41">
      <c r="V205" s="322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1:41">
      <c r="V206" s="322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</sheetData>
  <sortState xmlns:xlrd2="http://schemas.microsoft.com/office/spreadsheetml/2017/richdata2" ref="A153:U181">
    <sortCondition ref="T153:T181"/>
  </sortState>
  <mergeCells count="1">
    <mergeCell ref="V8:W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162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6"/>
  <cols>
    <col min="1" max="1" width="10.83203125" style="1"/>
    <col min="2" max="2" width="27.6640625" style="1" bestFit="1" customWidth="1"/>
    <col min="3" max="3" width="17.6640625" style="1" bestFit="1" customWidth="1"/>
    <col min="4" max="4" width="15.1640625" style="1" bestFit="1" customWidth="1"/>
    <col min="5" max="5" width="17.6640625" style="1" bestFit="1" customWidth="1"/>
    <col min="6" max="6" width="16.83203125" style="1" bestFit="1" customWidth="1"/>
    <col min="7" max="7" width="11.6640625" style="1" bestFit="1" customWidth="1"/>
    <col min="8" max="8" width="9" style="1" bestFit="1" customWidth="1"/>
    <col min="9" max="9" width="20.5" style="1" bestFit="1" customWidth="1"/>
    <col min="10" max="10" width="18.83203125" style="1" bestFit="1" customWidth="1"/>
    <col min="11" max="11" width="8.1640625" style="3" bestFit="1" customWidth="1"/>
    <col min="12" max="12" width="8.1640625" style="1" bestFit="1" customWidth="1"/>
    <col min="13" max="13" width="6.6640625" style="1" bestFit="1" customWidth="1"/>
    <col min="14" max="15" width="9" style="1" bestFit="1" customWidth="1"/>
    <col min="16" max="16" width="9.5" style="1" bestFit="1" customWidth="1"/>
    <col min="17" max="20" width="9" style="1" bestFit="1" customWidth="1"/>
    <col min="21" max="21" width="7.1640625" style="1" customWidth="1"/>
    <col min="22" max="22" width="29.5" style="4" bestFit="1" customWidth="1"/>
    <col min="24" max="27" width="8.83203125"/>
    <col min="37" max="37" width="7.1640625" style="4" customWidth="1"/>
    <col min="38" max="16384" width="10.83203125" style="1"/>
  </cols>
  <sheetData>
    <row r="1" spans="1:37" s="4" customFormat="1" ht="15">
      <c r="B1" s="295" t="s">
        <v>186</v>
      </c>
      <c r="C1" s="295"/>
      <c r="D1" s="295"/>
      <c r="E1" s="295"/>
      <c r="F1" s="295"/>
      <c r="G1" s="295"/>
      <c r="H1" s="295"/>
      <c r="I1" s="295"/>
      <c r="J1" s="295"/>
      <c r="K1" s="296" t="s">
        <v>102</v>
      </c>
      <c r="L1" s="296"/>
      <c r="M1" s="290" t="s">
        <v>103</v>
      </c>
      <c r="N1" s="290"/>
      <c r="O1" s="290"/>
      <c r="P1" s="290"/>
      <c r="Q1" s="290"/>
      <c r="R1" s="290"/>
      <c r="S1" s="290"/>
      <c r="T1" s="290"/>
      <c r="U1" s="290"/>
      <c r="V1" s="46"/>
      <c r="X1" s="306"/>
      <c r="Y1" s="309"/>
      <c r="Z1" s="309"/>
      <c r="AA1" s="306"/>
      <c r="AK1" s="46"/>
    </row>
    <row r="2" spans="1:37" ht="16" customHeight="1">
      <c r="B2" s="291" t="s">
        <v>0</v>
      </c>
      <c r="C2" s="291" t="s">
        <v>115</v>
      </c>
      <c r="D2" s="291" t="s">
        <v>116</v>
      </c>
      <c r="E2" s="291" t="s">
        <v>117</v>
      </c>
      <c r="F2" s="291" t="s">
        <v>118</v>
      </c>
      <c r="G2" s="291" t="s">
        <v>119</v>
      </c>
      <c r="H2" s="291" t="s">
        <v>120</v>
      </c>
      <c r="I2" s="293" t="s">
        <v>1</v>
      </c>
      <c r="J2" s="293" t="s">
        <v>77</v>
      </c>
      <c r="K2" s="6" t="s">
        <v>2</v>
      </c>
      <c r="L2" s="6" t="s">
        <v>3</v>
      </c>
      <c r="M2" s="8" t="s">
        <v>6</v>
      </c>
      <c r="N2" s="9" t="s">
        <v>7</v>
      </c>
      <c r="O2" s="9" t="s">
        <v>8</v>
      </c>
      <c r="P2" s="9" t="s">
        <v>58</v>
      </c>
      <c r="Q2" s="9" t="s">
        <v>9</v>
      </c>
      <c r="R2" s="9" t="s">
        <v>10</v>
      </c>
      <c r="S2" s="9" t="s">
        <v>11</v>
      </c>
      <c r="T2" s="9" t="s">
        <v>12</v>
      </c>
      <c r="U2" s="288" t="s">
        <v>4</v>
      </c>
      <c r="V2" s="36"/>
      <c r="X2" s="306"/>
      <c r="Y2" s="309"/>
      <c r="Z2" s="309"/>
      <c r="AA2" s="306"/>
      <c r="AK2" s="36"/>
    </row>
    <row r="3" spans="1:37" s="4" customFormat="1" ht="46" thickBot="1">
      <c r="B3" s="292"/>
      <c r="C3" s="292"/>
      <c r="D3" s="292"/>
      <c r="E3" s="292"/>
      <c r="F3" s="292"/>
      <c r="G3" s="292"/>
      <c r="H3" s="292"/>
      <c r="I3" s="294"/>
      <c r="J3" s="294"/>
      <c r="K3" s="7" t="s">
        <v>13</v>
      </c>
      <c r="L3" s="7" t="s">
        <v>13</v>
      </c>
      <c r="M3" s="10" t="s">
        <v>14</v>
      </c>
      <c r="N3" s="11" t="s">
        <v>14</v>
      </c>
      <c r="O3" s="11" t="s">
        <v>14</v>
      </c>
      <c r="P3" s="11" t="s">
        <v>14</v>
      </c>
      <c r="Q3" s="11" t="s">
        <v>14</v>
      </c>
      <c r="R3" s="11" t="s">
        <v>14</v>
      </c>
      <c r="S3" s="11" t="s">
        <v>14</v>
      </c>
      <c r="T3" s="11" t="s">
        <v>14</v>
      </c>
      <c r="U3" s="289"/>
      <c r="V3" s="315" t="s">
        <v>301</v>
      </c>
      <c r="X3" s="306"/>
      <c r="Y3" s="309"/>
      <c r="Z3" s="309"/>
      <c r="AA3" s="306"/>
      <c r="AK3" s="36"/>
    </row>
    <row r="4" spans="1:37" ht="17" thickBot="1">
      <c r="A4" s="29" t="s">
        <v>188</v>
      </c>
      <c r="B4" s="98" t="s">
        <v>15</v>
      </c>
      <c r="C4" s="98"/>
      <c r="D4" s="98"/>
      <c r="E4" s="98"/>
      <c r="F4" s="98"/>
      <c r="G4" s="98"/>
      <c r="H4" s="98"/>
      <c r="I4" s="68"/>
      <c r="J4" s="68"/>
      <c r="K4" s="69"/>
      <c r="L4" s="69"/>
      <c r="M4" s="70"/>
      <c r="N4" s="71"/>
      <c r="O4" s="72"/>
      <c r="P4" s="72"/>
      <c r="Q4" s="71"/>
      <c r="R4" s="71"/>
      <c r="S4" s="72"/>
      <c r="T4" s="72"/>
      <c r="U4" s="70"/>
      <c r="V4" s="16"/>
      <c r="AK4" s="16"/>
    </row>
    <row r="5" spans="1:37">
      <c r="A5" s="29">
        <v>1</v>
      </c>
      <c r="B5" s="99" t="s">
        <v>31</v>
      </c>
      <c r="C5" s="99" t="s">
        <v>136</v>
      </c>
      <c r="D5" s="99" t="s">
        <v>30</v>
      </c>
      <c r="E5" s="99" t="s">
        <v>137</v>
      </c>
      <c r="F5" s="99" t="s">
        <v>121</v>
      </c>
      <c r="G5" s="99" t="s">
        <v>129</v>
      </c>
      <c r="H5" s="99" t="s">
        <v>130</v>
      </c>
      <c r="I5" s="66" t="s">
        <v>27</v>
      </c>
      <c r="J5" s="106" t="s">
        <v>97</v>
      </c>
      <c r="K5" s="67">
        <v>1.6E-2</v>
      </c>
      <c r="L5" s="67" t="s">
        <v>18</v>
      </c>
      <c r="M5" s="66">
        <v>1</v>
      </c>
      <c r="N5" s="66">
        <v>12.306751833923851</v>
      </c>
      <c r="O5" s="66">
        <v>3.7992182678461215</v>
      </c>
      <c r="P5" s="66">
        <f t="shared" ref="P5:P40" si="0">N5*2.497+O5*4.118</f>
        <v>46.375140156298187</v>
      </c>
      <c r="Q5" s="66">
        <v>0.10004349717268379</v>
      </c>
      <c r="R5" s="66">
        <v>0.10000511535116886</v>
      </c>
      <c r="S5" s="66">
        <v>0.1000395577855968</v>
      </c>
      <c r="T5" s="66">
        <v>0.10013256988125124</v>
      </c>
      <c r="U5" s="66">
        <v>7.56</v>
      </c>
      <c r="V5" s="312" t="s">
        <v>327</v>
      </c>
      <c r="AF5" s="12"/>
      <c r="AG5" s="1"/>
      <c r="AH5" s="1"/>
      <c r="AI5" s="1"/>
      <c r="AJ5" s="1"/>
      <c r="AK5" s="1"/>
    </row>
    <row r="6" spans="1:37">
      <c r="A6" s="29">
        <v>2</v>
      </c>
      <c r="B6" s="100" t="s">
        <v>31</v>
      </c>
      <c r="C6" s="99" t="s">
        <v>136</v>
      </c>
      <c r="D6" s="99" t="s">
        <v>30</v>
      </c>
      <c r="E6" s="99" t="s">
        <v>137</v>
      </c>
      <c r="F6" s="99" t="s">
        <v>121</v>
      </c>
      <c r="G6" s="99" t="s">
        <v>129</v>
      </c>
      <c r="H6" s="99" t="s">
        <v>130</v>
      </c>
      <c r="I6" s="61" t="s">
        <v>27</v>
      </c>
      <c r="J6" s="73" t="s">
        <v>97</v>
      </c>
      <c r="K6" s="64">
        <v>0.17199999999999999</v>
      </c>
      <c r="L6" s="64" t="s">
        <v>18</v>
      </c>
      <c r="M6" s="61">
        <v>1</v>
      </c>
      <c r="N6" s="61">
        <v>41.122561006038225</v>
      </c>
      <c r="O6" s="61">
        <v>12.497428512651718</v>
      </c>
      <c r="P6" s="61">
        <f t="shared" si="0"/>
        <v>154.14744544717723</v>
      </c>
      <c r="Q6" s="61">
        <v>0.10004349717268379</v>
      </c>
      <c r="R6" s="61">
        <v>0.10000511535116886</v>
      </c>
      <c r="S6" s="61">
        <v>0.1000395577855968</v>
      </c>
      <c r="T6" s="61">
        <v>0.10013256988125124</v>
      </c>
      <c r="U6" s="61">
        <v>7.5</v>
      </c>
      <c r="V6" s="312" t="s">
        <v>328</v>
      </c>
      <c r="AF6" s="12"/>
      <c r="AK6" s="1"/>
    </row>
    <row r="7" spans="1:37">
      <c r="A7" s="29">
        <v>3</v>
      </c>
      <c r="B7" s="100" t="s">
        <v>16</v>
      </c>
      <c r="C7" s="100" t="s">
        <v>122</v>
      </c>
      <c r="D7" s="100" t="s">
        <v>125</v>
      </c>
      <c r="E7" s="100" t="s">
        <v>127</v>
      </c>
      <c r="F7" s="100" t="s">
        <v>121</v>
      </c>
      <c r="G7" s="100" t="s">
        <v>129</v>
      </c>
      <c r="H7" s="100" t="s">
        <v>130</v>
      </c>
      <c r="I7" s="61" t="s">
        <v>17</v>
      </c>
      <c r="J7" s="63">
        <v>14</v>
      </c>
      <c r="K7" s="64">
        <v>2.9</v>
      </c>
      <c r="L7" s="65" t="s">
        <v>18</v>
      </c>
      <c r="M7" s="61">
        <v>0.3</v>
      </c>
      <c r="N7" s="61">
        <v>32.017565746793757</v>
      </c>
      <c r="O7" s="61">
        <v>4.8649185981741878</v>
      </c>
      <c r="P7" s="61">
        <f t="shared" si="0"/>
        <v>99.981596457025304</v>
      </c>
      <c r="Q7" s="61">
        <v>6.9030013049151808</v>
      </c>
      <c r="R7" s="61">
        <v>1.1531420941699124</v>
      </c>
      <c r="S7" s="61">
        <v>19.230990460358132</v>
      </c>
      <c r="T7" s="61">
        <v>57.923604479109116</v>
      </c>
      <c r="U7" s="61">
        <v>7.5</v>
      </c>
      <c r="V7" s="312" t="s">
        <v>319</v>
      </c>
      <c r="AF7" s="12"/>
      <c r="AK7" s="1"/>
    </row>
    <row r="8" spans="1:37">
      <c r="A8" s="29">
        <v>4</v>
      </c>
      <c r="B8" s="100" t="s">
        <v>16</v>
      </c>
      <c r="C8" s="100" t="s">
        <v>122</v>
      </c>
      <c r="D8" s="100" t="s">
        <v>125</v>
      </c>
      <c r="E8" s="100" t="s">
        <v>127</v>
      </c>
      <c r="F8" s="100" t="s">
        <v>121</v>
      </c>
      <c r="G8" s="100" t="s">
        <v>129</v>
      </c>
      <c r="H8" s="100" t="s">
        <v>130</v>
      </c>
      <c r="I8" s="61" t="s">
        <v>17</v>
      </c>
      <c r="J8" s="63">
        <v>14</v>
      </c>
      <c r="K8" s="64">
        <v>0.18</v>
      </c>
      <c r="L8" s="64" t="s">
        <v>18</v>
      </c>
      <c r="M8" s="61">
        <v>0.3</v>
      </c>
      <c r="N8" s="61">
        <v>32.017565746793757</v>
      </c>
      <c r="O8" s="61">
        <v>4.8649185981741878</v>
      </c>
      <c r="P8" s="61">
        <f t="shared" si="0"/>
        <v>99.981596457025304</v>
      </c>
      <c r="Q8" s="61">
        <v>6.9030013049151808</v>
      </c>
      <c r="R8" s="61">
        <v>1.1531420941699124</v>
      </c>
      <c r="S8" s="61">
        <v>19.230990460358132</v>
      </c>
      <c r="T8" s="61">
        <v>57.923604479109116</v>
      </c>
      <c r="U8" s="61">
        <v>7.5</v>
      </c>
      <c r="V8" s="312" t="s">
        <v>319</v>
      </c>
      <c r="AF8" s="12"/>
      <c r="AK8" s="1"/>
    </row>
    <row r="9" spans="1:37">
      <c r="A9" s="29">
        <v>5</v>
      </c>
      <c r="B9" s="100" t="s">
        <v>16</v>
      </c>
      <c r="C9" s="100" t="s">
        <v>122</v>
      </c>
      <c r="D9" s="100" t="s">
        <v>125</v>
      </c>
      <c r="E9" s="100" t="s">
        <v>127</v>
      </c>
      <c r="F9" s="100" t="s">
        <v>121</v>
      </c>
      <c r="G9" s="100" t="s">
        <v>129</v>
      </c>
      <c r="H9" s="100" t="s">
        <v>130</v>
      </c>
      <c r="I9" s="61" t="s">
        <v>17</v>
      </c>
      <c r="J9" s="63">
        <v>14</v>
      </c>
      <c r="K9" s="64">
        <v>0.72</v>
      </c>
      <c r="L9" s="64" t="s">
        <v>18</v>
      </c>
      <c r="M9" s="61">
        <v>0.3</v>
      </c>
      <c r="N9" s="61">
        <v>32.017565746793757</v>
      </c>
      <c r="O9" s="61">
        <v>4.8649185981741878</v>
      </c>
      <c r="P9" s="61">
        <f t="shared" si="0"/>
        <v>99.981596457025304</v>
      </c>
      <c r="Q9" s="61">
        <v>6.9030013049151808</v>
      </c>
      <c r="R9" s="61">
        <v>1.1531420941699124</v>
      </c>
      <c r="S9" s="61">
        <v>19.230990460358132</v>
      </c>
      <c r="T9" s="61">
        <v>57.923604479109116</v>
      </c>
      <c r="U9" s="61">
        <v>7.5</v>
      </c>
      <c r="V9" s="312" t="s">
        <v>319</v>
      </c>
      <c r="AF9" s="12"/>
      <c r="AK9" s="1"/>
    </row>
    <row r="10" spans="1:37">
      <c r="A10" s="29">
        <v>6</v>
      </c>
      <c r="B10" s="100" t="s">
        <v>16</v>
      </c>
      <c r="C10" s="100" t="s">
        <v>122</v>
      </c>
      <c r="D10" s="100" t="s">
        <v>125</v>
      </c>
      <c r="E10" s="100" t="s">
        <v>127</v>
      </c>
      <c r="F10" s="100" t="s">
        <v>121</v>
      </c>
      <c r="G10" s="100" t="s">
        <v>129</v>
      </c>
      <c r="H10" s="100" t="s">
        <v>130</v>
      </c>
      <c r="I10" s="61" t="s">
        <v>17</v>
      </c>
      <c r="J10" s="63">
        <v>14</v>
      </c>
      <c r="K10" s="64">
        <v>0.18</v>
      </c>
      <c r="L10" s="64" t="s">
        <v>18</v>
      </c>
      <c r="M10" s="61">
        <v>0.3</v>
      </c>
      <c r="N10" s="61">
        <v>32.017565746793757</v>
      </c>
      <c r="O10" s="61">
        <v>4.8649185981741878</v>
      </c>
      <c r="P10" s="61">
        <f t="shared" si="0"/>
        <v>99.981596457025304</v>
      </c>
      <c r="Q10" s="61">
        <v>6.9030013049151808</v>
      </c>
      <c r="R10" s="61">
        <v>1.1531420941699124</v>
      </c>
      <c r="S10" s="61">
        <v>19.230990460358132</v>
      </c>
      <c r="T10" s="61">
        <v>57.923604479109116</v>
      </c>
      <c r="U10" s="61">
        <v>7.5</v>
      </c>
      <c r="V10" s="312" t="s">
        <v>319</v>
      </c>
      <c r="AF10" s="12"/>
      <c r="AK10" s="1"/>
    </row>
    <row r="11" spans="1:37">
      <c r="A11" s="29">
        <v>7</v>
      </c>
      <c r="B11" s="100" t="s">
        <v>16</v>
      </c>
      <c r="C11" s="100" t="s">
        <v>122</v>
      </c>
      <c r="D11" s="100" t="s">
        <v>125</v>
      </c>
      <c r="E11" s="100" t="s">
        <v>127</v>
      </c>
      <c r="F11" s="100" t="s">
        <v>121</v>
      </c>
      <c r="G11" s="100" t="s">
        <v>129</v>
      </c>
      <c r="H11" s="100" t="s">
        <v>130</v>
      </c>
      <c r="I11" s="61" t="s">
        <v>17</v>
      </c>
      <c r="J11" s="63">
        <v>14</v>
      </c>
      <c r="K11" s="64">
        <v>0.18</v>
      </c>
      <c r="L11" s="64" t="s">
        <v>18</v>
      </c>
      <c r="M11" s="61">
        <v>0.3</v>
      </c>
      <c r="N11" s="61">
        <v>32.017565746793757</v>
      </c>
      <c r="O11" s="61">
        <v>4.8649185981741878</v>
      </c>
      <c r="P11" s="61">
        <f t="shared" si="0"/>
        <v>99.981596457025304</v>
      </c>
      <c r="Q11" s="61">
        <v>6.9030013049151808</v>
      </c>
      <c r="R11" s="61">
        <v>1.1531420941699124</v>
      </c>
      <c r="S11" s="61">
        <v>19.230990460358132</v>
      </c>
      <c r="T11" s="61">
        <v>57.923604479109116</v>
      </c>
      <c r="U11" s="61">
        <v>7.5</v>
      </c>
      <c r="V11" s="312" t="s">
        <v>319</v>
      </c>
      <c r="AF11" s="12"/>
      <c r="AK11" s="1"/>
    </row>
    <row r="12" spans="1:37">
      <c r="A12" s="29">
        <v>8</v>
      </c>
      <c r="B12" s="100" t="s">
        <v>16</v>
      </c>
      <c r="C12" s="100" t="s">
        <v>122</v>
      </c>
      <c r="D12" s="100" t="s">
        <v>125</v>
      </c>
      <c r="E12" s="100" t="s">
        <v>127</v>
      </c>
      <c r="F12" s="100" t="s">
        <v>121</v>
      </c>
      <c r="G12" s="100" t="s">
        <v>129</v>
      </c>
      <c r="H12" s="100" t="s">
        <v>130</v>
      </c>
      <c r="I12" s="61" t="s">
        <v>17</v>
      </c>
      <c r="J12" s="63">
        <v>14</v>
      </c>
      <c r="K12" s="64">
        <v>0.18</v>
      </c>
      <c r="L12" s="64" t="s">
        <v>18</v>
      </c>
      <c r="M12" s="61">
        <v>0.3</v>
      </c>
      <c r="N12" s="61">
        <v>32.017565746793757</v>
      </c>
      <c r="O12" s="61">
        <v>4.8649185981741878</v>
      </c>
      <c r="P12" s="61">
        <f t="shared" si="0"/>
        <v>99.981596457025304</v>
      </c>
      <c r="Q12" s="61">
        <v>6.9030013049151808</v>
      </c>
      <c r="R12" s="61">
        <v>1.1531420941699124</v>
      </c>
      <c r="S12" s="61">
        <v>19.230990460358132</v>
      </c>
      <c r="T12" s="61">
        <v>57.923604479109116</v>
      </c>
      <c r="U12" s="61">
        <v>7.5</v>
      </c>
      <c r="V12" s="312" t="s">
        <v>319</v>
      </c>
      <c r="AF12" s="12"/>
      <c r="AK12" s="1"/>
    </row>
    <row r="13" spans="1:37">
      <c r="A13" s="29">
        <v>9</v>
      </c>
      <c r="B13" s="100" t="s">
        <v>16</v>
      </c>
      <c r="C13" s="100" t="s">
        <v>122</v>
      </c>
      <c r="D13" s="100" t="s">
        <v>125</v>
      </c>
      <c r="E13" s="100" t="s">
        <v>127</v>
      </c>
      <c r="F13" s="100" t="s">
        <v>121</v>
      </c>
      <c r="G13" s="100" t="s">
        <v>129</v>
      </c>
      <c r="H13" s="100" t="s">
        <v>130</v>
      </c>
      <c r="I13" s="61" t="s">
        <v>17</v>
      </c>
      <c r="J13" s="63">
        <v>14</v>
      </c>
      <c r="K13" s="64">
        <v>2.9</v>
      </c>
      <c r="L13" s="64" t="s">
        <v>18</v>
      </c>
      <c r="M13" s="61">
        <v>0.3</v>
      </c>
      <c r="N13" s="61">
        <v>32.017565746793757</v>
      </c>
      <c r="O13" s="61">
        <v>4.8649185981741878</v>
      </c>
      <c r="P13" s="61">
        <f t="shared" si="0"/>
        <v>99.981596457025304</v>
      </c>
      <c r="Q13" s="61">
        <v>6.9030013049151808</v>
      </c>
      <c r="R13" s="61">
        <v>1.1531420941699124</v>
      </c>
      <c r="S13" s="61">
        <v>19.230990460358132</v>
      </c>
      <c r="T13" s="61">
        <v>57.923604479109116</v>
      </c>
      <c r="U13" s="61">
        <v>7.5</v>
      </c>
      <c r="V13" s="312" t="s">
        <v>319</v>
      </c>
      <c r="AF13" s="12"/>
      <c r="AK13" s="1"/>
    </row>
    <row r="14" spans="1:37">
      <c r="A14" s="29">
        <v>10</v>
      </c>
      <c r="B14" s="100" t="s">
        <v>16</v>
      </c>
      <c r="C14" s="100" t="s">
        <v>122</v>
      </c>
      <c r="D14" s="100" t="s">
        <v>125</v>
      </c>
      <c r="E14" s="100" t="s">
        <v>127</v>
      </c>
      <c r="F14" s="100" t="s">
        <v>121</v>
      </c>
      <c r="G14" s="100" t="s">
        <v>129</v>
      </c>
      <c r="H14" s="100" t="s">
        <v>130</v>
      </c>
      <c r="I14" s="61" t="s">
        <v>17</v>
      </c>
      <c r="J14" s="63">
        <v>14</v>
      </c>
      <c r="K14" s="64">
        <v>2.9</v>
      </c>
      <c r="L14" s="64" t="s">
        <v>18</v>
      </c>
      <c r="M14" s="61">
        <v>0.3</v>
      </c>
      <c r="N14" s="61">
        <v>32.017565746793757</v>
      </c>
      <c r="O14" s="61">
        <v>4.8649185981741878</v>
      </c>
      <c r="P14" s="61">
        <f t="shared" si="0"/>
        <v>99.981596457025304</v>
      </c>
      <c r="Q14" s="61">
        <v>6.9030013049151808</v>
      </c>
      <c r="R14" s="61">
        <v>1.1531420941699124</v>
      </c>
      <c r="S14" s="61">
        <v>19.230990460358132</v>
      </c>
      <c r="T14" s="61">
        <v>57.923604479109116</v>
      </c>
      <c r="U14" s="61">
        <v>7.5</v>
      </c>
      <c r="V14" s="312" t="s">
        <v>319</v>
      </c>
      <c r="AF14" s="12"/>
      <c r="AG14" s="1"/>
      <c r="AH14" s="1"/>
      <c r="AI14" s="1"/>
      <c r="AJ14" s="1"/>
      <c r="AK14" s="1"/>
    </row>
    <row r="15" spans="1:37">
      <c r="A15" s="29">
        <v>11</v>
      </c>
      <c r="B15" s="100" t="s">
        <v>16</v>
      </c>
      <c r="C15" s="100" t="s">
        <v>122</v>
      </c>
      <c r="D15" s="100" t="s">
        <v>125</v>
      </c>
      <c r="E15" s="100" t="s">
        <v>127</v>
      </c>
      <c r="F15" s="100" t="s">
        <v>121</v>
      </c>
      <c r="G15" s="100" t="s">
        <v>129</v>
      </c>
      <c r="H15" s="100" t="s">
        <v>130</v>
      </c>
      <c r="I15" s="61" t="s">
        <v>17</v>
      </c>
      <c r="J15" s="63">
        <v>14</v>
      </c>
      <c r="K15" s="64">
        <v>1.4</v>
      </c>
      <c r="L15" s="64" t="s">
        <v>18</v>
      </c>
      <c r="M15" s="61">
        <v>0.3</v>
      </c>
      <c r="N15" s="61">
        <v>32.017565746793757</v>
      </c>
      <c r="O15" s="61">
        <v>4.8649185981741878</v>
      </c>
      <c r="P15" s="61">
        <f t="shared" si="0"/>
        <v>99.981596457025304</v>
      </c>
      <c r="Q15" s="61">
        <v>6.9030013049151808</v>
      </c>
      <c r="R15" s="61">
        <v>1.1531420941699124</v>
      </c>
      <c r="S15" s="61">
        <v>19.230990460358132</v>
      </c>
      <c r="T15" s="61">
        <v>57.923604479109116</v>
      </c>
      <c r="U15" s="61">
        <v>7.5</v>
      </c>
      <c r="V15" s="312" t="s">
        <v>319</v>
      </c>
      <c r="AF15" s="12"/>
      <c r="AG15" s="1"/>
      <c r="AH15" s="1"/>
      <c r="AI15" s="1"/>
      <c r="AJ15" s="1"/>
      <c r="AK15" s="1"/>
    </row>
    <row r="16" spans="1:37">
      <c r="A16" s="29">
        <v>12</v>
      </c>
      <c r="B16" s="100" t="s">
        <v>19</v>
      </c>
      <c r="C16" s="100" t="s">
        <v>123</v>
      </c>
      <c r="D16" s="100" t="s">
        <v>126</v>
      </c>
      <c r="E16" s="100" t="s">
        <v>128</v>
      </c>
      <c r="F16" s="100" t="s">
        <v>121</v>
      </c>
      <c r="G16" s="100" t="s">
        <v>129</v>
      </c>
      <c r="H16" s="100" t="s">
        <v>130</v>
      </c>
      <c r="I16" s="61" t="s">
        <v>20</v>
      </c>
      <c r="J16" s="63">
        <v>98</v>
      </c>
      <c r="K16" s="64">
        <v>2.5999999999999999E-2</v>
      </c>
      <c r="L16" s="64" t="s">
        <v>18</v>
      </c>
      <c r="M16" s="61">
        <v>1</v>
      </c>
      <c r="N16" s="61">
        <v>12.907723327970455</v>
      </c>
      <c r="O16" s="61">
        <v>2.8994031000000002</v>
      </c>
      <c r="P16" s="61">
        <f t="shared" si="0"/>
        <v>44.170327115742225</v>
      </c>
      <c r="Q16" s="61">
        <v>1.1304815653640716</v>
      </c>
      <c r="R16" s="61">
        <v>0.53009879843105279</v>
      </c>
      <c r="S16" s="61">
        <v>3.4013449647102911</v>
      </c>
      <c r="T16" s="61">
        <v>1.2216174799999999</v>
      </c>
      <c r="U16" s="61">
        <v>7.5</v>
      </c>
      <c r="V16" s="312" t="s">
        <v>320</v>
      </c>
      <c r="AF16" s="12"/>
      <c r="AG16" s="22"/>
      <c r="AH16" s="1"/>
      <c r="AI16" s="1"/>
      <c r="AJ16" s="1"/>
      <c r="AK16" s="1"/>
    </row>
    <row r="17" spans="1:37">
      <c r="A17" s="29">
        <v>13</v>
      </c>
      <c r="B17" s="100" t="s">
        <v>26</v>
      </c>
      <c r="C17" s="100" t="s">
        <v>131</v>
      </c>
      <c r="D17" s="100" t="s">
        <v>25</v>
      </c>
      <c r="E17" s="100" t="s">
        <v>133</v>
      </c>
      <c r="F17" s="100" t="s">
        <v>121</v>
      </c>
      <c r="G17" s="100" t="s">
        <v>129</v>
      </c>
      <c r="H17" s="100" t="s">
        <v>130</v>
      </c>
      <c r="I17" s="61" t="s">
        <v>27</v>
      </c>
      <c r="J17" s="63">
        <v>25</v>
      </c>
      <c r="K17" s="64">
        <v>3.5999999999999997E-2</v>
      </c>
      <c r="L17" s="64" t="s">
        <v>18</v>
      </c>
      <c r="M17" s="61">
        <v>1</v>
      </c>
      <c r="N17" s="61">
        <v>6.9041329476121565</v>
      </c>
      <c r="O17" s="61">
        <v>2.0995678710000001</v>
      </c>
      <c r="P17" s="61">
        <f t="shared" si="0"/>
        <v>25.885640462965554</v>
      </c>
      <c r="Q17" s="61">
        <v>3.0013049151805133</v>
      </c>
      <c r="R17" s="61">
        <v>0.10000511535116886</v>
      </c>
      <c r="S17" s="61">
        <v>30.011867335679042</v>
      </c>
      <c r="T17" s="61">
        <v>0.10013256988125124</v>
      </c>
      <c r="U17" s="61">
        <v>6.8</v>
      </c>
      <c r="V17" s="312" t="s">
        <v>323</v>
      </c>
      <c r="AF17" s="12"/>
      <c r="AG17" s="22"/>
      <c r="AH17" s="1"/>
      <c r="AI17" s="1"/>
      <c r="AJ17" s="1"/>
      <c r="AK17" s="1"/>
    </row>
    <row r="18" spans="1:37">
      <c r="A18" s="29">
        <v>14</v>
      </c>
      <c r="B18" s="100" t="s">
        <v>26</v>
      </c>
      <c r="C18" s="100" t="s">
        <v>131</v>
      </c>
      <c r="D18" s="100" t="s">
        <v>25</v>
      </c>
      <c r="E18" s="100" t="s">
        <v>133</v>
      </c>
      <c r="F18" s="100" t="s">
        <v>121</v>
      </c>
      <c r="G18" s="100" t="s">
        <v>129</v>
      </c>
      <c r="H18" s="100" t="s">
        <v>130</v>
      </c>
      <c r="I18" s="61" t="s">
        <v>27</v>
      </c>
      <c r="J18" s="63">
        <v>30</v>
      </c>
      <c r="K18" s="64">
        <v>3.2000000000000001E-2</v>
      </c>
      <c r="L18" s="64" t="s">
        <v>18</v>
      </c>
      <c r="M18" s="61">
        <v>0.3</v>
      </c>
      <c r="N18" s="61">
        <v>8.8625422426268781</v>
      </c>
      <c r="O18" s="61">
        <v>1.8221250771446202</v>
      </c>
      <c r="P18" s="61">
        <f t="shared" si="0"/>
        <v>29.633279047520862</v>
      </c>
      <c r="Q18" s="61">
        <v>17.78673336233145</v>
      </c>
      <c r="R18" s="61">
        <v>2.1897120057291937</v>
      </c>
      <c r="S18" s="61">
        <v>11.812670983323271</v>
      </c>
      <c r="T18" s="61">
        <v>18.271190026231913</v>
      </c>
      <c r="U18" s="61">
        <v>7.45</v>
      </c>
      <c r="V18" s="312" t="s">
        <v>324</v>
      </c>
      <c r="AF18" s="12"/>
      <c r="AG18" s="22"/>
      <c r="AH18" s="1"/>
      <c r="AI18" s="1"/>
      <c r="AJ18" s="1"/>
      <c r="AK18" s="1"/>
    </row>
    <row r="19" spans="1:37">
      <c r="A19" s="29">
        <v>15</v>
      </c>
      <c r="B19" s="100" t="s">
        <v>26</v>
      </c>
      <c r="C19" s="100" t="s">
        <v>131</v>
      </c>
      <c r="D19" s="100" t="s">
        <v>25</v>
      </c>
      <c r="E19" s="100" t="s">
        <v>133</v>
      </c>
      <c r="F19" s="100" t="s">
        <v>121</v>
      </c>
      <c r="G19" s="100" t="s">
        <v>129</v>
      </c>
      <c r="H19" s="100" t="s">
        <v>130</v>
      </c>
      <c r="I19" s="61" t="s">
        <v>27</v>
      </c>
      <c r="J19" s="63">
        <v>30</v>
      </c>
      <c r="K19" s="64">
        <v>0.09</v>
      </c>
      <c r="L19" s="64" t="s">
        <v>18</v>
      </c>
      <c r="M19" s="61">
        <v>0.3</v>
      </c>
      <c r="N19" s="61">
        <v>7.9000942162782577</v>
      </c>
      <c r="O19" s="61">
        <v>75.824698210244804</v>
      </c>
      <c r="P19" s="61">
        <f t="shared" si="0"/>
        <v>331.97264248783495</v>
      </c>
      <c r="Q19" s="61">
        <v>18.914223575467592</v>
      </c>
      <c r="R19" s="61">
        <v>1.9551000051153513</v>
      </c>
      <c r="S19" s="61">
        <v>11.52455705690075</v>
      </c>
      <c r="T19" s="61">
        <v>230.30941669252249</v>
      </c>
      <c r="U19" s="61">
        <v>7.39</v>
      </c>
      <c r="V19" s="312" t="s">
        <v>324</v>
      </c>
      <c r="AF19" s="12"/>
      <c r="AG19" s="22"/>
      <c r="AH19" s="1"/>
      <c r="AI19" s="1"/>
      <c r="AJ19" s="1"/>
      <c r="AK19" s="1"/>
    </row>
    <row r="20" spans="1:37">
      <c r="A20" s="29">
        <v>16</v>
      </c>
      <c r="B20" s="100" t="s">
        <v>26</v>
      </c>
      <c r="C20" s="100" t="s">
        <v>131</v>
      </c>
      <c r="D20" s="100" t="s">
        <v>25</v>
      </c>
      <c r="E20" s="100" t="s">
        <v>133</v>
      </c>
      <c r="F20" s="100" t="s">
        <v>121</v>
      </c>
      <c r="G20" s="100" t="s">
        <v>129</v>
      </c>
      <c r="H20" s="100" t="s">
        <v>130</v>
      </c>
      <c r="I20" s="61" t="s">
        <v>27</v>
      </c>
      <c r="J20" s="63">
        <v>30</v>
      </c>
      <c r="K20" s="64">
        <v>9.5000000000000001E-2</v>
      </c>
      <c r="L20" s="64" t="s">
        <v>18</v>
      </c>
      <c r="M20" s="61">
        <v>0.3</v>
      </c>
      <c r="N20" s="61">
        <v>9.1432562503118913</v>
      </c>
      <c r="O20" s="61">
        <v>1.7492400740588356</v>
      </c>
      <c r="P20" s="61">
        <f t="shared" si="0"/>
        <v>30.034081482003078</v>
      </c>
      <c r="Q20" s="61">
        <v>107.11157024793388</v>
      </c>
      <c r="R20" s="61">
        <v>2.0333040053199651</v>
      </c>
      <c r="S20" s="61">
        <v>11.716633007849097</v>
      </c>
      <c r="T20" s="61">
        <v>178.44625278537785</v>
      </c>
      <c r="U20" s="61">
        <v>7.49</v>
      </c>
      <c r="V20" s="312" t="s">
        <v>324</v>
      </c>
      <c r="AF20" s="12"/>
      <c r="AG20" s="22"/>
      <c r="AH20" s="1"/>
      <c r="AI20" s="1"/>
      <c r="AJ20" s="1"/>
      <c r="AK20" s="1"/>
    </row>
    <row r="21" spans="1:37">
      <c r="A21" s="29">
        <v>17</v>
      </c>
      <c r="B21" s="100" t="s">
        <v>26</v>
      </c>
      <c r="C21" s="100" t="s">
        <v>131</v>
      </c>
      <c r="D21" s="100" t="s">
        <v>25</v>
      </c>
      <c r="E21" s="100" t="s">
        <v>133</v>
      </c>
      <c r="F21" s="100" t="s">
        <v>121</v>
      </c>
      <c r="G21" s="100" t="s">
        <v>129</v>
      </c>
      <c r="H21" s="100" t="s">
        <v>130</v>
      </c>
      <c r="I21" s="61" t="s">
        <v>27</v>
      </c>
      <c r="J21" s="63">
        <v>30</v>
      </c>
      <c r="K21" s="64">
        <v>0.97399999999999998</v>
      </c>
      <c r="L21" s="64" t="s">
        <v>18</v>
      </c>
      <c r="M21" s="61">
        <v>0.3</v>
      </c>
      <c r="N21" s="61">
        <v>73.948090024452327</v>
      </c>
      <c r="O21" s="61">
        <v>1.3848150586299117</v>
      </c>
      <c r="P21" s="61">
        <f t="shared" si="0"/>
        <v>190.35104920249543</v>
      </c>
      <c r="Q21" s="61">
        <v>15.66981296215746</v>
      </c>
      <c r="R21" s="61">
        <v>1.5249780039899741</v>
      </c>
      <c r="S21" s="61">
        <v>12.292860860694136</v>
      </c>
      <c r="T21" s="61">
        <v>144.78318477984942</v>
      </c>
      <c r="U21" s="61">
        <v>7.87</v>
      </c>
      <c r="V21" s="312" t="s">
        <v>324</v>
      </c>
      <c r="AF21" s="12"/>
      <c r="AG21" s="22"/>
      <c r="AH21" s="1"/>
      <c r="AI21" s="1"/>
      <c r="AJ21" s="1"/>
      <c r="AK21" s="1"/>
    </row>
    <row r="22" spans="1:37">
      <c r="A22" s="29">
        <v>18</v>
      </c>
      <c r="B22" s="100" t="s">
        <v>26</v>
      </c>
      <c r="C22" s="100" t="s">
        <v>131</v>
      </c>
      <c r="D22" s="100" t="s">
        <v>25</v>
      </c>
      <c r="E22" s="100" t="s">
        <v>133</v>
      </c>
      <c r="F22" s="100" t="s">
        <v>121</v>
      </c>
      <c r="G22" s="100" t="s">
        <v>129</v>
      </c>
      <c r="H22" s="100" t="s">
        <v>130</v>
      </c>
      <c r="I22" s="61" t="s">
        <v>27</v>
      </c>
      <c r="J22" s="63">
        <v>30</v>
      </c>
      <c r="K22" s="64">
        <v>7.9000000000000001E-2</v>
      </c>
      <c r="L22" s="64" t="s">
        <v>18</v>
      </c>
      <c r="M22" s="61">
        <v>0.3</v>
      </c>
      <c r="N22" s="61">
        <v>9.1432562503118913</v>
      </c>
      <c r="O22" s="61">
        <v>1.5305850648014814</v>
      </c>
      <c r="P22" s="61">
        <f t="shared" si="0"/>
        <v>29.133660153881291</v>
      </c>
      <c r="Q22" s="61">
        <v>18.269943453675513</v>
      </c>
      <c r="R22" s="61">
        <v>2.1115080055245792</v>
      </c>
      <c r="S22" s="61">
        <v>11.140405155004061</v>
      </c>
      <c r="T22" s="61">
        <v>16.209460412376949</v>
      </c>
      <c r="U22" s="61">
        <v>7.61</v>
      </c>
      <c r="V22" s="312" t="s">
        <v>324</v>
      </c>
      <c r="AF22" s="12"/>
      <c r="AG22" s="22"/>
      <c r="AH22" s="1"/>
      <c r="AI22" s="1"/>
      <c r="AJ22" s="1"/>
      <c r="AK22" s="1"/>
    </row>
    <row r="23" spans="1:37">
      <c r="A23" s="29">
        <v>19</v>
      </c>
      <c r="B23" s="100" t="s">
        <v>26</v>
      </c>
      <c r="C23" s="100" t="s">
        <v>131</v>
      </c>
      <c r="D23" s="100" t="s">
        <v>25</v>
      </c>
      <c r="E23" s="100" t="s">
        <v>133</v>
      </c>
      <c r="F23" s="100" t="s">
        <v>121</v>
      </c>
      <c r="G23" s="100" t="s">
        <v>129</v>
      </c>
      <c r="H23" s="100" t="s">
        <v>130</v>
      </c>
      <c r="I23" s="61" t="s">
        <v>27</v>
      </c>
      <c r="J23" s="63">
        <v>30</v>
      </c>
      <c r="K23" s="64">
        <v>0.16900000000000001</v>
      </c>
      <c r="L23" s="64" t="s">
        <v>18</v>
      </c>
      <c r="M23" s="61">
        <v>0.3</v>
      </c>
      <c r="N23" s="61">
        <v>38.217207046259787</v>
      </c>
      <c r="O23" s="61">
        <v>1.6520600699444559</v>
      </c>
      <c r="P23" s="61">
        <f t="shared" si="0"/>
        <v>102.23154936254195</v>
      </c>
      <c r="Q23" s="61">
        <v>17.027403218790777</v>
      </c>
      <c r="R23" s="61">
        <v>1.9159980050130443</v>
      </c>
      <c r="S23" s="61">
        <v>11.716633007849097</v>
      </c>
      <c r="T23" s="61">
        <v>69.245677375680472</v>
      </c>
      <c r="U23" s="61">
        <v>7.58</v>
      </c>
      <c r="V23" s="312" t="s">
        <v>324</v>
      </c>
      <c r="AF23" s="12"/>
      <c r="AG23" s="1"/>
      <c r="AH23" s="1"/>
      <c r="AI23" s="1"/>
      <c r="AJ23" s="1"/>
      <c r="AK23" s="1"/>
    </row>
    <row r="24" spans="1:37">
      <c r="A24" s="29">
        <v>20</v>
      </c>
      <c r="B24" s="100" t="s">
        <v>26</v>
      </c>
      <c r="C24" s="100" t="s">
        <v>131</v>
      </c>
      <c r="D24" s="100" t="s">
        <v>25</v>
      </c>
      <c r="E24" s="100" t="s">
        <v>133</v>
      </c>
      <c r="F24" s="100" t="s">
        <v>121</v>
      </c>
      <c r="G24" s="100" t="s">
        <v>129</v>
      </c>
      <c r="H24" s="100" t="s">
        <v>130</v>
      </c>
      <c r="I24" s="61" t="s">
        <v>27</v>
      </c>
      <c r="J24" s="63">
        <v>30</v>
      </c>
      <c r="K24" s="64">
        <v>0.78600000000000003</v>
      </c>
      <c r="L24" s="64" t="s">
        <v>18</v>
      </c>
      <c r="M24" s="61">
        <v>0.3</v>
      </c>
      <c r="N24" s="61">
        <v>155.83637626628075</v>
      </c>
      <c r="O24" s="61">
        <v>1.6763550709730508</v>
      </c>
      <c r="P24" s="61">
        <f t="shared" si="0"/>
        <v>396.02666171917002</v>
      </c>
      <c r="Q24" s="61">
        <v>17.07342322749021</v>
      </c>
      <c r="R24" s="61">
        <v>1.9942020052176583</v>
      </c>
      <c r="S24" s="61">
        <v>11.140405155004061</v>
      </c>
      <c r="T24" s="61">
        <v>270.44205003807861</v>
      </c>
      <c r="U24" s="61">
        <v>7.68</v>
      </c>
      <c r="V24" s="312" t="s">
        <v>324</v>
      </c>
      <c r="AF24" s="12"/>
      <c r="AG24" s="1"/>
      <c r="AH24" s="1"/>
      <c r="AI24" s="1"/>
      <c r="AJ24" s="23"/>
      <c r="AK24" s="1"/>
    </row>
    <row r="25" spans="1:37">
      <c r="A25" s="29">
        <v>21</v>
      </c>
      <c r="B25" s="100" t="s">
        <v>26</v>
      </c>
      <c r="C25" s="100" t="s">
        <v>131</v>
      </c>
      <c r="D25" s="100" t="s">
        <v>25</v>
      </c>
      <c r="E25" s="100" t="s">
        <v>133</v>
      </c>
      <c r="F25" s="100" t="s">
        <v>121</v>
      </c>
      <c r="G25" s="100" t="s">
        <v>129</v>
      </c>
      <c r="H25" s="100" t="s">
        <v>130</v>
      </c>
      <c r="I25" s="61" t="s">
        <v>27</v>
      </c>
      <c r="J25" s="63">
        <v>30</v>
      </c>
      <c r="K25" s="64">
        <v>4.8000000000000001E-2</v>
      </c>
      <c r="L25" s="64" t="s">
        <v>18</v>
      </c>
      <c r="M25" s="61">
        <v>0.3</v>
      </c>
      <c r="N25" s="61">
        <v>8.5818282349418631</v>
      </c>
      <c r="O25" s="61">
        <v>1.8950100802304053</v>
      </c>
      <c r="P25" s="61">
        <f t="shared" si="0"/>
        <v>29.232476613038642</v>
      </c>
      <c r="Q25" s="61">
        <v>18.154893431926926</v>
      </c>
      <c r="R25" s="61">
        <v>1.9159980050130443</v>
      </c>
      <c r="S25" s="61">
        <v>11.620595032374924</v>
      </c>
      <c r="T25" s="61">
        <v>20.226278453163342</v>
      </c>
      <c r="U25" s="61">
        <v>7.65</v>
      </c>
      <c r="V25" s="312" t="s">
        <v>324</v>
      </c>
      <c r="AF25" s="12"/>
      <c r="AG25" s="1"/>
      <c r="AH25" s="1"/>
      <c r="AI25" s="1"/>
      <c r="AJ25" s="23"/>
      <c r="AK25" s="1"/>
    </row>
    <row r="26" spans="1:37">
      <c r="A26" s="29">
        <v>22</v>
      </c>
      <c r="B26" s="100" t="s">
        <v>26</v>
      </c>
      <c r="C26" s="100" t="s">
        <v>131</v>
      </c>
      <c r="D26" s="100" t="s">
        <v>25</v>
      </c>
      <c r="E26" s="100" t="s">
        <v>133</v>
      </c>
      <c r="F26" s="100" t="s">
        <v>121</v>
      </c>
      <c r="G26" s="100" t="s">
        <v>129</v>
      </c>
      <c r="H26" s="100" t="s">
        <v>130</v>
      </c>
      <c r="I26" s="61" t="s">
        <v>27</v>
      </c>
      <c r="J26" s="63">
        <v>30</v>
      </c>
      <c r="K26" s="64">
        <v>4.4999999999999998E-2</v>
      </c>
      <c r="L26" s="64" t="s">
        <v>18</v>
      </c>
      <c r="M26" s="61">
        <v>0.3</v>
      </c>
      <c r="N26" s="61">
        <v>8.9828482459204544</v>
      </c>
      <c r="O26" s="61">
        <v>5.5149652334910524</v>
      </c>
      <c r="P26" s="61">
        <f t="shared" si="0"/>
        <v>45.140798901579529</v>
      </c>
      <c r="Q26" s="61">
        <v>16.820313179643321</v>
      </c>
      <c r="R26" s="61">
        <v>1.8377940048084305</v>
      </c>
      <c r="S26" s="61">
        <v>12.004746934271616</v>
      </c>
      <c r="T26" s="61">
        <v>33.129862070910782</v>
      </c>
      <c r="U26" s="61">
        <v>7.73</v>
      </c>
      <c r="V26" s="312" t="s">
        <v>324</v>
      </c>
      <c r="AF26" s="12"/>
      <c r="AG26" s="1"/>
      <c r="AH26" s="1"/>
      <c r="AI26" s="1"/>
      <c r="AJ26" s="23"/>
      <c r="AK26" s="1"/>
    </row>
    <row r="27" spans="1:37">
      <c r="A27" s="29">
        <v>23</v>
      </c>
      <c r="B27" s="100" t="s">
        <v>26</v>
      </c>
      <c r="C27" s="100" t="s">
        <v>131</v>
      </c>
      <c r="D27" s="100" t="s">
        <v>25</v>
      </c>
      <c r="E27" s="100" t="s">
        <v>133</v>
      </c>
      <c r="F27" s="100" t="s">
        <v>121</v>
      </c>
      <c r="G27" s="100" t="s">
        <v>129</v>
      </c>
      <c r="H27" s="100" t="s">
        <v>130</v>
      </c>
      <c r="I27" s="61" t="s">
        <v>27</v>
      </c>
      <c r="J27" s="63">
        <v>30</v>
      </c>
      <c r="K27" s="64">
        <v>0.151</v>
      </c>
      <c r="L27" s="64" t="s">
        <v>18</v>
      </c>
      <c r="M27" s="61">
        <v>0.3</v>
      </c>
      <c r="N27" s="61">
        <v>9.6645822645840607</v>
      </c>
      <c r="O27" s="61">
        <v>27.98784118494137</v>
      </c>
      <c r="P27" s="61">
        <f t="shared" si="0"/>
        <v>139.38639191425497</v>
      </c>
      <c r="Q27" s="61">
        <v>21.146193997390171</v>
      </c>
      <c r="R27" s="61">
        <v>1.9159980050130443</v>
      </c>
      <c r="S27" s="61">
        <v>12.292860860694136</v>
      </c>
      <c r="T27" s="61">
        <v>103.12202775505597</v>
      </c>
      <c r="U27" s="61">
        <v>7.74</v>
      </c>
      <c r="V27" s="312" t="s">
        <v>324</v>
      </c>
      <c r="AF27" s="12"/>
      <c r="AG27" s="1"/>
      <c r="AH27" s="1"/>
      <c r="AI27" s="1"/>
      <c r="AJ27" s="1"/>
      <c r="AK27" s="1"/>
    </row>
    <row r="28" spans="1:37">
      <c r="A28" s="29">
        <v>24</v>
      </c>
      <c r="B28" s="100" t="s">
        <v>26</v>
      </c>
      <c r="C28" s="100" t="s">
        <v>131</v>
      </c>
      <c r="D28" s="100" t="s">
        <v>25</v>
      </c>
      <c r="E28" s="100" t="s">
        <v>133</v>
      </c>
      <c r="F28" s="100" t="s">
        <v>121</v>
      </c>
      <c r="G28" s="100" t="s">
        <v>129</v>
      </c>
      <c r="H28" s="100" t="s">
        <v>130</v>
      </c>
      <c r="I28" s="61" t="s">
        <v>27</v>
      </c>
      <c r="J28" s="63">
        <v>30</v>
      </c>
      <c r="K28" s="64">
        <v>0.159</v>
      </c>
      <c r="L28" s="64" t="s">
        <v>18</v>
      </c>
      <c r="M28" s="61">
        <v>0.3</v>
      </c>
      <c r="N28" s="61">
        <v>9.1833582514097518</v>
      </c>
      <c r="O28" s="61">
        <v>50.047702118905569</v>
      </c>
      <c r="P28" s="61">
        <f t="shared" si="0"/>
        <v>229.0272828794233</v>
      </c>
      <c r="Q28" s="61">
        <v>17.78673336233145</v>
      </c>
      <c r="R28" s="61">
        <v>1.9551000051153513</v>
      </c>
      <c r="S28" s="61">
        <v>11.908708958797442</v>
      </c>
      <c r="T28" s="61">
        <v>188.00841254618791</v>
      </c>
      <c r="U28" s="61">
        <v>7.79</v>
      </c>
      <c r="V28" s="312" t="s">
        <v>324</v>
      </c>
      <c r="AF28" s="12"/>
      <c r="AG28" s="1"/>
      <c r="AH28" s="1"/>
      <c r="AI28" s="1"/>
      <c r="AJ28" s="1"/>
      <c r="AK28" s="1"/>
    </row>
    <row r="29" spans="1:37">
      <c r="A29" s="29">
        <v>25</v>
      </c>
      <c r="B29" s="100" t="s">
        <v>26</v>
      </c>
      <c r="C29" s="100" t="s">
        <v>131</v>
      </c>
      <c r="D29" s="100" t="s">
        <v>25</v>
      </c>
      <c r="E29" s="100" t="s">
        <v>133</v>
      </c>
      <c r="F29" s="100" t="s">
        <v>121</v>
      </c>
      <c r="G29" s="100" t="s">
        <v>129</v>
      </c>
      <c r="H29" s="100" t="s">
        <v>130</v>
      </c>
      <c r="I29" s="61" t="s">
        <v>27</v>
      </c>
      <c r="J29" s="63">
        <v>30</v>
      </c>
      <c r="K29" s="64">
        <v>0.16500000000000001</v>
      </c>
      <c r="L29" s="64" t="s">
        <v>18</v>
      </c>
      <c r="M29" s="61">
        <v>0.3</v>
      </c>
      <c r="N29" s="61">
        <v>8.4214202305504244</v>
      </c>
      <c r="O29" s="61">
        <v>75.873288212302</v>
      </c>
      <c r="P29" s="61">
        <f t="shared" si="0"/>
        <v>333.47448717394406</v>
      </c>
      <c r="Q29" s="61">
        <v>16.406133101348413</v>
      </c>
      <c r="R29" s="61">
        <v>1.9551000051153513</v>
      </c>
      <c r="S29" s="61">
        <v>11.812670983323271</v>
      </c>
      <c r="T29" s="61">
        <v>264.57678475728432</v>
      </c>
      <c r="U29" s="61">
        <v>7.65</v>
      </c>
      <c r="V29" s="312" t="s">
        <v>324</v>
      </c>
      <c r="AF29" s="12"/>
      <c r="AG29" s="1"/>
      <c r="AH29" s="1"/>
      <c r="AI29" s="1"/>
      <c r="AJ29" s="1"/>
      <c r="AK29" s="1"/>
    </row>
    <row r="30" spans="1:37">
      <c r="A30" s="29">
        <v>26</v>
      </c>
      <c r="B30" s="100" t="s">
        <v>26</v>
      </c>
      <c r="C30" s="100" t="s">
        <v>131</v>
      </c>
      <c r="D30" s="100" t="s">
        <v>25</v>
      </c>
      <c r="E30" s="100" t="s">
        <v>133</v>
      </c>
      <c r="F30" s="100" t="s">
        <v>121</v>
      </c>
      <c r="G30" s="100" t="s">
        <v>129</v>
      </c>
      <c r="H30" s="100" t="s">
        <v>130</v>
      </c>
      <c r="I30" s="61" t="s">
        <v>27</v>
      </c>
      <c r="J30" s="63">
        <v>30</v>
      </c>
      <c r="K30" s="64">
        <v>0.25600000000000001</v>
      </c>
      <c r="L30" s="64" t="s">
        <v>18</v>
      </c>
      <c r="M30" s="61">
        <v>0.3</v>
      </c>
      <c r="N30" s="61">
        <v>8.9427462448225956</v>
      </c>
      <c r="O30" s="61">
        <v>1.5548800658300765</v>
      </c>
      <c r="P30" s="61">
        <f t="shared" si="0"/>
        <v>28.733033484410278</v>
      </c>
      <c r="Q30" s="61">
        <v>104.05123966942148</v>
      </c>
      <c r="R30" s="61">
        <v>1.8768960049107373</v>
      </c>
      <c r="S30" s="61">
        <v>11.428519081426577</v>
      </c>
      <c r="T30" s="61">
        <v>217.90349194708489</v>
      </c>
      <c r="U30" s="61">
        <v>6.7</v>
      </c>
      <c r="V30" s="312" t="s">
        <v>324</v>
      </c>
      <c r="AF30" s="12"/>
      <c r="AG30" s="1"/>
      <c r="AH30" s="1"/>
      <c r="AI30" s="1"/>
      <c r="AJ30" s="1"/>
      <c r="AK30" s="1"/>
    </row>
    <row r="31" spans="1:37">
      <c r="A31" s="29">
        <v>27</v>
      </c>
      <c r="B31" s="100" t="s">
        <v>26</v>
      </c>
      <c r="C31" s="100" t="s">
        <v>131</v>
      </c>
      <c r="D31" s="100" t="s">
        <v>25</v>
      </c>
      <c r="E31" s="100" t="s">
        <v>133</v>
      </c>
      <c r="F31" s="100" t="s">
        <v>121</v>
      </c>
      <c r="G31" s="100" t="s">
        <v>129</v>
      </c>
      <c r="H31" s="100" t="s">
        <v>130</v>
      </c>
      <c r="I31" s="61" t="s">
        <v>27</v>
      </c>
      <c r="J31" s="63">
        <v>30</v>
      </c>
      <c r="K31" s="64">
        <v>0.157</v>
      </c>
      <c r="L31" s="64" t="s">
        <v>18</v>
      </c>
      <c r="M31" s="61">
        <v>0.3</v>
      </c>
      <c r="N31" s="61">
        <v>8.8625422426268781</v>
      </c>
      <c r="O31" s="61">
        <v>1.5305850648014814</v>
      </c>
      <c r="P31" s="61">
        <f t="shared" si="0"/>
        <v>28.432717276691815</v>
      </c>
      <c r="Q31" s="61">
        <v>111.78260113092649</v>
      </c>
      <c r="R31" s="61">
        <v>1.9159980050130443</v>
      </c>
      <c r="S31" s="61">
        <v>11.716633007849097</v>
      </c>
      <c r="T31" s="61">
        <v>193.23383070544099</v>
      </c>
      <c r="U31" s="61">
        <v>7.58</v>
      </c>
      <c r="V31" s="312" t="s">
        <v>324</v>
      </c>
      <c r="AF31" s="12"/>
      <c r="AG31" s="1"/>
      <c r="AH31" s="1"/>
      <c r="AI31" s="1"/>
      <c r="AJ31" s="1"/>
      <c r="AK31" s="1"/>
    </row>
    <row r="32" spans="1:37">
      <c r="A32" s="29">
        <v>28</v>
      </c>
      <c r="B32" s="100" t="s">
        <v>26</v>
      </c>
      <c r="C32" s="100" t="s">
        <v>131</v>
      </c>
      <c r="D32" s="100" t="s">
        <v>25</v>
      </c>
      <c r="E32" s="100" t="s">
        <v>133</v>
      </c>
      <c r="F32" s="100" t="s">
        <v>121</v>
      </c>
      <c r="G32" s="100" t="s">
        <v>129</v>
      </c>
      <c r="H32" s="100" t="s">
        <v>130</v>
      </c>
      <c r="I32" s="61" t="s">
        <v>27</v>
      </c>
      <c r="J32" s="63">
        <v>30</v>
      </c>
      <c r="K32" s="64">
        <v>0.77100000000000002</v>
      </c>
      <c r="L32" s="64" t="s">
        <v>18</v>
      </c>
      <c r="M32" s="61">
        <v>22.87</v>
      </c>
      <c r="N32" s="61">
        <v>32.049178410399726</v>
      </c>
      <c r="O32" s="61">
        <v>5.7688127100000006</v>
      </c>
      <c r="P32" s="61">
        <f t="shared" si="0"/>
        <v>103.78276923054813</v>
      </c>
      <c r="Q32" s="61">
        <v>34.184556611100483</v>
      </c>
      <c r="R32" s="61">
        <v>0.74013818105648876</v>
      </c>
      <c r="S32" s="61">
        <v>56.353775953171656</v>
      </c>
      <c r="T32" s="61">
        <v>93.473736499999987</v>
      </c>
      <c r="U32" s="61">
        <v>7.76</v>
      </c>
      <c r="V32" s="312" t="s">
        <v>305</v>
      </c>
      <c r="AF32" s="12"/>
      <c r="AG32" s="1"/>
      <c r="AH32" s="1"/>
      <c r="AI32" s="1"/>
      <c r="AJ32" s="1"/>
      <c r="AK32" s="1"/>
    </row>
    <row r="33" spans="1:37">
      <c r="A33" s="29">
        <v>29</v>
      </c>
      <c r="B33" s="100" t="s">
        <v>26</v>
      </c>
      <c r="C33" s="100" t="s">
        <v>131</v>
      </c>
      <c r="D33" s="100" t="s">
        <v>25</v>
      </c>
      <c r="E33" s="100" t="s">
        <v>133</v>
      </c>
      <c r="F33" s="100" t="s">
        <v>121</v>
      </c>
      <c r="G33" s="100" t="s">
        <v>129</v>
      </c>
      <c r="H33" s="100" t="s">
        <v>130</v>
      </c>
      <c r="I33" s="61" t="s">
        <v>27</v>
      </c>
      <c r="J33" s="63">
        <v>30</v>
      </c>
      <c r="K33" s="64">
        <v>0.32400000000000001</v>
      </c>
      <c r="L33" s="64" t="s">
        <v>18</v>
      </c>
      <c r="M33" s="61">
        <v>3.92</v>
      </c>
      <c r="N33" s="61">
        <v>9.5457119129297876</v>
      </c>
      <c r="O33" s="61">
        <v>1.0597818060000002</v>
      </c>
      <c r="P33" s="61">
        <f t="shared" si="0"/>
        <v>28.199824123693681</v>
      </c>
      <c r="Q33" s="61">
        <v>16.737131495153545</v>
      </c>
      <c r="R33" s="61">
        <v>0.87016231872752059</v>
      </c>
      <c r="S33" s="61">
        <v>14.098455164106429</v>
      </c>
      <c r="T33" s="61">
        <v>22.840238499999998</v>
      </c>
      <c r="U33" s="61">
        <v>6.8</v>
      </c>
      <c r="V33" s="312" t="s">
        <v>305</v>
      </c>
      <c r="AF33" s="12"/>
      <c r="AG33" s="1"/>
      <c r="AH33" s="1"/>
      <c r="AI33" s="1"/>
      <c r="AJ33" s="1"/>
      <c r="AK33" s="1"/>
    </row>
    <row r="34" spans="1:37">
      <c r="A34" s="29">
        <v>30</v>
      </c>
      <c r="B34" s="100" t="s">
        <v>26</v>
      </c>
      <c r="C34" s="100" t="s">
        <v>131</v>
      </c>
      <c r="D34" s="100" t="s">
        <v>25</v>
      </c>
      <c r="E34" s="100" t="s">
        <v>133</v>
      </c>
      <c r="F34" s="100" t="s">
        <v>121</v>
      </c>
      <c r="G34" s="100" t="s">
        <v>129</v>
      </c>
      <c r="H34" s="100" t="s">
        <v>130</v>
      </c>
      <c r="I34" s="61" t="s">
        <v>27</v>
      </c>
      <c r="J34" s="63">
        <v>30</v>
      </c>
      <c r="K34" s="64">
        <v>0.37</v>
      </c>
      <c r="L34" s="64" t="s">
        <v>18</v>
      </c>
      <c r="M34" s="61">
        <v>4.25</v>
      </c>
      <c r="N34" s="61">
        <v>7.0942445042167783</v>
      </c>
      <c r="O34" s="61">
        <v>1.3797160919999998</v>
      </c>
      <c r="P34" s="61">
        <f t="shared" si="0"/>
        <v>23.395999393885294</v>
      </c>
      <c r="Q34" s="61">
        <v>5.5923829490073942</v>
      </c>
      <c r="R34" s="61">
        <v>0.26004854904416369</v>
      </c>
      <c r="S34" s="61">
        <v>7.8447016297034411</v>
      </c>
      <c r="T34" s="61">
        <v>10.84435895</v>
      </c>
      <c r="U34" s="61">
        <v>6.15</v>
      </c>
      <c r="V34" s="312" t="s">
        <v>305</v>
      </c>
      <c r="AF34" s="12"/>
      <c r="AG34" s="1"/>
      <c r="AH34" s="1"/>
      <c r="AI34" s="1"/>
      <c r="AJ34" s="1"/>
      <c r="AK34" s="1"/>
    </row>
    <row r="35" spans="1:37">
      <c r="A35" s="29">
        <v>31</v>
      </c>
      <c r="B35" s="100" t="s">
        <v>26</v>
      </c>
      <c r="C35" s="100" t="s">
        <v>131</v>
      </c>
      <c r="D35" s="100" t="s">
        <v>25</v>
      </c>
      <c r="E35" s="100" t="s">
        <v>133</v>
      </c>
      <c r="F35" s="100" t="s">
        <v>121</v>
      </c>
      <c r="G35" s="100" t="s">
        <v>129</v>
      </c>
      <c r="H35" s="100" t="s">
        <v>130</v>
      </c>
      <c r="I35" s="61" t="s">
        <v>27</v>
      </c>
      <c r="J35" s="63">
        <v>30</v>
      </c>
      <c r="K35" s="64">
        <v>0.19900000000000001</v>
      </c>
      <c r="L35" s="64" t="s">
        <v>18</v>
      </c>
      <c r="M35" s="61">
        <v>2.84</v>
      </c>
      <c r="N35" s="61">
        <v>8.1044463296571685</v>
      </c>
      <c r="O35" s="61">
        <v>2.7994239868339843</v>
      </c>
      <c r="P35" s="61">
        <f t="shared" si="0"/>
        <v>31.764830462936295</v>
      </c>
      <c r="Q35" s="61">
        <v>5.9025663331883438</v>
      </c>
      <c r="R35" s="61">
        <v>0.48002455368561048</v>
      </c>
      <c r="S35" s="61">
        <v>13.505340301055568</v>
      </c>
      <c r="T35" s="61">
        <v>10.413787267650129</v>
      </c>
      <c r="U35" s="61">
        <v>7.08</v>
      </c>
      <c r="V35" s="312" t="s">
        <v>305</v>
      </c>
      <c r="AF35" s="12"/>
      <c r="AG35" s="1"/>
      <c r="AH35" s="1"/>
      <c r="AI35" s="1"/>
      <c r="AJ35" s="1"/>
      <c r="AK35" s="1"/>
    </row>
    <row r="36" spans="1:37">
      <c r="A36" s="29">
        <v>32</v>
      </c>
      <c r="B36" s="100" t="s">
        <v>21</v>
      </c>
      <c r="C36" s="100" t="s">
        <v>124</v>
      </c>
      <c r="D36" s="100" t="s">
        <v>125</v>
      </c>
      <c r="E36" s="100" t="s">
        <v>127</v>
      </c>
      <c r="F36" s="100" t="s">
        <v>121</v>
      </c>
      <c r="G36" s="100" t="s">
        <v>129</v>
      </c>
      <c r="H36" s="100" t="s">
        <v>130</v>
      </c>
      <c r="I36" s="61" t="s">
        <v>22</v>
      </c>
      <c r="J36" s="63">
        <v>150</v>
      </c>
      <c r="K36" s="64">
        <v>0.05</v>
      </c>
      <c r="L36" s="64" t="s">
        <v>18</v>
      </c>
      <c r="M36" s="61">
        <v>1</v>
      </c>
      <c r="N36" s="61">
        <v>21.51180198612705</v>
      </c>
      <c r="O36" s="61">
        <v>3.9991771240485496</v>
      </c>
      <c r="P36" s="61">
        <f t="shared" si="0"/>
        <v>70.183580956191165</v>
      </c>
      <c r="Q36" s="61">
        <v>12.205306655067421</v>
      </c>
      <c r="R36" s="61">
        <v>2.2001125377257149</v>
      </c>
      <c r="S36" s="61">
        <v>19.707792883762568</v>
      </c>
      <c r="T36" s="61">
        <v>17.82359743886272</v>
      </c>
      <c r="U36" s="61">
        <v>7.5</v>
      </c>
      <c r="V36" s="312" t="s">
        <v>321</v>
      </c>
      <c r="AF36" s="12"/>
      <c r="AG36" s="1"/>
      <c r="AH36" s="1"/>
      <c r="AI36" s="1"/>
      <c r="AJ36" s="1"/>
      <c r="AK36" s="1"/>
    </row>
    <row r="37" spans="1:37">
      <c r="A37" s="29">
        <v>33</v>
      </c>
      <c r="B37" s="100" t="s">
        <v>23</v>
      </c>
      <c r="C37" s="100" t="s">
        <v>132</v>
      </c>
      <c r="D37" s="100" t="s">
        <v>125</v>
      </c>
      <c r="E37" s="100" t="s">
        <v>127</v>
      </c>
      <c r="F37" s="100" t="s">
        <v>121</v>
      </c>
      <c r="G37" s="100" t="s">
        <v>129</v>
      </c>
      <c r="H37" s="100" t="s">
        <v>130</v>
      </c>
      <c r="I37" s="61" t="s">
        <v>24</v>
      </c>
      <c r="J37" s="63">
        <v>240</v>
      </c>
      <c r="K37" s="64">
        <v>7.8E-2</v>
      </c>
      <c r="L37" s="64" t="s">
        <v>18</v>
      </c>
      <c r="M37" s="61">
        <v>1</v>
      </c>
      <c r="N37" s="61">
        <v>13.407355656469885</v>
      </c>
      <c r="O37" s="61">
        <v>2.999382843036412</v>
      </c>
      <c r="P37" s="61">
        <f t="shared" si="0"/>
        <v>45.829625621829251</v>
      </c>
      <c r="Q37" s="61">
        <v>1.1304815653640716</v>
      </c>
      <c r="R37" s="61">
        <v>0.53009879843105279</v>
      </c>
      <c r="S37" s="61">
        <v>3.4013449647102911</v>
      </c>
      <c r="T37" s="61">
        <v>1.2216174799999999</v>
      </c>
      <c r="U37" s="61">
        <v>7.5</v>
      </c>
      <c r="V37" s="312" t="s">
        <v>322</v>
      </c>
      <c r="AF37" s="12"/>
      <c r="AG37" s="1"/>
      <c r="AH37" s="1"/>
      <c r="AI37" s="1"/>
      <c r="AJ37" s="1"/>
      <c r="AK37" s="1"/>
    </row>
    <row r="38" spans="1:37">
      <c r="A38" s="29">
        <v>34</v>
      </c>
      <c r="B38" s="100" t="s">
        <v>29</v>
      </c>
      <c r="C38" s="100" t="s">
        <v>135</v>
      </c>
      <c r="D38" s="100" t="s">
        <v>25</v>
      </c>
      <c r="E38" s="100" t="s">
        <v>133</v>
      </c>
      <c r="F38" s="100" t="s">
        <v>121</v>
      </c>
      <c r="G38" s="100" t="s">
        <v>129</v>
      </c>
      <c r="H38" s="100" t="s">
        <v>130</v>
      </c>
      <c r="I38" s="61" t="s">
        <v>17</v>
      </c>
      <c r="J38" s="63">
        <v>117</v>
      </c>
      <c r="K38" s="64">
        <v>5.7000000000000002E-2</v>
      </c>
      <c r="L38" s="64" t="s">
        <v>18</v>
      </c>
      <c r="M38" s="61">
        <v>3.9</v>
      </c>
      <c r="N38" s="61">
        <v>32.035362177088011</v>
      </c>
      <c r="O38" s="61">
        <v>4.8870130046428439</v>
      </c>
      <c r="P38" s="61">
        <f t="shared" si="0"/>
        <v>100.117018909308</v>
      </c>
      <c r="Q38" s="61">
        <v>1.5306655067420618</v>
      </c>
      <c r="R38" s="61">
        <v>0.35001790372909097</v>
      </c>
      <c r="S38" s="61">
        <v>20.550483387080639</v>
      </c>
      <c r="T38" s="61">
        <v>54.042898388857729</v>
      </c>
      <c r="U38" s="61">
        <v>6.7</v>
      </c>
      <c r="V38" s="312" t="s">
        <v>326</v>
      </c>
      <c r="AF38" s="12"/>
      <c r="AG38" s="1"/>
      <c r="AH38" s="1"/>
      <c r="AI38" s="1"/>
      <c r="AJ38" s="1"/>
      <c r="AK38" s="1"/>
    </row>
    <row r="39" spans="1:37">
      <c r="A39" s="29">
        <v>35</v>
      </c>
      <c r="B39" s="100" t="s">
        <v>29</v>
      </c>
      <c r="C39" s="100" t="s">
        <v>135</v>
      </c>
      <c r="D39" s="100" t="s">
        <v>25</v>
      </c>
      <c r="E39" s="100" t="s">
        <v>133</v>
      </c>
      <c r="F39" s="100" t="s">
        <v>121</v>
      </c>
      <c r="G39" s="100" t="s">
        <v>129</v>
      </c>
      <c r="H39" s="100" t="s">
        <v>130</v>
      </c>
      <c r="I39" s="61" t="s">
        <v>17</v>
      </c>
      <c r="J39" s="63">
        <v>117</v>
      </c>
      <c r="K39" s="64">
        <v>0.25</v>
      </c>
      <c r="L39" s="64" t="s">
        <v>18</v>
      </c>
      <c r="M39" s="61">
        <v>4.0999999999999996</v>
      </c>
      <c r="N39" s="61">
        <v>32.049299700152609</v>
      </c>
      <c r="O39" s="61">
        <v>4.8785692330623673</v>
      </c>
      <c r="P39" s="61">
        <f t="shared" si="0"/>
        <v>100.1170494530319</v>
      </c>
      <c r="Q39" s="61">
        <v>1.0204436711613745</v>
      </c>
      <c r="R39" s="61">
        <v>0.28001432298327283</v>
      </c>
      <c r="S39" s="61">
        <v>20.413051724219955</v>
      </c>
      <c r="T39" s="61">
        <v>54.325823395631446</v>
      </c>
      <c r="U39" s="61">
        <v>6.4</v>
      </c>
      <c r="V39" s="312" t="s">
        <v>326</v>
      </c>
      <c r="AF39" s="12"/>
      <c r="AG39" s="1"/>
      <c r="AH39" s="1"/>
      <c r="AI39" s="1"/>
      <c r="AJ39" s="1"/>
      <c r="AK39" s="1"/>
    </row>
    <row r="40" spans="1:37" ht="17" thickBot="1">
      <c r="A40" s="29">
        <v>36</v>
      </c>
      <c r="B40" s="101" t="s">
        <v>28</v>
      </c>
      <c r="C40" s="100" t="s">
        <v>134</v>
      </c>
      <c r="D40" s="100" t="s">
        <v>25</v>
      </c>
      <c r="E40" s="100" t="s">
        <v>133</v>
      </c>
      <c r="F40" s="100" t="s">
        <v>121</v>
      </c>
      <c r="G40" s="100" t="s">
        <v>129</v>
      </c>
      <c r="H40" s="100" t="s">
        <v>130</v>
      </c>
      <c r="I40" s="77" t="s">
        <v>17</v>
      </c>
      <c r="J40" s="107">
        <v>1095</v>
      </c>
      <c r="K40" s="78">
        <v>0.53400000000000003</v>
      </c>
      <c r="L40" s="78" t="s">
        <v>18</v>
      </c>
      <c r="M40" s="77">
        <v>1</v>
      </c>
      <c r="N40" s="77">
        <v>13.307965360127753</v>
      </c>
      <c r="O40" s="77">
        <v>2.9993830199999998</v>
      </c>
      <c r="P40" s="77">
        <f t="shared" si="0"/>
        <v>45.581448780599004</v>
      </c>
      <c r="Q40" s="77">
        <v>1.1304815653640716</v>
      </c>
      <c r="R40" s="77">
        <v>0.53009879843105279</v>
      </c>
      <c r="S40" s="77">
        <v>3.4013449647102911</v>
      </c>
      <c r="T40" s="77">
        <v>1.2216174799999999</v>
      </c>
      <c r="U40" s="77">
        <v>7.4</v>
      </c>
      <c r="V40" s="312" t="s">
        <v>325</v>
      </c>
      <c r="AF40" s="12"/>
      <c r="AG40" s="1"/>
      <c r="AH40" s="1"/>
      <c r="AI40" s="1"/>
      <c r="AJ40" s="1"/>
      <c r="AK40" s="1"/>
    </row>
    <row r="41" spans="1:37" ht="17" thickBot="1">
      <c r="B41" s="80"/>
      <c r="C41" s="80"/>
      <c r="D41" s="80"/>
      <c r="E41" s="80"/>
      <c r="F41" s="80"/>
      <c r="G41" s="80"/>
      <c r="H41" s="80"/>
      <c r="I41" s="79"/>
      <c r="J41" s="81"/>
      <c r="K41" s="82"/>
      <c r="L41" s="82"/>
      <c r="M41" s="79"/>
      <c r="N41" s="83"/>
      <c r="O41" s="79"/>
      <c r="P41" s="79"/>
      <c r="Q41" s="83"/>
      <c r="R41" s="83"/>
      <c r="S41" s="79"/>
      <c r="T41" s="79"/>
      <c r="U41" s="79"/>
      <c r="V41"/>
      <c r="AF41" s="12"/>
      <c r="AG41" s="1"/>
      <c r="AH41" s="1"/>
      <c r="AI41" s="1"/>
      <c r="AJ41" s="1"/>
      <c r="AK41" s="1"/>
    </row>
    <row r="42" spans="1:37" ht="17" thickBot="1">
      <c r="B42" s="98" t="s">
        <v>32</v>
      </c>
      <c r="C42" s="98"/>
      <c r="D42" s="98"/>
      <c r="E42" s="98"/>
      <c r="F42" s="98"/>
      <c r="G42" s="98"/>
      <c r="H42" s="98"/>
      <c r="I42" s="68"/>
      <c r="J42" s="74"/>
      <c r="K42" s="69"/>
      <c r="L42" s="69"/>
      <c r="M42" s="76"/>
      <c r="N42" s="75"/>
      <c r="O42" s="68"/>
      <c r="P42" s="68"/>
      <c r="Q42" s="75"/>
      <c r="R42" s="75"/>
      <c r="S42" s="75"/>
      <c r="T42" s="75"/>
      <c r="U42" s="68"/>
      <c r="V42"/>
      <c r="AF42" s="12"/>
      <c r="AG42" s="1"/>
      <c r="AH42" s="1"/>
      <c r="AI42" s="1"/>
      <c r="AJ42" s="1"/>
      <c r="AK42" s="1"/>
    </row>
    <row r="43" spans="1:37">
      <c r="A43" s="29">
        <v>37</v>
      </c>
      <c r="B43" s="102" t="s">
        <v>45</v>
      </c>
      <c r="C43" s="102" t="s">
        <v>161</v>
      </c>
      <c r="D43" s="102" t="s">
        <v>162</v>
      </c>
      <c r="E43" s="102" t="s">
        <v>163</v>
      </c>
      <c r="F43" s="102" t="s">
        <v>164</v>
      </c>
      <c r="G43" s="102" t="s">
        <v>44</v>
      </c>
      <c r="H43" s="102" t="s">
        <v>130</v>
      </c>
      <c r="I43" s="84" t="s">
        <v>46</v>
      </c>
      <c r="J43" s="108" t="s">
        <v>97</v>
      </c>
      <c r="K43" s="87">
        <v>0.05</v>
      </c>
      <c r="L43" s="87" t="s">
        <v>18</v>
      </c>
      <c r="M43" s="84">
        <v>0.3</v>
      </c>
      <c r="N43" s="84">
        <v>17.656745816246559</v>
      </c>
      <c r="O43" s="84">
        <v>12.117207495558576</v>
      </c>
      <c r="P43" s="84">
        <f t="shared" ref="P43:P74" si="1">N43*2.497+O43*4.118</f>
        <v>93.987554769877875</v>
      </c>
      <c r="Q43" s="84">
        <v>26.297147828248303</v>
      </c>
      <c r="R43" s="84">
        <v>2.0966219893998406</v>
      </c>
      <c r="S43" s="84">
        <v>90.268934700126593</v>
      </c>
      <c r="T43" s="84">
        <v>1.9060087028334685</v>
      </c>
      <c r="U43" s="85">
        <v>7.2</v>
      </c>
      <c r="V43" s="312" t="s">
        <v>318</v>
      </c>
      <c r="AF43" s="13"/>
      <c r="AG43" s="1"/>
      <c r="AH43" s="1"/>
      <c r="AI43" s="1"/>
      <c r="AJ43" s="1"/>
      <c r="AK43" s="1"/>
    </row>
    <row r="44" spans="1:37">
      <c r="A44" s="29">
        <v>38</v>
      </c>
      <c r="B44" s="100" t="s">
        <v>52</v>
      </c>
      <c r="C44" s="100" t="s">
        <v>165</v>
      </c>
      <c r="D44" s="100" t="s">
        <v>162</v>
      </c>
      <c r="E44" s="100" t="s">
        <v>163</v>
      </c>
      <c r="F44" s="100" t="s">
        <v>164</v>
      </c>
      <c r="G44" s="100" t="s">
        <v>44</v>
      </c>
      <c r="H44" s="100" t="s">
        <v>130</v>
      </c>
      <c r="I44" s="61" t="s">
        <v>49</v>
      </c>
      <c r="J44" s="63">
        <v>2</v>
      </c>
      <c r="K44" s="64" t="s">
        <v>18</v>
      </c>
      <c r="L44" s="64">
        <v>0.55000000000000004</v>
      </c>
      <c r="M44" s="89">
        <v>8.94</v>
      </c>
      <c r="N44" s="89">
        <v>79.243475223314547</v>
      </c>
      <c r="O44" s="61">
        <v>13.897140506068713</v>
      </c>
      <c r="P44" s="61">
        <f t="shared" si="1"/>
        <v>255.09938223660737</v>
      </c>
      <c r="Q44" s="89">
        <v>64.428012179208352</v>
      </c>
      <c r="R44" s="89">
        <v>10.400531996521563</v>
      </c>
      <c r="S44" s="89">
        <v>78.731131977264681</v>
      </c>
      <c r="T44" s="89">
        <v>90.920373452176108</v>
      </c>
      <c r="U44" s="61">
        <v>7.77</v>
      </c>
      <c r="V44" s="312" t="s">
        <v>329</v>
      </c>
      <c r="AF44" s="13"/>
      <c r="AG44" s="1"/>
      <c r="AH44" s="1"/>
      <c r="AI44" s="1"/>
      <c r="AJ44" s="1"/>
      <c r="AK44" s="1"/>
    </row>
    <row r="45" spans="1:37">
      <c r="A45" s="29">
        <v>39</v>
      </c>
      <c r="B45" s="100" t="s">
        <v>52</v>
      </c>
      <c r="C45" s="100" t="s">
        <v>165</v>
      </c>
      <c r="D45" s="100" t="s">
        <v>162</v>
      </c>
      <c r="E45" s="100" t="s">
        <v>163</v>
      </c>
      <c r="F45" s="100" t="s">
        <v>164</v>
      </c>
      <c r="G45" s="100" t="s">
        <v>44</v>
      </c>
      <c r="H45" s="100" t="s">
        <v>130</v>
      </c>
      <c r="I45" s="61" t="s">
        <v>49</v>
      </c>
      <c r="J45" s="63">
        <v>2</v>
      </c>
      <c r="K45" s="64" t="s">
        <v>18</v>
      </c>
      <c r="L45" s="64">
        <v>0.19700000000000001</v>
      </c>
      <c r="M45" s="89">
        <v>2.83</v>
      </c>
      <c r="N45" s="89">
        <v>11.406257797295275</v>
      </c>
      <c r="O45" s="61">
        <v>4.1991359802509773</v>
      </c>
      <c r="P45" s="61">
        <f t="shared" si="1"/>
        <v>45.773467686519822</v>
      </c>
      <c r="Q45" s="89">
        <v>11.104828186167898</v>
      </c>
      <c r="R45" s="89">
        <v>1.6500844032942861</v>
      </c>
      <c r="S45" s="89">
        <v>17.206803939122651</v>
      </c>
      <c r="T45" s="89">
        <v>9.5125941387188675</v>
      </c>
      <c r="U45" s="61">
        <v>7.4</v>
      </c>
      <c r="V45" s="312" t="s">
        <v>329</v>
      </c>
      <c r="AF45" s="13"/>
      <c r="AG45" s="1"/>
      <c r="AH45" s="1"/>
      <c r="AI45" s="1"/>
      <c r="AJ45" s="1"/>
      <c r="AK45" s="1"/>
    </row>
    <row r="46" spans="1:37">
      <c r="A46" s="29">
        <v>40</v>
      </c>
      <c r="B46" s="100" t="s">
        <v>52</v>
      </c>
      <c r="C46" s="100" t="s">
        <v>165</v>
      </c>
      <c r="D46" s="100" t="s">
        <v>162</v>
      </c>
      <c r="E46" s="100" t="s">
        <v>163</v>
      </c>
      <c r="F46" s="100" t="s">
        <v>164</v>
      </c>
      <c r="G46" s="100" t="s">
        <v>44</v>
      </c>
      <c r="H46" s="100" t="s">
        <v>130</v>
      </c>
      <c r="I46" s="61" t="s">
        <v>49</v>
      </c>
      <c r="J46" s="63">
        <v>2</v>
      </c>
      <c r="K46" s="64" t="s">
        <v>18</v>
      </c>
      <c r="L46" s="64">
        <v>0.14199999999999999</v>
      </c>
      <c r="M46" s="89">
        <v>1.18</v>
      </c>
      <c r="N46" s="89">
        <v>10.905983332501622</v>
      </c>
      <c r="O46" s="61">
        <v>4.7990125488582596</v>
      </c>
      <c r="P46" s="61">
        <f t="shared" si="1"/>
        <v>46.994574057454862</v>
      </c>
      <c r="Q46" s="89">
        <v>14.106133101348412</v>
      </c>
      <c r="R46" s="89">
        <v>3.2401657373778709</v>
      </c>
      <c r="S46" s="89">
        <v>20.107951114904957</v>
      </c>
      <c r="T46" s="89">
        <v>14.61935520266268</v>
      </c>
      <c r="U46" s="61">
        <v>6.89</v>
      </c>
      <c r="V46" s="312" t="s">
        <v>329</v>
      </c>
      <c r="AF46" s="13"/>
      <c r="AG46" s="1"/>
      <c r="AH46" s="1"/>
      <c r="AI46" s="1"/>
      <c r="AJ46" s="1"/>
      <c r="AK46" s="1"/>
    </row>
    <row r="47" spans="1:37">
      <c r="A47" s="29">
        <v>41</v>
      </c>
      <c r="B47" s="100" t="s">
        <v>52</v>
      </c>
      <c r="C47" s="100" t="s">
        <v>165</v>
      </c>
      <c r="D47" s="100" t="s">
        <v>162</v>
      </c>
      <c r="E47" s="100" t="s">
        <v>163</v>
      </c>
      <c r="F47" s="100" t="s">
        <v>164</v>
      </c>
      <c r="G47" s="100" t="s">
        <v>44</v>
      </c>
      <c r="H47" s="100" t="s">
        <v>130</v>
      </c>
      <c r="I47" s="61" t="s">
        <v>49</v>
      </c>
      <c r="J47" s="63">
        <v>2</v>
      </c>
      <c r="K47" s="64" t="s">
        <v>18</v>
      </c>
      <c r="L47" s="64">
        <v>6.6000000000000003E-2</v>
      </c>
      <c r="M47" s="89">
        <v>1.73</v>
      </c>
      <c r="N47" s="89">
        <v>10.20559908179051</v>
      </c>
      <c r="O47" s="61">
        <v>3.8991976959473358</v>
      </c>
      <c r="P47" s="61">
        <f t="shared" si="1"/>
        <v>41.540277019142032</v>
      </c>
      <c r="Q47" s="89">
        <v>83.936494127881687</v>
      </c>
      <c r="R47" s="89">
        <v>4.7802445137858722</v>
      </c>
      <c r="S47" s="89">
        <v>20.107951114904957</v>
      </c>
      <c r="T47" s="89">
        <v>14.61935520266268</v>
      </c>
      <c r="U47" s="61">
        <v>8.09</v>
      </c>
      <c r="V47" s="312" t="s">
        <v>329</v>
      </c>
      <c r="AF47" s="13"/>
      <c r="AG47" s="1"/>
      <c r="AH47" s="1"/>
      <c r="AI47" s="1"/>
      <c r="AJ47" s="1"/>
      <c r="AK47" s="1"/>
    </row>
    <row r="48" spans="1:37">
      <c r="A48" s="29">
        <v>42</v>
      </c>
      <c r="B48" s="100" t="s">
        <v>52</v>
      </c>
      <c r="C48" s="100" t="s">
        <v>165</v>
      </c>
      <c r="D48" s="100" t="s">
        <v>162</v>
      </c>
      <c r="E48" s="100" t="s">
        <v>163</v>
      </c>
      <c r="F48" s="100" t="s">
        <v>164</v>
      </c>
      <c r="G48" s="100" t="s">
        <v>44</v>
      </c>
      <c r="H48" s="100" t="s">
        <v>130</v>
      </c>
      <c r="I48" s="61" t="s">
        <v>49</v>
      </c>
      <c r="J48" s="63">
        <v>2</v>
      </c>
      <c r="K48" s="64" t="s">
        <v>18</v>
      </c>
      <c r="L48" s="64">
        <v>0.45300000000000001</v>
      </c>
      <c r="M48" s="89">
        <v>1.49</v>
      </c>
      <c r="N48" s="89">
        <v>118.06477369130197</v>
      </c>
      <c r="O48" s="61">
        <v>3.8991976959473358</v>
      </c>
      <c r="P48" s="61">
        <f t="shared" si="1"/>
        <v>310.86463601909213</v>
      </c>
      <c r="Q48" s="89">
        <v>87.037842540234891</v>
      </c>
      <c r="R48" s="89">
        <v>4.7202414445751701</v>
      </c>
      <c r="S48" s="89">
        <v>20.107951114904957</v>
      </c>
      <c r="T48" s="89">
        <v>192.35466674188362</v>
      </c>
      <c r="U48" s="61">
        <v>8.16</v>
      </c>
      <c r="V48" s="312" t="s">
        <v>329</v>
      </c>
      <c r="AF48" s="13"/>
      <c r="AG48" s="1"/>
      <c r="AH48" s="1"/>
      <c r="AI48" s="1"/>
      <c r="AJ48" s="1"/>
      <c r="AK48" s="1"/>
    </row>
    <row r="49" spans="1:43">
      <c r="A49" s="29">
        <v>43</v>
      </c>
      <c r="B49" s="100" t="s">
        <v>47</v>
      </c>
      <c r="C49" s="100" t="s">
        <v>165</v>
      </c>
      <c r="D49" s="100" t="s">
        <v>162</v>
      </c>
      <c r="E49" s="100" t="s">
        <v>163</v>
      </c>
      <c r="F49" s="100" t="s">
        <v>164</v>
      </c>
      <c r="G49" s="100" t="s">
        <v>44</v>
      </c>
      <c r="H49" s="100" t="s">
        <v>130</v>
      </c>
      <c r="I49" s="61" t="s">
        <v>46</v>
      </c>
      <c r="J49" s="73" t="s">
        <v>97</v>
      </c>
      <c r="K49" s="64">
        <v>0.05</v>
      </c>
      <c r="L49" s="64" t="s">
        <v>18</v>
      </c>
      <c r="M49" s="61">
        <v>0.3</v>
      </c>
      <c r="N49" s="61">
        <v>17.656745816246559</v>
      </c>
      <c r="O49" s="61">
        <v>12.117207495558576</v>
      </c>
      <c r="P49" s="61">
        <f t="shared" si="1"/>
        <v>93.987554769877875</v>
      </c>
      <c r="Q49" s="61">
        <v>26.297147828248303</v>
      </c>
      <c r="R49" s="61">
        <v>2.0966219893998406</v>
      </c>
      <c r="S49" s="61">
        <v>90.268934700126593</v>
      </c>
      <c r="T49" s="61">
        <v>1.9060087028334685</v>
      </c>
      <c r="U49" s="62">
        <v>7.2</v>
      </c>
      <c r="V49" s="312" t="s">
        <v>318</v>
      </c>
      <c r="AF49" s="13"/>
      <c r="AG49" s="1"/>
      <c r="AH49" s="1"/>
      <c r="AI49" s="1"/>
      <c r="AJ49" s="1"/>
      <c r="AK49" s="1"/>
    </row>
    <row r="50" spans="1:43">
      <c r="A50" s="29">
        <v>44</v>
      </c>
      <c r="B50" s="100" t="s">
        <v>37</v>
      </c>
      <c r="C50" s="100" t="s">
        <v>148</v>
      </c>
      <c r="D50" s="100" t="s">
        <v>149</v>
      </c>
      <c r="E50" s="100" t="s">
        <v>150</v>
      </c>
      <c r="F50" s="100" t="s">
        <v>151</v>
      </c>
      <c r="G50" s="100" t="s">
        <v>152</v>
      </c>
      <c r="H50" s="100" t="s">
        <v>130</v>
      </c>
      <c r="I50" s="61" t="s">
        <v>24</v>
      </c>
      <c r="J50" s="63">
        <v>7</v>
      </c>
      <c r="K50" s="64">
        <v>2.5000000000000001E-2</v>
      </c>
      <c r="L50" s="64" t="s">
        <v>18</v>
      </c>
      <c r="M50" s="61">
        <v>3.7</v>
      </c>
      <c r="N50" s="61">
        <v>20.01197729166126</v>
      </c>
      <c r="O50" s="61">
        <v>7.5984374699999995</v>
      </c>
      <c r="P50" s="61">
        <f t="shared" si="1"/>
        <v>81.260272798738157</v>
      </c>
      <c r="Q50" s="61">
        <v>0.10004349717268379</v>
      </c>
      <c r="R50" s="61">
        <v>0.10000511535116886</v>
      </c>
      <c r="S50" s="61">
        <v>5.8034788593443816</v>
      </c>
      <c r="T50" s="61">
        <v>14.41908825</v>
      </c>
      <c r="U50" s="62">
        <v>6</v>
      </c>
      <c r="V50" s="312" t="s">
        <v>309</v>
      </c>
      <c r="AF50" s="13"/>
      <c r="AG50" s="1"/>
      <c r="AH50" s="1"/>
      <c r="AI50" s="1"/>
      <c r="AJ50" s="1"/>
      <c r="AK50" s="1"/>
      <c r="AQ50" s="1" t="s">
        <v>66</v>
      </c>
    </row>
    <row r="51" spans="1:43">
      <c r="A51" s="29">
        <v>45</v>
      </c>
      <c r="B51" s="100" t="s">
        <v>37</v>
      </c>
      <c r="C51" s="100" t="s">
        <v>148</v>
      </c>
      <c r="D51" s="100" t="s">
        <v>149</v>
      </c>
      <c r="E51" s="100" t="s">
        <v>150</v>
      </c>
      <c r="F51" s="100" t="s">
        <v>151</v>
      </c>
      <c r="G51" s="100" t="s">
        <v>152</v>
      </c>
      <c r="H51" s="100" t="s">
        <v>130</v>
      </c>
      <c r="I51" s="61" t="s">
        <v>24</v>
      </c>
      <c r="J51" s="63">
        <v>7</v>
      </c>
      <c r="K51" s="64">
        <v>2.5000000000000001E-2</v>
      </c>
      <c r="L51" s="64" t="s">
        <v>18</v>
      </c>
      <c r="M51" s="61">
        <v>3.7</v>
      </c>
      <c r="N51" s="61">
        <v>20.01197729166126</v>
      </c>
      <c r="O51" s="61">
        <v>7.5984374699999995</v>
      </c>
      <c r="P51" s="61">
        <f t="shared" si="1"/>
        <v>81.260272798738157</v>
      </c>
      <c r="Q51" s="61">
        <v>0.10004349717268379</v>
      </c>
      <c r="R51" s="61">
        <v>0.10000511535116886</v>
      </c>
      <c r="S51" s="61">
        <v>5.8034788593443816</v>
      </c>
      <c r="T51" s="61">
        <v>14.41908825</v>
      </c>
      <c r="U51" s="62">
        <v>8</v>
      </c>
      <c r="V51" s="312" t="s">
        <v>309</v>
      </c>
      <c r="AF51" s="13"/>
      <c r="AG51" s="1"/>
      <c r="AH51" s="1"/>
      <c r="AI51" s="1"/>
      <c r="AJ51" s="1"/>
      <c r="AK51" s="1"/>
      <c r="AM51" s="39"/>
      <c r="AN51" s="2"/>
      <c r="AP51" s="1">
        <v>1</v>
      </c>
      <c r="AQ51" s="1">
        <v>1</v>
      </c>
    </row>
    <row r="52" spans="1:43">
      <c r="A52" s="29">
        <v>46</v>
      </c>
      <c r="B52" s="100" t="s">
        <v>37</v>
      </c>
      <c r="C52" s="100" t="s">
        <v>148</v>
      </c>
      <c r="D52" s="100" t="s">
        <v>149</v>
      </c>
      <c r="E52" s="100" t="s">
        <v>150</v>
      </c>
      <c r="F52" s="100" t="s">
        <v>151</v>
      </c>
      <c r="G52" s="100" t="s">
        <v>152</v>
      </c>
      <c r="H52" s="100" t="s">
        <v>130</v>
      </c>
      <c r="I52" s="61" t="s">
        <v>24</v>
      </c>
      <c r="J52" s="63">
        <v>7</v>
      </c>
      <c r="K52" s="64">
        <v>2.5000000000000001E-2</v>
      </c>
      <c r="L52" s="64" t="s">
        <v>18</v>
      </c>
      <c r="M52" s="61">
        <v>3.7</v>
      </c>
      <c r="N52" s="61">
        <v>37.022159393143369</v>
      </c>
      <c r="O52" s="61">
        <v>18.99609246</v>
      </c>
      <c r="P52" s="61">
        <f t="shared" si="1"/>
        <v>170.67024075495897</v>
      </c>
      <c r="Q52" s="61">
        <v>0.10004349717268379</v>
      </c>
      <c r="R52" s="61">
        <v>0.10000511535116886</v>
      </c>
      <c r="S52" s="61">
        <v>23.213915437377526</v>
      </c>
      <c r="T52" s="61">
        <v>8.0106069499999997</v>
      </c>
      <c r="U52" s="62">
        <v>6</v>
      </c>
      <c r="V52" s="312" t="s">
        <v>309</v>
      </c>
      <c r="AF52" s="13"/>
      <c r="AG52" s="1"/>
      <c r="AH52" s="1"/>
      <c r="AI52" s="1"/>
      <c r="AJ52" s="1"/>
      <c r="AK52" s="1"/>
      <c r="AM52" s="39"/>
      <c r="AN52" s="2"/>
      <c r="AP52" s="1">
        <v>1000</v>
      </c>
      <c r="AQ52" s="1">
        <v>1000</v>
      </c>
    </row>
    <row r="53" spans="1:43">
      <c r="A53" s="29">
        <v>47</v>
      </c>
      <c r="B53" s="100" t="s">
        <v>37</v>
      </c>
      <c r="C53" s="100" t="s">
        <v>148</v>
      </c>
      <c r="D53" s="100" t="s">
        <v>149</v>
      </c>
      <c r="E53" s="100" t="s">
        <v>150</v>
      </c>
      <c r="F53" s="100" t="s">
        <v>151</v>
      </c>
      <c r="G53" s="100" t="s">
        <v>152</v>
      </c>
      <c r="H53" s="100" t="s">
        <v>130</v>
      </c>
      <c r="I53" s="61" t="s">
        <v>24</v>
      </c>
      <c r="J53" s="63">
        <v>7</v>
      </c>
      <c r="K53" s="64">
        <v>4.9992352801999998E-2</v>
      </c>
      <c r="L53" s="64" t="s">
        <v>18</v>
      </c>
      <c r="M53" s="61">
        <v>3.7</v>
      </c>
      <c r="N53" s="61">
        <v>37.022159393143369</v>
      </c>
      <c r="O53" s="61">
        <v>18.99609246</v>
      </c>
      <c r="P53" s="61">
        <f t="shared" si="1"/>
        <v>170.67024075495897</v>
      </c>
      <c r="Q53" s="61">
        <v>0.10004349717268379</v>
      </c>
      <c r="R53" s="61">
        <v>0.10000511535116886</v>
      </c>
      <c r="S53" s="61">
        <v>23.213915437377526</v>
      </c>
      <c r="T53" s="61">
        <v>8.0106069499999997</v>
      </c>
      <c r="U53" s="62">
        <v>8</v>
      </c>
      <c r="V53" s="312" t="s">
        <v>309</v>
      </c>
      <c r="AF53" s="13"/>
      <c r="AG53" s="1"/>
      <c r="AH53" s="1"/>
      <c r="AI53" s="1"/>
      <c r="AJ53" s="1"/>
      <c r="AK53" s="1"/>
      <c r="AM53" s="39"/>
      <c r="AN53" s="2"/>
    </row>
    <row r="54" spans="1:43">
      <c r="A54" s="29">
        <v>48</v>
      </c>
      <c r="B54" s="100" t="s">
        <v>37</v>
      </c>
      <c r="C54" s="100" t="s">
        <v>148</v>
      </c>
      <c r="D54" s="100" t="s">
        <v>149</v>
      </c>
      <c r="E54" s="100" t="s">
        <v>150</v>
      </c>
      <c r="F54" s="100" t="s">
        <v>151</v>
      </c>
      <c r="G54" s="100" t="s">
        <v>152</v>
      </c>
      <c r="H54" s="100" t="s">
        <v>130</v>
      </c>
      <c r="I54" s="61" t="s">
        <v>24</v>
      </c>
      <c r="J54" s="63">
        <v>4</v>
      </c>
      <c r="K54" s="64">
        <v>0.05</v>
      </c>
      <c r="L54" s="64" t="s">
        <v>18</v>
      </c>
      <c r="M54" s="61">
        <v>4.7</v>
      </c>
      <c r="N54" s="61">
        <v>42.025132662508113</v>
      </c>
      <c r="O54" s="61">
        <v>14.996915100000001</v>
      </c>
      <c r="P54" s="61">
        <f t="shared" si="1"/>
        <v>166.69405264008276</v>
      </c>
      <c r="Q54" s="61">
        <v>37.515985629299699</v>
      </c>
      <c r="R54" s="61">
        <v>4.0407540345759125</v>
      </c>
      <c r="S54" s="61">
        <v>52.731609055855671</v>
      </c>
      <c r="T54" s="61">
        <v>61.5815305</v>
      </c>
      <c r="U54" s="62">
        <v>8</v>
      </c>
      <c r="V54" s="312" t="s">
        <v>310</v>
      </c>
      <c r="AF54" s="13"/>
      <c r="AG54" s="1"/>
      <c r="AH54" s="1"/>
      <c r="AI54" s="1"/>
      <c r="AJ54" s="1"/>
      <c r="AK54" s="1"/>
      <c r="AM54" s="39"/>
      <c r="AN54" s="2"/>
      <c r="AP54" s="1">
        <v>2</v>
      </c>
      <c r="AQ54" s="1">
        <v>1</v>
      </c>
    </row>
    <row r="55" spans="1:43">
      <c r="A55" s="29">
        <v>49</v>
      </c>
      <c r="B55" s="100" t="s">
        <v>37</v>
      </c>
      <c r="C55" s="100" t="s">
        <v>148</v>
      </c>
      <c r="D55" s="100" t="s">
        <v>149</v>
      </c>
      <c r="E55" s="100" t="s">
        <v>150</v>
      </c>
      <c r="F55" s="100" t="s">
        <v>151</v>
      </c>
      <c r="G55" s="100" t="s">
        <v>152</v>
      </c>
      <c r="H55" s="100" t="s">
        <v>130</v>
      </c>
      <c r="I55" s="61" t="s">
        <v>24</v>
      </c>
      <c r="J55" s="63">
        <v>4</v>
      </c>
      <c r="K55" s="64">
        <v>0.1</v>
      </c>
      <c r="L55" s="64" t="s">
        <v>18</v>
      </c>
      <c r="M55" s="61">
        <v>4.7</v>
      </c>
      <c r="N55" s="61">
        <v>42.025132662508113</v>
      </c>
      <c r="O55" s="61">
        <v>14.996915100000001</v>
      </c>
      <c r="P55" s="61">
        <f t="shared" si="1"/>
        <v>166.69405264008276</v>
      </c>
      <c r="Q55" s="61">
        <v>37.515985629299699</v>
      </c>
      <c r="R55" s="61">
        <v>4.0407540345759125</v>
      </c>
      <c r="S55" s="61">
        <v>52.731609055855671</v>
      </c>
      <c r="T55" s="61">
        <v>61.5815305</v>
      </c>
      <c r="U55" s="62">
        <v>8</v>
      </c>
      <c r="V55" s="312" t="s">
        <v>310</v>
      </c>
      <c r="AF55" s="13"/>
      <c r="AG55" s="1"/>
      <c r="AH55" s="1"/>
      <c r="AI55" s="1"/>
      <c r="AJ55" s="1"/>
      <c r="AK55" s="1"/>
      <c r="AM55" s="39"/>
      <c r="AN55" s="2"/>
      <c r="AP55" s="1">
        <v>1000</v>
      </c>
      <c r="AQ55" s="1">
        <v>500</v>
      </c>
    </row>
    <row r="56" spans="1:43">
      <c r="A56" s="29">
        <v>50</v>
      </c>
      <c r="B56" s="100" t="s">
        <v>39</v>
      </c>
      <c r="C56" s="100" t="s">
        <v>153</v>
      </c>
      <c r="D56" s="100" t="s">
        <v>149</v>
      </c>
      <c r="E56" s="100" t="s">
        <v>150</v>
      </c>
      <c r="F56" s="100" t="s">
        <v>151</v>
      </c>
      <c r="G56" s="100" t="s">
        <v>152</v>
      </c>
      <c r="H56" s="100" t="s">
        <v>130</v>
      </c>
      <c r="I56" s="61" t="s">
        <v>24</v>
      </c>
      <c r="J56" s="73" t="s">
        <v>97</v>
      </c>
      <c r="K56" s="64">
        <v>9.0999999999999998E-2</v>
      </c>
      <c r="L56" s="64" t="s">
        <v>18</v>
      </c>
      <c r="M56" s="61">
        <v>3.9</v>
      </c>
      <c r="N56" s="61">
        <v>32.035362177088011</v>
      </c>
      <c r="O56" s="61">
        <v>4.8870130046428439</v>
      </c>
      <c r="P56" s="61">
        <f t="shared" si="1"/>
        <v>100.117018909308</v>
      </c>
      <c r="Q56" s="61">
        <v>1.5306655067420618</v>
      </c>
      <c r="R56" s="61">
        <v>0.35001790372909097</v>
      </c>
      <c r="S56" s="61">
        <v>20.550483387080639</v>
      </c>
      <c r="T56" s="61">
        <v>54.042898388857729</v>
      </c>
      <c r="U56" s="62">
        <v>6.7</v>
      </c>
      <c r="V56" s="312" t="s">
        <v>315</v>
      </c>
      <c r="AF56" s="13"/>
      <c r="AG56" s="1"/>
      <c r="AH56" s="1"/>
      <c r="AI56" s="1"/>
      <c r="AJ56" s="1"/>
      <c r="AK56" s="1"/>
      <c r="AM56" s="39"/>
      <c r="AN56" s="2"/>
    </row>
    <row r="57" spans="1:43">
      <c r="A57" s="29">
        <v>51</v>
      </c>
      <c r="B57" s="100" t="s">
        <v>39</v>
      </c>
      <c r="C57" s="100" t="s">
        <v>153</v>
      </c>
      <c r="D57" s="100" t="s">
        <v>149</v>
      </c>
      <c r="E57" s="100" t="s">
        <v>150</v>
      </c>
      <c r="F57" s="100" t="s">
        <v>151</v>
      </c>
      <c r="G57" s="100" t="s">
        <v>152</v>
      </c>
      <c r="H57" s="100" t="s">
        <v>130</v>
      </c>
      <c r="I57" s="61" t="s">
        <v>24</v>
      </c>
      <c r="J57" s="73" t="s">
        <v>97</v>
      </c>
      <c r="K57" s="64">
        <v>0.20899999999999999</v>
      </c>
      <c r="L57" s="64" t="s">
        <v>18</v>
      </c>
      <c r="M57" s="61">
        <v>4.0999999999999996</v>
      </c>
      <c r="N57" s="61">
        <v>32.049299700152609</v>
      </c>
      <c r="O57" s="61">
        <v>4.8785692330623673</v>
      </c>
      <c r="P57" s="61">
        <f t="shared" si="1"/>
        <v>100.1170494530319</v>
      </c>
      <c r="Q57" s="61">
        <v>1.0204436711613745</v>
      </c>
      <c r="R57" s="61">
        <v>0.28001432298327283</v>
      </c>
      <c r="S57" s="61">
        <v>20.413051724219955</v>
      </c>
      <c r="T57" s="61">
        <v>54.325823395631446</v>
      </c>
      <c r="U57" s="62">
        <v>6.4</v>
      </c>
      <c r="V57" s="312" t="s">
        <v>315</v>
      </c>
      <c r="AF57" s="13"/>
      <c r="AG57" s="1"/>
      <c r="AH57" s="1"/>
      <c r="AI57" s="1"/>
      <c r="AJ57" s="1"/>
      <c r="AK57" s="1"/>
      <c r="AM57" s="39"/>
      <c r="AN57" s="2"/>
      <c r="AP57" s="1">
        <v>1</v>
      </c>
      <c r="AQ57" s="1">
        <v>2</v>
      </c>
    </row>
    <row r="58" spans="1:43">
      <c r="A58" s="29">
        <v>52</v>
      </c>
      <c r="B58" s="100" t="s">
        <v>38</v>
      </c>
      <c r="C58" s="100" t="s">
        <v>153</v>
      </c>
      <c r="D58" s="100" t="s">
        <v>149</v>
      </c>
      <c r="E58" s="100" t="s">
        <v>150</v>
      </c>
      <c r="F58" s="100" t="s">
        <v>151</v>
      </c>
      <c r="G58" s="100" t="s">
        <v>152</v>
      </c>
      <c r="H58" s="100" t="s">
        <v>130</v>
      </c>
      <c r="I58" s="61" t="s">
        <v>24</v>
      </c>
      <c r="J58" s="63">
        <v>21</v>
      </c>
      <c r="K58" s="64">
        <v>3.5000000000000003E-2</v>
      </c>
      <c r="L58" s="64" t="s">
        <v>18</v>
      </c>
      <c r="M58" s="61">
        <v>1</v>
      </c>
      <c r="N58" s="61">
        <v>13.708203382084935</v>
      </c>
      <c r="O58" s="61">
        <v>3.0993629399999998</v>
      </c>
      <c r="P58" s="61">
        <f t="shared" si="1"/>
        <v>46.992560431986078</v>
      </c>
      <c r="Q58" s="61">
        <v>1.1304815653640716</v>
      </c>
      <c r="R58" s="61">
        <v>0.53009879843105279</v>
      </c>
      <c r="S58" s="61">
        <v>3.4013449647102911</v>
      </c>
      <c r="T58" s="61">
        <v>1.2216174799999999</v>
      </c>
      <c r="U58" s="62">
        <v>7.7</v>
      </c>
      <c r="V58" s="312" t="s">
        <v>311</v>
      </c>
      <c r="AF58" s="13"/>
      <c r="AG58" s="1"/>
      <c r="AH58" s="1"/>
      <c r="AI58" s="1"/>
      <c r="AJ58" s="1"/>
      <c r="AK58" s="1"/>
      <c r="AM58" s="39"/>
      <c r="AN58" s="2"/>
      <c r="AP58" s="1">
        <v>500</v>
      </c>
      <c r="AQ58" s="1">
        <v>1000</v>
      </c>
    </row>
    <row r="59" spans="1:43">
      <c r="A59" s="29">
        <v>53</v>
      </c>
      <c r="B59" s="100" t="s">
        <v>38</v>
      </c>
      <c r="C59" s="100" t="s">
        <v>153</v>
      </c>
      <c r="D59" s="100" t="s">
        <v>149</v>
      </c>
      <c r="E59" s="100" t="s">
        <v>150</v>
      </c>
      <c r="F59" s="100" t="s">
        <v>151</v>
      </c>
      <c r="G59" s="100" t="s">
        <v>152</v>
      </c>
      <c r="H59" s="100" t="s">
        <v>130</v>
      </c>
      <c r="I59" s="61" t="s">
        <v>24</v>
      </c>
      <c r="J59" s="63">
        <v>21</v>
      </c>
      <c r="K59" s="64">
        <v>7.3999999999999996E-2</v>
      </c>
      <c r="L59" s="64" t="s">
        <v>18</v>
      </c>
      <c r="M59" s="61">
        <v>1</v>
      </c>
      <c r="N59" s="61">
        <v>13.708203382084935</v>
      </c>
      <c r="O59" s="61">
        <v>3.0993629399999998</v>
      </c>
      <c r="P59" s="61">
        <f t="shared" si="1"/>
        <v>46.992560431986078</v>
      </c>
      <c r="Q59" s="61">
        <v>1.1304815653640716</v>
      </c>
      <c r="R59" s="61">
        <v>0.53009879843105279</v>
      </c>
      <c r="S59" s="61">
        <v>3.4013449647102911</v>
      </c>
      <c r="T59" s="61">
        <v>1.2216174799999999</v>
      </c>
      <c r="U59" s="62">
        <v>7.7</v>
      </c>
      <c r="V59" s="312" t="s">
        <v>312</v>
      </c>
      <c r="AF59" s="13"/>
      <c r="AG59" s="1"/>
      <c r="AH59" s="1"/>
      <c r="AI59" s="1"/>
      <c r="AJ59" s="1"/>
      <c r="AK59" s="1"/>
      <c r="AM59" s="39"/>
      <c r="AN59" s="2"/>
    </row>
    <row r="60" spans="1:43">
      <c r="A60" s="29">
        <v>54</v>
      </c>
      <c r="B60" s="100" t="s">
        <v>38</v>
      </c>
      <c r="C60" s="100" t="s">
        <v>153</v>
      </c>
      <c r="D60" s="100" t="s">
        <v>149</v>
      </c>
      <c r="E60" s="100" t="s">
        <v>150</v>
      </c>
      <c r="F60" s="100" t="s">
        <v>151</v>
      </c>
      <c r="G60" s="100" t="s">
        <v>152</v>
      </c>
      <c r="H60" s="100" t="s">
        <v>130</v>
      </c>
      <c r="I60" s="61" t="s">
        <v>24</v>
      </c>
      <c r="J60" s="63">
        <v>21</v>
      </c>
      <c r="K60" s="64">
        <v>0.1</v>
      </c>
      <c r="L60" s="64" t="s">
        <v>18</v>
      </c>
      <c r="M60" s="61">
        <v>1</v>
      </c>
      <c r="N60" s="61">
        <v>20.01197729166126</v>
      </c>
      <c r="O60" s="61">
        <v>3.6992400300000003</v>
      </c>
      <c r="P60" s="61">
        <f t="shared" si="1"/>
        <v>65.203377740818169</v>
      </c>
      <c r="Q60" s="61">
        <v>11.78524492504307</v>
      </c>
      <c r="R60" s="61">
        <v>2.1242164768883369</v>
      </c>
      <c r="S60" s="61">
        <v>18.7073973059066</v>
      </c>
      <c r="T60" s="61">
        <v>17.022536879812709</v>
      </c>
      <c r="U60" s="62">
        <v>7.7</v>
      </c>
      <c r="V60" s="312" t="s">
        <v>313</v>
      </c>
      <c r="AF60" s="13"/>
      <c r="AG60" s="1"/>
      <c r="AH60" s="1"/>
      <c r="AI60" s="1"/>
      <c r="AJ60" s="1"/>
      <c r="AK60" s="1"/>
      <c r="AM60" s="39"/>
      <c r="AN60" s="2"/>
    </row>
    <row r="61" spans="1:43">
      <c r="A61" s="29">
        <v>55</v>
      </c>
      <c r="B61" s="100" t="s">
        <v>38</v>
      </c>
      <c r="C61" s="100" t="s">
        <v>153</v>
      </c>
      <c r="D61" s="100" t="s">
        <v>149</v>
      </c>
      <c r="E61" s="100" t="s">
        <v>150</v>
      </c>
      <c r="F61" s="100" t="s">
        <v>151</v>
      </c>
      <c r="G61" s="100" t="s">
        <v>152</v>
      </c>
      <c r="H61" s="100" t="s">
        <v>130</v>
      </c>
      <c r="I61" s="61" t="s">
        <v>24</v>
      </c>
      <c r="J61" s="63">
        <v>21</v>
      </c>
      <c r="K61" s="64">
        <v>0.1</v>
      </c>
      <c r="L61" s="64" t="s">
        <v>18</v>
      </c>
      <c r="M61" s="61">
        <v>1</v>
      </c>
      <c r="N61" s="61">
        <v>20.01197729166126</v>
      </c>
      <c r="O61" s="61">
        <v>3.6992400300000003</v>
      </c>
      <c r="P61" s="61">
        <f t="shared" si="1"/>
        <v>65.203377740818169</v>
      </c>
      <c r="Q61" s="61">
        <v>11.78524492504307</v>
      </c>
      <c r="R61" s="61">
        <v>2.1242164768883369</v>
      </c>
      <c r="S61" s="61">
        <v>18.7073973059066</v>
      </c>
      <c r="T61" s="61">
        <v>17.022536879812709</v>
      </c>
      <c r="U61" s="62">
        <v>7.7</v>
      </c>
      <c r="V61" s="312" t="s">
        <v>313</v>
      </c>
      <c r="AF61" s="13"/>
      <c r="AG61" s="1"/>
      <c r="AH61" s="1"/>
      <c r="AI61" s="1"/>
      <c r="AJ61" s="1"/>
      <c r="AK61" s="1"/>
      <c r="AM61" s="39"/>
      <c r="AN61" s="2"/>
    </row>
    <row r="62" spans="1:43">
      <c r="A62" s="29">
        <v>56</v>
      </c>
      <c r="B62" s="100" t="s">
        <v>38</v>
      </c>
      <c r="C62" s="100" t="s">
        <v>153</v>
      </c>
      <c r="D62" s="100" t="s">
        <v>149</v>
      </c>
      <c r="E62" s="100" t="s">
        <v>150</v>
      </c>
      <c r="F62" s="100" t="s">
        <v>151</v>
      </c>
      <c r="G62" s="100" t="s">
        <v>152</v>
      </c>
      <c r="H62" s="100" t="s">
        <v>130</v>
      </c>
      <c r="I62" s="61" t="s">
        <v>24</v>
      </c>
      <c r="J62" s="63">
        <v>21</v>
      </c>
      <c r="K62" s="64">
        <v>2.5000000000000001E-2</v>
      </c>
      <c r="L62" s="64" t="s">
        <v>18</v>
      </c>
      <c r="M62" s="61">
        <v>1</v>
      </c>
      <c r="N62" s="61">
        <v>20.01197729166126</v>
      </c>
      <c r="O62" s="61">
        <v>3.6992400300000003</v>
      </c>
      <c r="P62" s="61">
        <f t="shared" si="1"/>
        <v>65.203377740818169</v>
      </c>
      <c r="Q62" s="61">
        <v>11.78524492504307</v>
      </c>
      <c r="R62" s="61">
        <v>2.1242164768883369</v>
      </c>
      <c r="S62" s="61">
        <v>18.7073973059066</v>
      </c>
      <c r="T62" s="61">
        <v>17.022536879812709</v>
      </c>
      <c r="U62" s="62">
        <v>7.7</v>
      </c>
      <c r="V62" s="312" t="s">
        <v>313</v>
      </c>
      <c r="AF62" s="13"/>
      <c r="AG62" s="1"/>
      <c r="AH62" s="1"/>
      <c r="AI62" s="1"/>
      <c r="AJ62" s="1"/>
      <c r="AK62" s="1"/>
      <c r="AM62" s="39"/>
      <c r="AN62" s="2"/>
    </row>
    <row r="63" spans="1:43">
      <c r="A63" s="29">
        <v>57</v>
      </c>
      <c r="B63" s="100" t="s">
        <v>38</v>
      </c>
      <c r="C63" s="100" t="s">
        <v>153</v>
      </c>
      <c r="D63" s="100" t="s">
        <v>149</v>
      </c>
      <c r="E63" s="100" t="s">
        <v>150</v>
      </c>
      <c r="F63" s="100" t="s">
        <v>151</v>
      </c>
      <c r="G63" s="100" t="s">
        <v>152</v>
      </c>
      <c r="H63" s="100" t="s">
        <v>130</v>
      </c>
      <c r="I63" s="61" t="s">
        <v>24</v>
      </c>
      <c r="J63" s="63">
        <v>21</v>
      </c>
      <c r="K63" s="64">
        <v>3.9234000000000005E-2</v>
      </c>
      <c r="L63" s="64" t="s">
        <v>18</v>
      </c>
      <c r="M63" s="61">
        <v>0.3</v>
      </c>
      <c r="N63" s="61">
        <v>10.026001549478519</v>
      </c>
      <c r="O63" s="61">
        <v>6.0787494900000008</v>
      </c>
      <c r="P63" s="61">
        <f t="shared" si="1"/>
        <v>50.067216268867867</v>
      </c>
      <c r="Q63" s="61">
        <v>47.840388812048715</v>
      </c>
      <c r="R63" s="61">
        <v>3.0505694349212851</v>
      </c>
      <c r="S63" s="61">
        <v>24.024400242523036</v>
      </c>
      <c r="T63" s="61">
        <v>20.517164649999998</v>
      </c>
      <c r="U63" s="62">
        <v>6.6</v>
      </c>
      <c r="V63" s="312" t="s">
        <v>314</v>
      </c>
      <c r="AF63" s="13"/>
      <c r="AG63" s="1"/>
      <c r="AH63" s="1"/>
      <c r="AI63" s="1"/>
      <c r="AJ63" s="1"/>
      <c r="AK63" s="1"/>
      <c r="AM63" s="39"/>
      <c r="AN63" s="2"/>
    </row>
    <row r="64" spans="1:43">
      <c r="A64" s="29">
        <v>58</v>
      </c>
      <c r="B64" s="100" t="s">
        <v>38</v>
      </c>
      <c r="C64" s="100" t="s">
        <v>153</v>
      </c>
      <c r="D64" s="100" t="s">
        <v>149</v>
      </c>
      <c r="E64" s="100" t="s">
        <v>150</v>
      </c>
      <c r="F64" s="100" t="s">
        <v>151</v>
      </c>
      <c r="G64" s="100" t="s">
        <v>152</v>
      </c>
      <c r="H64" s="100" t="s">
        <v>130</v>
      </c>
      <c r="I64" s="61" t="s">
        <v>24</v>
      </c>
      <c r="J64" s="63">
        <v>21</v>
      </c>
      <c r="K64" s="64">
        <v>4.9696400000000002E-2</v>
      </c>
      <c r="L64" s="64" t="s">
        <v>18</v>
      </c>
      <c r="M64" s="61">
        <v>0.3</v>
      </c>
      <c r="N64" s="61">
        <v>20.052003098957037</v>
      </c>
      <c r="O64" s="61">
        <v>6.0787494900000008</v>
      </c>
      <c r="P64" s="61">
        <f t="shared" si="1"/>
        <v>75.102142137915735</v>
      </c>
      <c r="Q64" s="61">
        <v>47.840388812048715</v>
      </c>
      <c r="R64" s="61">
        <v>3.0505694349212851</v>
      </c>
      <c r="S64" s="61">
        <v>24.024400242523036</v>
      </c>
      <c r="T64" s="61">
        <v>38.270668499999999</v>
      </c>
      <c r="U64" s="62">
        <v>6.6</v>
      </c>
      <c r="V64" s="312" t="s">
        <v>314</v>
      </c>
      <c r="AF64" s="13"/>
      <c r="AG64" s="1"/>
      <c r="AH64" s="1"/>
      <c r="AI64" s="1"/>
      <c r="AJ64" s="1"/>
      <c r="AK64" s="1"/>
      <c r="AM64" s="39"/>
      <c r="AN64" s="2"/>
    </row>
    <row r="65" spans="1:40">
      <c r="A65" s="29">
        <v>59</v>
      </c>
      <c r="B65" s="100" t="s">
        <v>38</v>
      </c>
      <c r="C65" s="100" t="s">
        <v>153</v>
      </c>
      <c r="D65" s="100" t="s">
        <v>149</v>
      </c>
      <c r="E65" s="100" t="s">
        <v>150</v>
      </c>
      <c r="F65" s="100" t="s">
        <v>151</v>
      </c>
      <c r="G65" s="100" t="s">
        <v>152</v>
      </c>
      <c r="H65" s="100" t="s">
        <v>130</v>
      </c>
      <c r="I65" s="61" t="s">
        <v>24</v>
      </c>
      <c r="J65" s="63">
        <v>21</v>
      </c>
      <c r="K65" s="64">
        <v>5.4273700000000001E-2</v>
      </c>
      <c r="L65" s="64" t="s">
        <v>18</v>
      </c>
      <c r="M65" s="61">
        <v>0.3</v>
      </c>
      <c r="N65" s="61">
        <v>40.104006197914075</v>
      </c>
      <c r="O65" s="61">
        <v>6.0787494900000008</v>
      </c>
      <c r="P65" s="61">
        <f t="shared" si="1"/>
        <v>125.17199387601144</v>
      </c>
      <c r="Q65" s="61">
        <v>47.840388812048715</v>
      </c>
      <c r="R65" s="61">
        <v>3.0505694349212851</v>
      </c>
      <c r="S65" s="61">
        <v>24.024400242523036</v>
      </c>
      <c r="T65" s="61">
        <v>73.757639999999995</v>
      </c>
      <c r="U65" s="62">
        <v>6.6</v>
      </c>
      <c r="V65" s="312" t="s">
        <v>314</v>
      </c>
      <c r="AF65" s="13"/>
      <c r="AG65" s="1"/>
      <c r="AH65" s="1"/>
      <c r="AI65" s="1"/>
      <c r="AJ65" s="1"/>
      <c r="AK65" s="1"/>
      <c r="AM65" s="39"/>
      <c r="AN65" s="2"/>
    </row>
    <row r="66" spans="1:40">
      <c r="A66" s="29">
        <v>60</v>
      </c>
      <c r="B66" s="100" t="s">
        <v>38</v>
      </c>
      <c r="C66" s="100" t="s">
        <v>153</v>
      </c>
      <c r="D66" s="100" t="s">
        <v>149</v>
      </c>
      <c r="E66" s="100" t="s">
        <v>150</v>
      </c>
      <c r="F66" s="100" t="s">
        <v>151</v>
      </c>
      <c r="G66" s="100" t="s">
        <v>152</v>
      </c>
      <c r="H66" s="100" t="s">
        <v>130</v>
      </c>
      <c r="I66" s="61" t="s">
        <v>24</v>
      </c>
      <c r="J66" s="63">
        <v>21</v>
      </c>
      <c r="K66" s="64">
        <v>9.2199900000000001E-2</v>
      </c>
      <c r="L66" s="64" t="s">
        <v>18</v>
      </c>
      <c r="M66" s="61">
        <v>0.3</v>
      </c>
      <c r="N66" s="61">
        <v>80.208012395828149</v>
      </c>
      <c r="O66" s="61">
        <v>6.0787494900000008</v>
      </c>
      <c r="P66" s="61">
        <f t="shared" si="1"/>
        <v>225.31169735220288</v>
      </c>
      <c r="Q66" s="61">
        <v>47.840388812048715</v>
      </c>
      <c r="R66" s="61">
        <v>3.0505694349212851</v>
      </c>
      <c r="S66" s="61">
        <v>24.024400242523036</v>
      </c>
      <c r="T66" s="61">
        <v>144.76165149999997</v>
      </c>
      <c r="U66" s="62">
        <v>6.6</v>
      </c>
      <c r="V66" s="312" t="s">
        <v>314</v>
      </c>
      <c r="AF66" s="13"/>
      <c r="AG66" s="1"/>
      <c r="AH66" s="1"/>
      <c r="AI66" s="1"/>
      <c r="AJ66" s="1"/>
      <c r="AK66" s="1"/>
      <c r="AM66" s="39"/>
      <c r="AN66" s="2"/>
    </row>
    <row r="67" spans="1:40">
      <c r="A67" s="29">
        <v>61</v>
      </c>
      <c r="B67" s="100" t="s">
        <v>38</v>
      </c>
      <c r="C67" s="100" t="s">
        <v>153</v>
      </c>
      <c r="D67" s="100" t="s">
        <v>149</v>
      </c>
      <c r="E67" s="100" t="s">
        <v>150</v>
      </c>
      <c r="F67" s="100" t="s">
        <v>151</v>
      </c>
      <c r="G67" s="100" t="s">
        <v>152</v>
      </c>
      <c r="H67" s="100" t="s">
        <v>130</v>
      </c>
      <c r="I67" s="61" t="s">
        <v>24</v>
      </c>
      <c r="J67" s="63">
        <v>21</v>
      </c>
      <c r="K67" s="64">
        <v>0.1575899</v>
      </c>
      <c r="L67" s="64" t="s">
        <v>18</v>
      </c>
      <c r="M67" s="61">
        <v>0.3</v>
      </c>
      <c r="N67" s="61">
        <v>120.26598133639405</v>
      </c>
      <c r="O67" s="61">
        <v>6.0987451141740383</v>
      </c>
      <c r="P67" s="61">
        <f t="shared" si="1"/>
        <v>325.41878777714464</v>
      </c>
      <c r="Q67" s="61">
        <v>47.820791648542837</v>
      </c>
      <c r="R67" s="61">
        <v>3.1001585758862351</v>
      </c>
      <c r="S67" s="61">
        <v>24.009493868543231</v>
      </c>
      <c r="T67" s="61">
        <v>215.78568809409643</v>
      </c>
      <c r="U67" s="62">
        <v>6.6</v>
      </c>
      <c r="V67" s="312" t="s">
        <v>314</v>
      </c>
      <c r="AF67" s="13"/>
      <c r="AG67" s="1"/>
      <c r="AH67" s="1"/>
      <c r="AI67" s="1"/>
      <c r="AJ67" s="1"/>
      <c r="AK67" s="1"/>
      <c r="AM67" s="39"/>
      <c r="AN67" s="2"/>
    </row>
    <row r="68" spans="1:40">
      <c r="A68" s="29">
        <v>62</v>
      </c>
      <c r="B68" s="100" t="s">
        <v>38</v>
      </c>
      <c r="C68" s="100" t="s">
        <v>153</v>
      </c>
      <c r="D68" s="100" t="s">
        <v>149</v>
      </c>
      <c r="E68" s="100" t="s">
        <v>150</v>
      </c>
      <c r="F68" s="100" t="s">
        <v>151</v>
      </c>
      <c r="G68" s="100" t="s">
        <v>152</v>
      </c>
      <c r="H68" s="100" t="s">
        <v>130</v>
      </c>
      <c r="I68" s="61" t="s">
        <v>24</v>
      </c>
      <c r="J68" s="63">
        <v>21</v>
      </c>
      <c r="K68" s="64">
        <v>9.8084999999999992E-2</v>
      </c>
      <c r="L68" s="64" t="s">
        <v>18</v>
      </c>
      <c r="M68" s="61">
        <v>0.3</v>
      </c>
      <c r="N68" s="61">
        <v>160.38799341284499</v>
      </c>
      <c r="O68" s="61">
        <v>6.0987451141740383</v>
      </c>
      <c r="P68" s="61">
        <f t="shared" si="1"/>
        <v>425.60345193204262</v>
      </c>
      <c r="Q68" s="61">
        <v>47.820791648542837</v>
      </c>
      <c r="R68" s="61">
        <v>3.1001585758862351</v>
      </c>
      <c r="S68" s="61">
        <v>24.009493868543231</v>
      </c>
      <c r="T68" s="61">
        <v>286.77968013990352</v>
      </c>
      <c r="U68" s="62">
        <v>6.6</v>
      </c>
      <c r="V68" s="312" t="s">
        <v>314</v>
      </c>
      <c r="AF68" s="13"/>
      <c r="AG68" s="1"/>
      <c r="AH68" s="1"/>
      <c r="AI68" s="1"/>
      <c r="AJ68" s="1"/>
      <c r="AK68" s="1"/>
      <c r="AM68" s="39"/>
      <c r="AN68" s="2"/>
    </row>
    <row r="69" spans="1:40">
      <c r="A69" s="29">
        <v>63</v>
      </c>
      <c r="B69" s="100" t="s">
        <v>38</v>
      </c>
      <c r="C69" s="100" t="s">
        <v>153</v>
      </c>
      <c r="D69" s="100" t="s">
        <v>149</v>
      </c>
      <c r="E69" s="100" t="s">
        <v>150</v>
      </c>
      <c r="F69" s="100" t="s">
        <v>151</v>
      </c>
      <c r="G69" s="100" t="s">
        <v>152</v>
      </c>
      <c r="H69" s="100" t="s">
        <v>130</v>
      </c>
      <c r="I69" s="61" t="s">
        <v>24</v>
      </c>
      <c r="J69" s="63">
        <v>21</v>
      </c>
      <c r="K69" s="64">
        <v>4.7734699999999998E-2</v>
      </c>
      <c r="L69" s="64" t="s">
        <v>18</v>
      </c>
      <c r="M69" s="61">
        <v>0.3</v>
      </c>
      <c r="N69" s="61">
        <v>10.005489295873048</v>
      </c>
      <c r="O69" s="61">
        <v>6.0987451141740383</v>
      </c>
      <c r="P69" s="61">
        <f t="shared" si="1"/>
        <v>50.098339151963692</v>
      </c>
      <c r="Q69" s="61">
        <v>47.820791648542837</v>
      </c>
      <c r="R69" s="61">
        <v>3.1001585758862351</v>
      </c>
      <c r="S69" s="61">
        <v>24.009493868543231</v>
      </c>
      <c r="T69" s="61">
        <v>20.527176825656504</v>
      </c>
      <c r="U69" s="62">
        <v>6.6</v>
      </c>
      <c r="V69" s="312" t="s">
        <v>314</v>
      </c>
      <c r="AF69" s="13"/>
      <c r="AG69" s="1"/>
      <c r="AH69" s="1"/>
      <c r="AI69" s="1"/>
      <c r="AJ69" s="1"/>
      <c r="AK69" s="1"/>
      <c r="AM69" s="39"/>
      <c r="AN69" s="2"/>
    </row>
    <row r="70" spans="1:40">
      <c r="A70" s="29">
        <v>64</v>
      </c>
      <c r="B70" s="100" t="s">
        <v>38</v>
      </c>
      <c r="C70" s="100" t="s">
        <v>153</v>
      </c>
      <c r="D70" s="100" t="s">
        <v>149</v>
      </c>
      <c r="E70" s="100" t="s">
        <v>150</v>
      </c>
      <c r="F70" s="100" t="s">
        <v>151</v>
      </c>
      <c r="G70" s="100" t="s">
        <v>152</v>
      </c>
      <c r="H70" s="100" t="s">
        <v>130</v>
      </c>
      <c r="I70" s="61" t="s">
        <v>24</v>
      </c>
      <c r="J70" s="63">
        <v>21</v>
      </c>
      <c r="K70" s="64">
        <v>4.7734699999999998E-2</v>
      </c>
      <c r="L70" s="64" t="s">
        <v>18</v>
      </c>
      <c r="M70" s="61">
        <v>0.3</v>
      </c>
      <c r="N70" s="61">
        <v>10.026001549478519</v>
      </c>
      <c r="O70" s="61">
        <v>12.157498980000002</v>
      </c>
      <c r="P70" s="61">
        <f t="shared" si="1"/>
        <v>75.099506668687866</v>
      </c>
      <c r="Q70" s="61">
        <v>47.840388812048715</v>
      </c>
      <c r="R70" s="61">
        <v>3.0505694349212851</v>
      </c>
      <c r="S70" s="61">
        <v>48.048800485046073</v>
      </c>
      <c r="T70" s="61">
        <v>20.517164649999998</v>
      </c>
      <c r="U70" s="62">
        <v>6.6</v>
      </c>
      <c r="V70" s="312" t="s">
        <v>314</v>
      </c>
      <c r="AF70" s="13"/>
      <c r="AG70" s="1"/>
      <c r="AH70" s="1"/>
      <c r="AI70" s="1"/>
      <c r="AJ70" s="1"/>
      <c r="AK70" s="1"/>
      <c r="AM70" s="39"/>
      <c r="AN70" s="2"/>
    </row>
    <row r="71" spans="1:40">
      <c r="A71" s="29">
        <v>65</v>
      </c>
      <c r="B71" s="100" t="s">
        <v>38</v>
      </c>
      <c r="C71" s="100" t="s">
        <v>153</v>
      </c>
      <c r="D71" s="100" t="s">
        <v>149</v>
      </c>
      <c r="E71" s="100" t="s">
        <v>150</v>
      </c>
      <c r="F71" s="100" t="s">
        <v>151</v>
      </c>
      <c r="G71" s="100" t="s">
        <v>152</v>
      </c>
      <c r="H71" s="100" t="s">
        <v>130</v>
      </c>
      <c r="I71" s="61" t="s">
        <v>24</v>
      </c>
      <c r="J71" s="63">
        <v>21</v>
      </c>
      <c r="K71" s="64">
        <v>0.14712749999999999</v>
      </c>
      <c r="L71" s="64" t="s">
        <v>18</v>
      </c>
      <c r="M71" s="61">
        <v>0.3</v>
      </c>
      <c r="N71" s="61">
        <v>10.026001549478519</v>
      </c>
      <c r="O71" s="61">
        <v>24.3050058</v>
      </c>
      <c r="P71" s="61">
        <f t="shared" si="1"/>
        <v>125.12293975344787</v>
      </c>
      <c r="Q71" s="61">
        <v>47.840388812048715</v>
      </c>
      <c r="R71" s="61">
        <v>3.0505694349212851</v>
      </c>
      <c r="S71" s="61">
        <v>96.087587391788617</v>
      </c>
      <c r="T71" s="61">
        <v>20.517164649999998</v>
      </c>
      <c r="U71" s="62">
        <v>6.6</v>
      </c>
      <c r="V71" s="312" t="s">
        <v>314</v>
      </c>
      <c r="AF71" s="13"/>
      <c r="AG71" s="1"/>
      <c r="AH71" s="1"/>
      <c r="AI71" s="1"/>
      <c r="AJ71" s="1"/>
      <c r="AK71" s="1"/>
      <c r="AM71" s="39"/>
      <c r="AN71" s="2"/>
    </row>
    <row r="72" spans="1:40">
      <c r="A72" s="29">
        <v>66</v>
      </c>
      <c r="B72" s="100" t="s">
        <v>38</v>
      </c>
      <c r="C72" s="100" t="s">
        <v>153</v>
      </c>
      <c r="D72" s="100" t="s">
        <v>149</v>
      </c>
      <c r="E72" s="100" t="s">
        <v>150</v>
      </c>
      <c r="F72" s="100" t="s">
        <v>151</v>
      </c>
      <c r="G72" s="100" t="s">
        <v>152</v>
      </c>
      <c r="H72" s="100" t="s">
        <v>130</v>
      </c>
      <c r="I72" s="61" t="s">
        <v>24</v>
      </c>
      <c r="J72" s="63">
        <v>21</v>
      </c>
      <c r="K72" s="64">
        <v>0.16478280000000001</v>
      </c>
      <c r="L72" s="64" t="s">
        <v>18</v>
      </c>
      <c r="M72" s="61">
        <v>0.3</v>
      </c>
      <c r="N72" s="61">
        <v>10.026001549478519</v>
      </c>
      <c r="O72" s="61">
        <v>36.462490199999998</v>
      </c>
      <c r="P72" s="61">
        <f t="shared" si="1"/>
        <v>175.18746051264787</v>
      </c>
      <c r="Q72" s="61">
        <v>47.840388812048715</v>
      </c>
      <c r="R72" s="61">
        <v>3.0505694349212851</v>
      </c>
      <c r="S72" s="61">
        <v>144.13642631667463</v>
      </c>
      <c r="T72" s="61">
        <v>20.517164649999998</v>
      </c>
      <c r="U72" s="62">
        <v>6.6</v>
      </c>
      <c r="V72" s="312" t="s">
        <v>314</v>
      </c>
      <c r="AF72" s="13"/>
      <c r="AG72" s="1"/>
      <c r="AH72" s="1"/>
      <c r="AI72" s="1"/>
      <c r="AJ72" s="1"/>
      <c r="AK72" s="1"/>
      <c r="AM72" s="39"/>
      <c r="AN72" s="2"/>
    </row>
    <row r="73" spans="1:40">
      <c r="A73" s="29">
        <v>67</v>
      </c>
      <c r="B73" s="100" t="s">
        <v>38</v>
      </c>
      <c r="C73" s="100" t="s">
        <v>153</v>
      </c>
      <c r="D73" s="100" t="s">
        <v>149</v>
      </c>
      <c r="E73" s="100" t="s">
        <v>150</v>
      </c>
      <c r="F73" s="100" t="s">
        <v>151</v>
      </c>
      <c r="G73" s="100" t="s">
        <v>152</v>
      </c>
      <c r="H73" s="100" t="s">
        <v>130</v>
      </c>
      <c r="I73" s="61" t="s">
        <v>24</v>
      </c>
      <c r="J73" s="63">
        <v>21</v>
      </c>
      <c r="K73" s="64">
        <v>0.1588977</v>
      </c>
      <c r="L73" s="64" t="s">
        <v>18</v>
      </c>
      <c r="M73" s="61">
        <v>0.3</v>
      </c>
      <c r="N73" s="61">
        <v>10.026001549478519</v>
      </c>
      <c r="O73" s="61">
        <v>48.609987300000007</v>
      </c>
      <c r="P73" s="61">
        <f t="shared" si="1"/>
        <v>225.21085357044791</v>
      </c>
      <c r="Q73" s="61">
        <v>47.840388812048715</v>
      </c>
      <c r="R73" s="61">
        <v>3.0505694349212851</v>
      </c>
      <c r="S73" s="61">
        <v>192.17517478357723</v>
      </c>
      <c r="T73" s="61">
        <v>20.517164649999998</v>
      </c>
      <c r="U73" s="62">
        <v>6.6</v>
      </c>
      <c r="V73" s="312" t="s">
        <v>314</v>
      </c>
      <c r="AF73" s="13"/>
      <c r="AG73" s="1"/>
      <c r="AH73" s="1"/>
      <c r="AI73" s="1"/>
      <c r="AJ73" s="1"/>
      <c r="AK73" s="1"/>
      <c r="AM73" s="39"/>
      <c r="AN73" s="2"/>
    </row>
    <row r="74" spans="1:40">
      <c r="A74" s="29">
        <v>68</v>
      </c>
      <c r="B74" s="100" t="s">
        <v>38</v>
      </c>
      <c r="C74" s="100" t="s">
        <v>153</v>
      </c>
      <c r="D74" s="100" t="s">
        <v>149</v>
      </c>
      <c r="E74" s="100" t="s">
        <v>150</v>
      </c>
      <c r="F74" s="100" t="s">
        <v>151</v>
      </c>
      <c r="G74" s="100" t="s">
        <v>152</v>
      </c>
      <c r="H74" s="100" t="s">
        <v>130</v>
      </c>
      <c r="I74" s="61" t="s">
        <v>24</v>
      </c>
      <c r="J74" s="63">
        <v>21</v>
      </c>
      <c r="K74" s="64">
        <v>0.15628210000000001</v>
      </c>
      <c r="L74" s="64" t="s">
        <v>18</v>
      </c>
      <c r="M74" s="61">
        <v>0.3</v>
      </c>
      <c r="N74" s="61">
        <v>10.005489295873048</v>
      </c>
      <c r="O74" s="61">
        <v>97.180004114379756</v>
      </c>
      <c r="P74" s="61">
        <f t="shared" si="1"/>
        <v>425.17096371481091</v>
      </c>
      <c r="Q74" s="61">
        <v>47.820791648542837</v>
      </c>
      <c r="R74" s="61">
        <v>3.1001585758862351</v>
      </c>
      <c r="S74" s="61">
        <v>384.25194145447733</v>
      </c>
      <c r="T74" s="61">
        <v>20.527176825656504</v>
      </c>
      <c r="U74" s="62">
        <v>6.6</v>
      </c>
      <c r="V74" s="312" t="s">
        <v>314</v>
      </c>
      <c r="AF74" s="13"/>
      <c r="AG74" s="1"/>
      <c r="AH74" s="1"/>
      <c r="AI74" s="1"/>
      <c r="AJ74" s="1"/>
      <c r="AK74" s="1"/>
      <c r="AM74" s="39"/>
      <c r="AN74" s="2"/>
    </row>
    <row r="75" spans="1:40">
      <c r="A75" s="29">
        <v>69</v>
      </c>
      <c r="B75" s="100" t="s">
        <v>38</v>
      </c>
      <c r="C75" s="100" t="s">
        <v>153</v>
      </c>
      <c r="D75" s="100" t="s">
        <v>149</v>
      </c>
      <c r="E75" s="100" t="s">
        <v>150</v>
      </c>
      <c r="F75" s="100" t="s">
        <v>151</v>
      </c>
      <c r="G75" s="100" t="s">
        <v>152</v>
      </c>
      <c r="H75" s="100" t="s">
        <v>130</v>
      </c>
      <c r="I75" s="61" t="s">
        <v>24</v>
      </c>
      <c r="J75" s="63">
        <v>21</v>
      </c>
      <c r="K75" s="64">
        <v>7.9000000000000001E-2</v>
      </c>
      <c r="L75" s="64" t="s">
        <v>18</v>
      </c>
      <c r="M75" s="61">
        <v>0.3</v>
      </c>
      <c r="N75" s="61">
        <v>10.005489295873048</v>
      </c>
      <c r="O75" s="61">
        <v>6.0987451141740383</v>
      </c>
      <c r="P75" s="61">
        <f t="shared" ref="P75:P103" si="2">N75*2.497+O75*4.118</f>
        <v>50.098339151963692</v>
      </c>
      <c r="Q75" s="61">
        <v>47.820791648542837</v>
      </c>
      <c r="R75" s="61">
        <v>3.1001585758862351</v>
      </c>
      <c r="S75" s="61">
        <v>24.009493868543231</v>
      </c>
      <c r="T75" s="61">
        <v>20.527176825656504</v>
      </c>
      <c r="U75" s="62">
        <v>6.6</v>
      </c>
      <c r="V75" s="312" t="s">
        <v>314</v>
      </c>
      <c r="AF75" s="13"/>
      <c r="AG75" s="1"/>
      <c r="AH75" s="1"/>
      <c r="AI75" s="1"/>
      <c r="AJ75" s="1"/>
      <c r="AK75" s="1"/>
      <c r="AM75" s="39"/>
      <c r="AN75" s="2"/>
    </row>
    <row r="76" spans="1:40">
      <c r="A76" s="29">
        <v>70</v>
      </c>
      <c r="B76" s="100" t="s">
        <v>38</v>
      </c>
      <c r="C76" s="100" t="s">
        <v>153</v>
      </c>
      <c r="D76" s="100" t="s">
        <v>149</v>
      </c>
      <c r="E76" s="100" t="s">
        <v>150</v>
      </c>
      <c r="F76" s="100" t="s">
        <v>151</v>
      </c>
      <c r="G76" s="100" t="s">
        <v>152</v>
      </c>
      <c r="H76" s="100" t="s">
        <v>130</v>
      </c>
      <c r="I76" s="61" t="s">
        <v>24</v>
      </c>
      <c r="J76" s="63">
        <v>21</v>
      </c>
      <c r="K76" s="64">
        <v>0.14299999999999999</v>
      </c>
      <c r="L76" s="64" t="s">
        <v>18</v>
      </c>
      <c r="M76" s="61">
        <v>0.3</v>
      </c>
      <c r="N76" s="61">
        <v>10.026001549478519</v>
      </c>
      <c r="O76" s="61">
        <v>6.0787494900000008</v>
      </c>
      <c r="P76" s="61">
        <f t="shared" si="2"/>
        <v>50.067216268867867</v>
      </c>
      <c r="Q76" s="61">
        <v>137.99879947803393</v>
      </c>
      <c r="R76" s="61">
        <v>3.0505694349212851</v>
      </c>
      <c r="S76" s="61">
        <v>24.024400242523036</v>
      </c>
      <c r="T76" s="61">
        <v>20.517164649999998</v>
      </c>
      <c r="U76" s="62">
        <v>6.6</v>
      </c>
      <c r="V76" s="312" t="s">
        <v>314</v>
      </c>
      <c r="AF76" s="13"/>
      <c r="AG76" s="1"/>
      <c r="AH76" s="1"/>
      <c r="AI76" s="1"/>
      <c r="AJ76" s="1"/>
      <c r="AK76" s="1"/>
      <c r="AM76" s="39"/>
      <c r="AN76" s="2"/>
    </row>
    <row r="77" spans="1:40">
      <c r="A77" s="29">
        <v>71</v>
      </c>
      <c r="B77" s="100" t="s">
        <v>38</v>
      </c>
      <c r="C77" s="100" t="s">
        <v>153</v>
      </c>
      <c r="D77" s="100" t="s">
        <v>149</v>
      </c>
      <c r="E77" s="100" t="s">
        <v>150</v>
      </c>
      <c r="F77" s="100" t="s">
        <v>151</v>
      </c>
      <c r="G77" s="100" t="s">
        <v>152</v>
      </c>
      <c r="H77" s="100" t="s">
        <v>130</v>
      </c>
      <c r="I77" s="61" t="s">
        <v>24</v>
      </c>
      <c r="J77" s="63">
        <v>21</v>
      </c>
      <c r="K77" s="64">
        <v>0.13600000000000001</v>
      </c>
      <c r="L77" s="64" t="s">
        <v>18</v>
      </c>
      <c r="M77" s="61">
        <v>0.3</v>
      </c>
      <c r="N77" s="61">
        <v>10.026001549478519</v>
      </c>
      <c r="O77" s="61">
        <v>6.0787494900000008</v>
      </c>
      <c r="P77" s="61">
        <f t="shared" si="2"/>
        <v>50.067216268867867</v>
      </c>
      <c r="Q77" s="61">
        <v>206.99819921705088</v>
      </c>
      <c r="R77" s="61">
        <v>3.0505694349212851</v>
      </c>
      <c r="S77" s="61">
        <v>24.024400242523036</v>
      </c>
      <c r="T77" s="61">
        <v>20.517164649999998</v>
      </c>
      <c r="U77" s="62">
        <v>6.6</v>
      </c>
      <c r="V77" s="312" t="s">
        <v>314</v>
      </c>
      <c r="AF77" s="13"/>
      <c r="AG77" s="1"/>
      <c r="AH77" s="1"/>
      <c r="AI77" s="1"/>
      <c r="AJ77" s="1"/>
      <c r="AK77" s="1"/>
      <c r="AM77" s="39"/>
      <c r="AN77" s="2"/>
    </row>
    <row r="78" spans="1:40">
      <c r="A78" s="29">
        <v>72</v>
      </c>
      <c r="B78" s="100" t="s">
        <v>38</v>
      </c>
      <c r="C78" s="100" t="s">
        <v>153</v>
      </c>
      <c r="D78" s="100" t="s">
        <v>149</v>
      </c>
      <c r="E78" s="100" t="s">
        <v>150</v>
      </c>
      <c r="F78" s="100" t="s">
        <v>151</v>
      </c>
      <c r="G78" s="100" t="s">
        <v>152</v>
      </c>
      <c r="H78" s="100" t="s">
        <v>130</v>
      </c>
      <c r="I78" s="61" t="s">
        <v>24</v>
      </c>
      <c r="J78" s="63">
        <v>21</v>
      </c>
      <c r="K78" s="64">
        <v>0.14299999999999999</v>
      </c>
      <c r="L78" s="64" t="s">
        <v>18</v>
      </c>
      <c r="M78" s="61">
        <v>0.3</v>
      </c>
      <c r="N78" s="61">
        <v>10.026001549478519</v>
      </c>
      <c r="O78" s="61">
        <v>6.0787494900000008</v>
      </c>
      <c r="P78" s="61">
        <f t="shared" si="2"/>
        <v>50.067216268867867</v>
      </c>
      <c r="Q78" s="61">
        <v>275.99759895606786</v>
      </c>
      <c r="R78" s="61">
        <v>3.0505694349212851</v>
      </c>
      <c r="S78" s="61">
        <v>24.024400242523036</v>
      </c>
      <c r="T78" s="61">
        <v>20.517164649999998</v>
      </c>
      <c r="U78" s="62">
        <v>6.6</v>
      </c>
      <c r="V78" s="312" t="s">
        <v>314</v>
      </c>
      <c r="AF78" s="13"/>
      <c r="AG78" s="1"/>
      <c r="AH78" s="1"/>
      <c r="AI78" s="1"/>
      <c r="AJ78" s="1"/>
      <c r="AK78" s="1"/>
      <c r="AM78" s="39"/>
      <c r="AN78" s="2"/>
    </row>
    <row r="79" spans="1:40">
      <c r="A79" s="29">
        <v>73</v>
      </c>
      <c r="B79" s="100" t="s">
        <v>38</v>
      </c>
      <c r="C79" s="100" t="s">
        <v>153</v>
      </c>
      <c r="D79" s="100" t="s">
        <v>149</v>
      </c>
      <c r="E79" s="100" t="s">
        <v>150</v>
      </c>
      <c r="F79" s="100" t="s">
        <v>151</v>
      </c>
      <c r="G79" s="100" t="s">
        <v>152</v>
      </c>
      <c r="H79" s="100" t="s">
        <v>130</v>
      </c>
      <c r="I79" s="61" t="s">
        <v>24</v>
      </c>
      <c r="J79" s="63">
        <v>21</v>
      </c>
      <c r="K79" s="64">
        <v>0.16800000000000001</v>
      </c>
      <c r="L79" s="64" t="s">
        <v>18</v>
      </c>
      <c r="M79" s="61">
        <v>5</v>
      </c>
      <c r="N79" s="61">
        <v>10.026001549478519</v>
      </c>
      <c r="O79" s="61">
        <v>6.0787494900000008</v>
      </c>
      <c r="P79" s="61">
        <f t="shared" si="2"/>
        <v>50.067216268867867</v>
      </c>
      <c r="Q79" s="61">
        <v>127.57434716566333</v>
      </c>
      <c r="R79" s="61">
        <v>3.0505694349212851</v>
      </c>
      <c r="S79" s="61">
        <v>24.024400242523036</v>
      </c>
      <c r="T79" s="61">
        <v>131.7444405</v>
      </c>
      <c r="U79" s="62">
        <v>6</v>
      </c>
      <c r="V79" s="312" t="s">
        <v>314</v>
      </c>
      <c r="AF79" s="13"/>
      <c r="AG79" s="1"/>
      <c r="AH79" s="1"/>
      <c r="AI79" s="1"/>
      <c r="AJ79" s="1"/>
      <c r="AK79" s="1"/>
      <c r="AM79" s="39"/>
      <c r="AN79" s="2"/>
    </row>
    <row r="80" spans="1:40">
      <c r="A80" s="29">
        <v>74</v>
      </c>
      <c r="B80" s="100" t="s">
        <v>38</v>
      </c>
      <c r="C80" s="100" t="s">
        <v>153</v>
      </c>
      <c r="D80" s="100" t="s">
        <v>149</v>
      </c>
      <c r="E80" s="100" t="s">
        <v>150</v>
      </c>
      <c r="F80" s="100" t="s">
        <v>151</v>
      </c>
      <c r="G80" s="100" t="s">
        <v>152</v>
      </c>
      <c r="H80" s="100" t="s">
        <v>130</v>
      </c>
      <c r="I80" s="61" t="s">
        <v>24</v>
      </c>
      <c r="J80" s="63">
        <v>21</v>
      </c>
      <c r="K80" s="64">
        <v>0.161</v>
      </c>
      <c r="L80" s="64" t="s">
        <v>18</v>
      </c>
      <c r="M80" s="61">
        <v>5</v>
      </c>
      <c r="N80" s="61">
        <v>10.026001549478519</v>
      </c>
      <c r="O80" s="61">
        <v>6.0787494900000008</v>
      </c>
      <c r="P80" s="61">
        <f t="shared" si="2"/>
        <v>50.067216268867867</v>
      </c>
      <c r="Q80" s="61">
        <v>127.57434716566333</v>
      </c>
      <c r="R80" s="61">
        <v>3.0505694349212851</v>
      </c>
      <c r="S80" s="61">
        <v>24.024400242523036</v>
      </c>
      <c r="T80" s="61">
        <v>100.98369049999999</v>
      </c>
      <c r="U80" s="62">
        <v>6.5</v>
      </c>
      <c r="V80" s="312" t="s">
        <v>314</v>
      </c>
      <c r="AF80" s="13"/>
      <c r="AG80" s="1"/>
      <c r="AH80" s="1"/>
      <c r="AI80" s="1"/>
      <c r="AJ80" s="1"/>
      <c r="AK80" s="1"/>
      <c r="AM80" s="39"/>
      <c r="AN80" s="2"/>
    </row>
    <row r="81" spans="1:40">
      <c r="A81" s="29">
        <v>75</v>
      </c>
      <c r="B81" s="100" t="s">
        <v>38</v>
      </c>
      <c r="C81" s="100" t="s">
        <v>153</v>
      </c>
      <c r="D81" s="100" t="s">
        <v>149</v>
      </c>
      <c r="E81" s="100" t="s">
        <v>150</v>
      </c>
      <c r="F81" s="100" t="s">
        <v>151</v>
      </c>
      <c r="G81" s="100" t="s">
        <v>152</v>
      </c>
      <c r="H81" s="100" t="s">
        <v>130</v>
      </c>
      <c r="I81" s="61" t="s">
        <v>24</v>
      </c>
      <c r="J81" s="63">
        <v>21</v>
      </c>
      <c r="K81" s="64">
        <v>0.154</v>
      </c>
      <c r="L81" s="64" t="s">
        <v>18</v>
      </c>
      <c r="M81" s="61">
        <v>5</v>
      </c>
      <c r="N81" s="61">
        <v>10.026001549478519</v>
      </c>
      <c r="O81" s="61">
        <v>6.0787494900000008</v>
      </c>
      <c r="P81" s="61">
        <f t="shared" si="2"/>
        <v>50.067216268867867</v>
      </c>
      <c r="Q81" s="61">
        <v>127.57434716566333</v>
      </c>
      <c r="R81" s="61">
        <v>3.0505694349212851</v>
      </c>
      <c r="S81" s="61">
        <v>24.024400242523036</v>
      </c>
      <c r="T81" s="61">
        <v>67.849836499999995</v>
      </c>
      <c r="U81" s="62">
        <v>7</v>
      </c>
      <c r="V81" s="312" t="s">
        <v>314</v>
      </c>
      <c r="AF81" s="13"/>
      <c r="AG81" s="1"/>
      <c r="AH81" s="1"/>
      <c r="AI81" s="1"/>
      <c r="AJ81" s="1"/>
      <c r="AK81" s="1"/>
      <c r="AM81" s="39"/>
      <c r="AN81" s="2"/>
    </row>
    <row r="82" spans="1:40">
      <c r="A82" s="29">
        <v>76</v>
      </c>
      <c r="B82" s="100" t="s">
        <v>38</v>
      </c>
      <c r="C82" s="100" t="s">
        <v>153</v>
      </c>
      <c r="D82" s="100" t="s">
        <v>149</v>
      </c>
      <c r="E82" s="100" t="s">
        <v>150</v>
      </c>
      <c r="F82" s="100" t="s">
        <v>151</v>
      </c>
      <c r="G82" s="100" t="s">
        <v>152</v>
      </c>
      <c r="H82" s="100" t="s">
        <v>130</v>
      </c>
      <c r="I82" s="61" t="s">
        <v>24</v>
      </c>
      <c r="J82" s="63">
        <v>21</v>
      </c>
      <c r="K82" s="64">
        <v>0.13300000000000001</v>
      </c>
      <c r="L82" s="64" t="s">
        <v>18</v>
      </c>
      <c r="M82" s="61">
        <v>5</v>
      </c>
      <c r="N82" s="61">
        <v>10.026001549478519</v>
      </c>
      <c r="O82" s="61">
        <v>6.0787494900000008</v>
      </c>
      <c r="P82" s="61">
        <f t="shared" si="2"/>
        <v>50.067216268867867</v>
      </c>
      <c r="Q82" s="61">
        <v>127.57434716566333</v>
      </c>
      <c r="R82" s="61">
        <v>3.0505694349212851</v>
      </c>
      <c r="S82" s="61">
        <v>24.024400242523036</v>
      </c>
      <c r="T82" s="61">
        <v>41.815343499999997</v>
      </c>
      <c r="U82" s="62">
        <v>7.5</v>
      </c>
      <c r="V82" s="312" t="s">
        <v>314</v>
      </c>
      <c r="AF82" s="13"/>
      <c r="AG82" s="1"/>
      <c r="AH82" s="1"/>
      <c r="AI82" s="1"/>
      <c r="AJ82" s="1"/>
      <c r="AK82" s="1"/>
      <c r="AM82" s="39"/>
      <c r="AN82" s="2"/>
    </row>
    <row r="83" spans="1:40">
      <c r="A83" s="29">
        <v>77</v>
      </c>
      <c r="B83" s="100" t="s">
        <v>38</v>
      </c>
      <c r="C83" s="100" t="s">
        <v>153</v>
      </c>
      <c r="D83" s="100" t="s">
        <v>149</v>
      </c>
      <c r="E83" s="100" t="s">
        <v>150</v>
      </c>
      <c r="F83" s="100" t="s">
        <v>151</v>
      </c>
      <c r="G83" s="100" t="s">
        <v>152</v>
      </c>
      <c r="H83" s="100" t="s">
        <v>130</v>
      </c>
      <c r="I83" s="61" t="s">
        <v>24</v>
      </c>
      <c r="J83" s="63">
        <v>21</v>
      </c>
      <c r="K83" s="64">
        <v>0.11700000000000001</v>
      </c>
      <c r="L83" s="64" t="s">
        <v>18</v>
      </c>
      <c r="M83" s="61">
        <v>5</v>
      </c>
      <c r="N83" s="61">
        <v>10.026001549478519</v>
      </c>
      <c r="O83" s="61">
        <v>6.0787494900000008</v>
      </c>
      <c r="P83" s="61">
        <f t="shared" si="2"/>
        <v>50.067216268867867</v>
      </c>
      <c r="Q83" s="61">
        <v>127.57434716566333</v>
      </c>
      <c r="R83" s="61">
        <v>3.0505694349212851</v>
      </c>
      <c r="S83" s="61">
        <v>24.024400242523036</v>
      </c>
      <c r="T83" s="61">
        <v>20.517164649999998</v>
      </c>
      <c r="U83" s="62">
        <v>8</v>
      </c>
      <c r="V83" s="312" t="s">
        <v>314</v>
      </c>
      <c r="AF83" s="13"/>
      <c r="AG83" s="1"/>
      <c r="AH83" s="1"/>
      <c r="AI83" s="1"/>
      <c r="AJ83" s="1"/>
      <c r="AK83" s="1"/>
      <c r="AM83" s="24"/>
    </row>
    <row r="84" spans="1:40">
      <c r="A84" s="29">
        <v>78</v>
      </c>
      <c r="B84" s="100" t="s">
        <v>38</v>
      </c>
      <c r="C84" s="100" t="s">
        <v>153</v>
      </c>
      <c r="D84" s="100" t="s">
        <v>149</v>
      </c>
      <c r="E84" s="100" t="s">
        <v>150</v>
      </c>
      <c r="F84" s="100" t="s">
        <v>151</v>
      </c>
      <c r="G84" s="100" t="s">
        <v>152</v>
      </c>
      <c r="H84" s="100" t="s">
        <v>130</v>
      </c>
      <c r="I84" s="61" t="s">
        <v>24</v>
      </c>
      <c r="J84" s="63">
        <v>21</v>
      </c>
      <c r="K84" s="64">
        <v>0.155</v>
      </c>
      <c r="L84" s="64" t="s">
        <v>18</v>
      </c>
      <c r="M84" s="61">
        <v>0.3</v>
      </c>
      <c r="N84" s="61">
        <v>80.244024152901858</v>
      </c>
      <c r="O84" s="61">
        <v>12.197490228348077</v>
      </c>
      <c r="P84" s="61">
        <f t="shared" si="2"/>
        <v>250.59859307013329</v>
      </c>
      <c r="Q84" s="61">
        <v>17.707698999565025</v>
      </c>
      <c r="R84" s="61">
        <v>3.0001534605350662</v>
      </c>
      <c r="S84" s="61">
        <v>48.018987737086462</v>
      </c>
      <c r="T84" s="61">
        <v>73.897836572363417</v>
      </c>
      <c r="U84" s="62">
        <v>7.2</v>
      </c>
      <c r="V84" s="312" t="s">
        <v>305</v>
      </c>
      <c r="AF84" s="13"/>
      <c r="AG84" s="1"/>
      <c r="AH84" s="1"/>
      <c r="AI84" s="1"/>
      <c r="AJ84" s="1"/>
      <c r="AK84" s="1"/>
    </row>
    <row r="85" spans="1:40">
      <c r="A85" s="29">
        <v>79</v>
      </c>
      <c r="B85" s="100" t="s">
        <v>38</v>
      </c>
      <c r="C85" s="100" t="s">
        <v>153</v>
      </c>
      <c r="D85" s="100" t="s">
        <v>149</v>
      </c>
      <c r="E85" s="100" t="s">
        <v>150</v>
      </c>
      <c r="F85" s="100" t="s">
        <v>151</v>
      </c>
      <c r="G85" s="100" t="s">
        <v>152</v>
      </c>
      <c r="H85" s="100" t="s">
        <v>130</v>
      </c>
      <c r="I85" s="61" t="s">
        <v>24</v>
      </c>
      <c r="J85" s="63">
        <v>21</v>
      </c>
      <c r="K85" s="64">
        <v>0.49099999999999999</v>
      </c>
      <c r="L85" s="64" t="s">
        <v>18</v>
      </c>
      <c r="M85" s="61">
        <v>17.3</v>
      </c>
      <c r="N85" s="61">
        <v>38.321024003193777</v>
      </c>
      <c r="O85" s="61">
        <v>6.4986628265788928</v>
      </c>
      <c r="P85" s="61">
        <f t="shared" si="2"/>
        <v>122.44909045582673</v>
      </c>
      <c r="Q85" s="61">
        <v>17.407568508046975</v>
      </c>
      <c r="R85" s="61">
        <v>6.1003120364213004</v>
      </c>
      <c r="S85" s="61">
        <v>127.05023838770794</v>
      </c>
      <c r="T85" s="61">
        <v>50.066284940625614</v>
      </c>
      <c r="U85" s="62">
        <v>6.8</v>
      </c>
      <c r="V85" s="312" t="s">
        <v>305</v>
      </c>
      <c r="AF85" s="13"/>
      <c r="AG85" s="1"/>
      <c r="AH85" s="1"/>
      <c r="AI85" s="1"/>
      <c r="AJ85" s="1"/>
      <c r="AK85" s="1"/>
    </row>
    <row r="86" spans="1:40">
      <c r="A86" s="29">
        <v>80</v>
      </c>
      <c r="B86" s="100" t="s">
        <v>38</v>
      </c>
      <c r="C86" s="100" t="s">
        <v>153</v>
      </c>
      <c r="D86" s="100" t="s">
        <v>149</v>
      </c>
      <c r="E86" s="100" t="s">
        <v>150</v>
      </c>
      <c r="F86" s="100" t="s">
        <v>151</v>
      </c>
      <c r="G86" s="100" t="s">
        <v>152</v>
      </c>
      <c r="H86" s="100" t="s">
        <v>130</v>
      </c>
      <c r="I86" s="61" t="s">
        <v>24</v>
      </c>
      <c r="J86" s="63">
        <v>21</v>
      </c>
      <c r="K86" s="64">
        <v>6.2600000000000003E-2</v>
      </c>
      <c r="L86" s="64" t="s">
        <v>18</v>
      </c>
      <c r="M86" s="61">
        <v>5.37</v>
      </c>
      <c r="N86" s="61">
        <v>3.7020310394730278</v>
      </c>
      <c r="O86" s="61">
        <v>1.0997737091133513</v>
      </c>
      <c r="P86" s="61">
        <f t="shared" si="2"/>
        <v>13.772839639692933</v>
      </c>
      <c r="Q86" s="61">
        <v>6.2026968247063943</v>
      </c>
      <c r="R86" s="61">
        <v>0.90004603816051976</v>
      </c>
      <c r="S86" s="61">
        <v>4.0015823114238716</v>
      </c>
      <c r="T86" s="61">
        <v>15.019885482187684</v>
      </c>
      <c r="U86" s="62">
        <v>6</v>
      </c>
      <c r="V86" s="312" t="s">
        <v>305</v>
      </c>
      <c r="AF86" s="13"/>
      <c r="AG86" s="1"/>
      <c r="AH86" s="1"/>
      <c r="AI86" s="1"/>
      <c r="AJ86" s="1"/>
      <c r="AK86" s="1"/>
    </row>
    <row r="87" spans="1:40">
      <c r="A87" s="29">
        <v>81</v>
      </c>
      <c r="B87" s="100" t="s">
        <v>38</v>
      </c>
      <c r="C87" s="100" t="s">
        <v>153</v>
      </c>
      <c r="D87" s="100" t="s">
        <v>149</v>
      </c>
      <c r="E87" s="100" t="s">
        <v>150</v>
      </c>
      <c r="F87" s="100" t="s">
        <v>151</v>
      </c>
      <c r="G87" s="100" t="s">
        <v>152</v>
      </c>
      <c r="H87" s="100" t="s">
        <v>130</v>
      </c>
      <c r="I87" s="61" t="s">
        <v>24</v>
      </c>
      <c r="J87" s="63">
        <v>21</v>
      </c>
      <c r="K87" s="64">
        <v>9.4500000000000001E-2</v>
      </c>
      <c r="L87" s="64" t="s">
        <v>18</v>
      </c>
      <c r="M87" s="61">
        <v>2.5299999999999998</v>
      </c>
      <c r="N87" s="61">
        <v>5.0027446479365238</v>
      </c>
      <c r="O87" s="61">
        <v>3.399300555441267</v>
      </c>
      <c r="P87" s="61">
        <f t="shared" si="2"/>
        <v>26.490173073204637</v>
      </c>
      <c r="Q87" s="61">
        <v>8.8038277511961738</v>
      </c>
      <c r="R87" s="61">
        <v>2.1001074223745464</v>
      </c>
      <c r="S87" s="61">
        <v>9.5037579896316959</v>
      </c>
      <c r="T87" s="61">
        <v>23.030491072687788</v>
      </c>
      <c r="U87" s="62">
        <v>7.3</v>
      </c>
      <c r="V87" s="312" t="s">
        <v>305</v>
      </c>
      <c r="AF87" s="13"/>
      <c r="AG87" s="1"/>
      <c r="AH87" s="1"/>
      <c r="AI87" s="1"/>
      <c r="AJ87" s="1"/>
      <c r="AK87" s="1"/>
    </row>
    <row r="88" spans="1:40">
      <c r="A88" s="29">
        <v>82</v>
      </c>
      <c r="B88" s="100" t="s">
        <v>38</v>
      </c>
      <c r="C88" s="100" t="s">
        <v>153</v>
      </c>
      <c r="D88" s="100" t="s">
        <v>149</v>
      </c>
      <c r="E88" s="100" t="s">
        <v>150</v>
      </c>
      <c r="F88" s="100" t="s">
        <v>151</v>
      </c>
      <c r="G88" s="100" t="s">
        <v>152</v>
      </c>
      <c r="H88" s="100" t="s">
        <v>130</v>
      </c>
      <c r="I88" s="61" t="s">
        <v>24</v>
      </c>
      <c r="J88" s="63">
        <v>21</v>
      </c>
      <c r="K88" s="64">
        <v>0.24399999999999999</v>
      </c>
      <c r="L88" s="64" t="s">
        <v>18</v>
      </c>
      <c r="M88" s="61">
        <v>7.49</v>
      </c>
      <c r="N88" s="61">
        <v>52.728928589250962</v>
      </c>
      <c r="O88" s="61">
        <v>13.997119934169923</v>
      </c>
      <c r="P88" s="61">
        <f t="shared" si="2"/>
        <v>189.30427457627138</v>
      </c>
      <c r="Q88" s="61">
        <v>87.337973031752938</v>
      </c>
      <c r="R88" s="61">
        <v>8.7004450355516898</v>
      </c>
      <c r="S88" s="61">
        <v>109.0431179863005</v>
      </c>
      <c r="T88" s="61">
        <v>318.42157222237893</v>
      </c>
      <c r="U88" s="62">
        <v>8</v>
      </c>
      <c r="V88" s="312" t="s">
        <v>305</v>
      </c>
      <c r="AF88" s="13"/>
      <c r="AG88" s="1"/>
      <c r="AH88" s="1"/>
      <c r="AI88" s="1"/>
      <c r="AJ88" s="1"/>
      <c r="AK88" s="1"/>
    </row>
    <row r="89" spans="1:40">
      <c r="A89" s="29">
        <v>83</v>
      </c>
      <c r="B89" s="100" t="s">
        <v>38</v>
      </c>
      <c r="C89" s="100" t="s">
        <v>153</v>
      </c>
      <c r="D89" s="100" t="s">
        <v>149</v>
      </c>
      <c r="E89" s="100" t="s">
        <v>150</v>
      </c>
      <c r="F89" s="100" t="s">
        <v>151</v>
      </c>
      <c r="G89" s="100" t="s">
        <v>152</v>
      </c>
      <c r="H89" s="100" t="s">
        <v>130</v>
      </c>
      <c r="I89" s="61" t="s">
        <v>24</v>
      </c>
      <c r="J89" s="63">
        <v>21</v>
      </c>
      <c r="K89" s="64">
        <v>0.254</v>
      </c>
      <c r="L89" s="64" t="s">
        <v>18</v>
      </c>
      <c r="M89" s="61">
        <v>9.8699999999999992</v>
      </c>
      <c r="N89" s="61">
        <v>60.132990668197024</v>
      </c>
      <c r="O89" s="61">
        <v>7.9983542480970993</v>
      </c>
      <c r="P89" s="61">
        <f t="shared" si="2"/>
        <v>183.08930049215184</v>
      </c>
      <c r="Q89" s="61">
        <v>52.923010004349713</v>
      </c>
      <c r="R89" s="61">
        <v>10.400531996521563</v>
      </c>
      <c r="S89" s="61">
        <v>63.024921404925976</v>
      </c>
      <c r="T89" s="61">
        <v>144.19090062900176</v>
      </c>
      <c r="U89" s="62">
        <v>8</v>
      </c>
      <c r="V89" s="312" t="s">
        <v>305</v>
      </c>
      <c r="AF89" s="12"/>
      <c r="AG89" s="1"/>
      <c r="AH89" s="1"/>
      <c r="AI89" s="1"/>
      <c r="AJ89" s="1"/>
      <c r="AK89" s="1"/>
    </row>
    <row r="90" spans="1:40">
      <c r="A90" s="29">
        <v>84</v>
      </c>
      <c r="B90" s="100" t="s">
        <v>34</v>
      </c>
      <c r="C90" s="100" t="s">
        <v>141</v>
      </c>
      <c r="D90" s="100" t="s">
        <v>142</v>
      </c>
      <c r="E90" s="100" t="s">
        <v>143</v>
      </c>
      <c r="F90" s="100" t="s">
        <v>33</v>
      </c>
      <c r="G90" s="100" t="s">
        <v>144</v>
      </c>
      <c r="H90" s="100" t="s">
        <v>130</v>
      </c>
      <c r="I90" s="61" t="s">
        <v>27</v>
      </c>
      <c r="J90" s="63">
        <v>70</v>
      </c>
      <c r="K90" s="64">
        <v>0.38200000000000001</v>
      </c>
      <c r="L90" s="64" t="s">
        <v>18</v>
      </c>
      <c r="M90" s="61">
        <v>7.1</v>
      </c>
      <c r="N90" s="61">
        <v>75.041169719047872</v>
      </c>
      <c r="O90" s="61">
        <v>19.995886800000001</v>
      </c>
      <c r="P90" s="61">
        <f t="shared" si="2"/>
        <v>269.72086263086254</v>
      </c>
      <c r="Q90" s="61">
        <v>87.337973031752938</v>
      </c>
      <c r="R90" s="61">
        <v>8.7004450355516898</v>
      </c>
      <c r="S90" s="61">
        <v>109.0431179863005</v>
      </c>
      <c r="T90" s="61">
        <v>318.42157222237893</v>
      </c>
      <c r="U90" s="62">
        <v>7.9</v>
      </c>
      <c r="V90" s="312" t="s">
        <v>307</v>
      </c>
      <c r="AF90" s="12"/>
      <c r="AG90" s="1"/>
      <c r="AH90" s="1"/>
      <c r="AI90" s="1"/>
      <c r="AJ90" s="1"/>
      <c r="AK90" s="1"/>
    </row>
    <row r="91" spans="1:40">
      <c r="A91" s="29">
        <v>85</v>
      </c>
      <c r="B91" s="100" t="s">
        <v>43</v>
      </c>
      <c r="C91" s="100" t="s">
        <v>158</v>
      </c>
      <c r="D91" s="100" t="s">
        <v>159</v>
      </c>
      <c r="E91" s="100" t="s">
        <v>160</v>
      </c>
      <c r="F91" s="100" t="s">
        <v>42</v>
      </c>
      <c r="G91" s="100" t="s">
        <v>152</v>
      </c>
      <c r="H91" s="100" t="s">
        <v>130</v>
      </c>
      <c r="I91" s="61" t="s">
        <v>27</v>
      </c>
      <c r="J91" s="88">
        <v>10</v>
      </c>
      <c r="K91" s="64">
        <v>0.71799999999999997</v>
      </c>
      <c r="L91" s="64" t="s">
        <v>18</v>
      </c>
      <c r="M91" s="61">
        <v>2.7</v>
      </c>
      <c r="N91" s="61">
        <v>81.548822802535071</v>
      </c>
      <c r="O91" s="61">
        <v>10.997737740000002</v>
      </c>
      <c r="P91" s="61">
        <f t="shared" si="2"/>
        <v>248.91609455125007</v>
      </c>
      <c r="Q91" s="61">
        <v>92.039219303871249</v>
      </c>
      <c r="R91" s="61">
        <v>6.5012147036115913</v>
      </c>
      <c r="S91" s="61">
        <v>64.038380454518702</v>
      </c>
      <c r="T91" s="61">
        <v>167.22140099999999</v>
      </c>
      <c r="U91" s="62">
        <v>7.8</v>
      </c>
      <c r="V91" s="312" t="s">
        <v>317</v>
      </c>
      <c r="AF91" s="12"/>
      <c r="AG91" s="1"/>
      <c r="AH91" s="1"/>
      <c r="AI91" s="1"/>
      <c r="AJ91" s="1"/>
      <c r="AK91" s="1"/>
    </row>
    <row r="92" spans="1:40">
      <c r="A92" s="29">
        <v>86</v>
      </c>
      <c r="B92" s="100" t="s">
        <v>40</v>
      </c>
      <c r="C92" s="100" t="s">
        <v>154</v>
      </c>
      <c r="D92" s="100" t="s">
        <v>155</v>
      </c>
      <c r="E92" s="100" t="s">
        <v>156</v>
      </c>
      <c r="F92" s="100" t="s">
        <v>157</v>
      </c>
      <c r="G92" s="100" t="s">
        <v>152</v>
      </c>
      <c r="H92" s="100" t="s">
        <v>130</v>
      </c>
      <c r="I92" s="61" t="s">
        <v>41</v>
      </c>
      <c r="J92" s="88">
        <v>70</v>
      </c>
      <c r="K92" s="64">
        <v>4.2000000000000003E-2</v>
      </c>
      <c r="L92" s="64" t="s">
        <v>18</v>
      </c>
      <c r="M92" s="61">
        <v>0.9</v>
      </c>
      <c r="N92" s="61">
        <v>36.720145715854088</v>
      </c>
      <c r="O92" s="61">
        <v>9.2980868134128798</v>
      </c>
      <c r="P92" s="61">
        <f t="shared" si="2"/>
        <v>129.9797253501219</v>
      </c>
      <c r="Q92" s="61">
        <v>14.006089604175729</v>
      </c>
      <c r="R92" s="61">
        <v>1.6000818456187018</v>
      </c>
      <c r="S92" s="61">
        <v>33.013054069246941</v>
      </c>
      <c r="T92" s="61">
        <v>27.035793867937834</v>
      </c>
      <c r="U92" s="62">
        <v>8.3000000000000007</v>
      </c>
      <c r="V92" s="312" t="s">
        <v>316</v>
      </c>
      <c r="AF92" s="12"/>
      <c r="AG92" s="1"/>
      <c r="AH92" s="1"/>
      <c r="AI92" s="1"/>
      <c r="AJ92" s="1"/>
      <c r="AK92" s="1"/>
    </row>
    <row r="93" spans="1:40">
      <c r="A93" s="29">
        <v>87</v>
      </c>
      <c r="B93" s="100" t="s">
        <v>50</v>
      </c>
      <c r="C93" s="100" t="s">
        <v>169</v>
      </c>
      <c r="D93" s="100" t="s">
        <v>170</v>
      </c>
      <c r="E93" s="100" t="s">
        <v>171</v>
      </c>
      <c r="F93" s="100" t="s">
        <v>33</v>
      </c>
      <c r="G93" s="100" t="s">
        <v>144</v>
      </c>
      <c r="H93" s="100" t="s">
        <v>130</v>
      </c>
      <c r="I93" s="61" t="s">
        <v>20</v>
      </c>
      <c r="J93" s="63">
        <v>28</v>
      </c>
      <c r="K93" s="64">
        <v>4.4999999999999998E-2</v>
      </c>
      <c r="L93" s="61" t="s">
        <v>18</v>
      </c>
      <c r="M93" s="89">
        <v>0.5</v>
      </c>
      <c r="N93" s="89">
        <v>8.0043914366984392</v>
      </c>
      <c r="O93" s="61">
        <v>6.8985805389837491</v>
      </c>
      <c r="P93" s="61">
        <f t="shared" si="2"/>
        <v>48.395320076971082</v>
      </c>
      <c r="Q93" s="89">
        <v>15.006524575902567</v>
      </c>
      <c r="R93" s="89">
        <v>1.2000613842140262</v>
      </c>
      <c r="S93" s="89">
        <v>46.518394370302509</v>
      </c>
      <c r="T93" s="89">
        <v>1.1014582686937637</v>
      </c>
      <c r="U93" s="61">
        <v>8</v>
      </c>
      <c r="V93" s="312" t="s">
        <v>330</v>
      </c>
      <c r="AF93" s="12"/>
      <c r="AG93" s="1"/>
      <c r="AH93" s="1"/>
      <c r="AI93" s="1"/>
      <c r="AJ93" s="1"/>
      <c r="AK93" s="1"/>
    </row>
    <row r="94" spans="1:40">
      <c r="A94" s="29">
        <v>88</v>
      </c>
      <c r="B94" s="100" t="s">
        <v>50</v>
      </c>
      <c r="C94" s="100" t="s">
        <v>169</v>
      </c>
      <c r="D94" s="100" t="s">
        <v>170</v>
      </c>
      <c r="E94" s="100" t="s">
        <v>171</v>
      </c>
      <c r="F94" s="100" t="s">
        <v>33</v>
      </c>
      <c r="G94" s="100" t="s">
        <v>144</v>
      </c>
      <c r="H94" s="100" t="s">
        <v>130</v>
      </c>
      <c r="I94" s="61" t="s">
        <v>27</v>
      </c>
      <c r="J94" s="63">
        <v>28</v>
      </c>
      <c r="K94" s="64">
        <v>8.6999999999999994E-2</v>
      </c>
      <c r="L94" s="61" t="s">
        <v>18</v>
      </c>
      <c r="M94" s="89">
        <v>0.5</v>
      </c>
      <c r="N94" s="89">
        <v>8.0043914366984392</v>
      </c>
      <c r="O94" s="61">
        <v>6.8985805389837491</v>
      </c>
      <c r="P94" s="61">
        <f t="shared" si="2"/>
        <v>48.395320076971082</v>
      </c>
      <c r="Q94" s="89">
        <v>15.006524575902567</v>
      </c>
      <c r="R94" s="89">
        <v>1.2000613842140262</v>
      </c>
      <c r="S94" s="89">
        <v>46.518394370302509</v>
      </c>
      <c r="T94" s="89">
        <v>1.1014582686937637</v>
      </c>
      <c r="U94" s="61">
        <v>8</v>
      </c>
      <c r="V94" s="312" t="s">
        <v>330</v>
      </c>
      <c r="AF94" s="12"/>
      <c r="AG94" s="1"/>
      <c r="AH94" s="1"/>
      <c r="AI94" s="1"/>
      <c r="AJ94" s="1"/>
      <c r="AK94" s="1"/>
    </row>
    <row r="95" spans="1:40">
      <c r="A95" s="29">
        <v>89</v>
      </c>
      <c r="B95" s="100" t="s">
        <v>50</v>
      </c>
      <c r="C95" s="100" t="s">
        <v>169</v>
      </c>
      <c r="D95" s="100" t="s">
        <v>170</v>
      </c>
      <c r="E95" s="100" t="s">
        <v>171</v>
      </c>
      <c r="F95" s="100" t="s">
        <v>33</v>
      </c>
      <c r="G95" s="100" t="s">
        <v>144</v>
      </c>
      <c r="H95" s="100" t="s">
        <v>130</v>
      </c>
      <c r="I95" s="61" t="s">
        <v>20</v>
      </c>
      <c r="J95" s="63">
        <v>28</v>
      </c>
      <c r="K95" s="64">
        <v>4.8000000000000001E-2</v>
      </c>
      <c r="L95" s="61" t="s">
        <v>18</v>
      </c>
      <c r="M95" s="89">
        <v>0.5</v>
      </c>
      <c r="N95" s="89">
        <v>8.2045012226158995</v>
      </c>
      <c r="O95" s="61">
        <v>7.0985393951861759</v>
      </c>
      <c r="P95" s="61">
        <f t="shared" si="2"/>
        <v>49.718424782248576</v>
      </c>
      <c r="Q95" s="89">
        <v>15.306655067420618</v>
      </c>
      <c r="R95" s="89">
        <v>1.2000613842140262</v>
      </c>
      <c r="S95" s="89">
        <v>47.518789948158478</v>
      </c>
      <c r="T95" s="89">
        <v>1.1014582686937637</v>
      </c>
      <c r="U95" s="61">
        <v>7.8</v>
      </c>
      <c r="V95" s="312" t="s">
        <v>330</v>
      </c>
      <c r="AF95" s="12"/>
      <c r="AG95" s="1"/>
      <c r="AH95" s="1"/>
      <c r="AI95" s="1"/>
      <c r="AJ95" s="1"/>
      <c r="AK95" s="1"/>
    </row>
    <row r="96" spans="1:40">
      <c r="A96" s="29">
        <v>90</v>
      </c>
      <c r="B96" s="100" t="s">
        <v>50</v>
      </c>
      <c r="C96" s="100" t="s">
        <v>169</v>
      </c>
      <c r="D96" s="100" t="s">
        <v>170</v>
      </c>
      <c r="E96" s="100" t="s">
        <v>171</v>
      </c>
      <c r="F96" s="100" t="s">
        <v>33</v>
      </c>
      <c r="G96" s="100" t="s">
        <v>144</v>
      </c>
      <c r="H96" s="100" t="s">
        <v>130</v>
      </c>
      <c r="I96" s="61" t="s">
        <v>51</v>
      </c>
      <c r="J96" s="63">
        <v>28</v>
      </c>
      <c r="K96" s="64">
        <v>9.7000000000000003E-2</v>
      </c>
      <c r="L96" s="61" t="s">
        <v>18</v>
      </c>
      <c r="M96" s="89">
        <v>0.5</v>
      </c>
      <c r="N96" s="89">
        <v>8.2045012226158995</v>
      </c>
      <c r="O96" s="61">
        <v>7.0985393951861759</v>
      </c>
      <c r="P96" s="61">
        <f t="shared" si="2"/>
        <v>49.718424782248576</v>
      </c>
      <c r="Q96" s="89">
        <v>15.306655067420618</v>
      </c>
      <c r="R96" s="89">
        <v>1.2000613842140262</v>
      </c>
      <c r="S96" s="89">
        <v>47.518789948158478</v>
      </c>
      <c r="T96" s="89">
        <v>1.1014582686937637</v>
      </c>
      <c r="U96" s="61">
        <v>7.8</v>
      </c>
      <c r="V96" s="312" t="s">
        <v>330</v>
      </c>
      <c r="AF96" s="12"/>
      <c r="AG96" s="1"/>
      <c r="AH96" s="1"/>
      <c r="AI96" s="1"/>
      <c r="AJ96" s="1"/>
      <c r="AK96" s="1"/>
    </row>
    <row r="97" spans="1:37">
      <c r="A97" s="29">
        <v>91</v>
      </c>
      <c r="B97" s="100" t="s">
        <v>48</v>
      </c>
      <c r="C97" s="100" t="s">
        <v>166</v>
      </c>
      <c r="D97" s="100" t="s">
        <v>167</v>
      </c>
      <c r="E97" s="100" t="s">
        <v>168</v>
      </c>
      <c r="F97" s="100" t="s">
        <v>35</v>
      </c>
      <c r="G97" s="100" t="s">
        <v>144</v>
      </c>
      <c r="H97" s="100" t="s">
        <v>130</v>
      </c>
      <c r="I97" s="61" t="s">
        <v>49</v>
      </c>
      <c r="J97" s="63">
        <v>28</v>
      </c>
      <c r="K97" s="64" t="s">
        <v>18</v>
      </c>
      <c r="L97" s="64">
        <v>1.629</v>
      </c>
      <c r="M97" s="89">
        <v>12.7</v>
      </c>
      <c r="N97" s="89">
        <v>79.443585009232009</v>
      </c>
      <c r="O97" s="61">
        <v>13.997119934169923</v>
      </c>
      <c r="P97" s="61">
        <f t="shared" si="2"/>
        <v>256.01077165696404</v>
      </c>
      <c r="Q97" s="89">
        <v>64.828186167899077</v>
      </c>
      <c r="R97" s="89">
        <v>10.300526881170393</v>
      </c>
      <c r="S97" s="89">
        <v>78.731131977264681</v>
      </c>
      <c r="T97" s="89">
        <v>90.920373452176108</v>
      </c>
      <c r="U97" s="61">
        <v>7.81</v>
      </c>
      <c r="V97" s="312" t="s">
        <v>329</v>
      </c>
      <c r="AF97" s="12"/>
      <c r="AG97" s="1"/>
      <c r="AH97" s="1"/>
      <c r="AI97" s="1"/>
      <c r="AJ97" s="1"/>
      <c r="AK97" s="1"/>
    </row>
    <row r="98" spans="1:37">
      <c r="A98" s="29">
        <v>92</v>
      </c>
      <c r="B98" s="100" t="s">
        <v>48</v>
      </c>
      <c r="C98" s="100" t="s">
        <v>166</v>
      </c>
      <c r="D98" s="100" t="s">
        <v>167</v>
      </c>
      <c r="E98" s="100" t="s">
        <v>168</v>
      </c>
      <c r="F98" s="100" t="s">
        <v>35</v>
      </c>
      <c r="G98" s="100" t="s">
        <v>144</v>
      </c>
      <c r="H98" s="100" t="s">
        <v>130</v>
      </c>
      <c r="I98" s="61" t="s">
        <v>49</v>
      </c>
      <c r="J98" s="63">
        <v>28</v>
      </c>
      <c r="K98" s="64" t="s">
        <v>18</v>
      </c>
      <c r="L98" s="64">
        <v>0.91</v>
      </c>
      <c r="M98" s="89">
        <v>7.82</v>
      </c>
      <c r="N98" s="89">
        <v>64.435351065422438</v>
      </c>
      <c r="O98" s="61">
        <v>15.696770211890556</v>
      </c>
      <c r="P98" s="61">
        <f t="shared" si="2"/>
        <v>225.53437134292514</v>
      </c>
      <c r="Q98" s="89">
        <v>75.632883862548937</v>
      </c>
      <c r="R98" s="89">
        <v>13.600695687758966</v>
      </c>
      <c r="S98" s="89">
        <v>57.222627053361371</v>
      </c>
      <c r="T98" s="89">
        <v>93.92435054861366</v>
      </c>
      <c r="U98" s="61">
        <v>7.9</v>
      </c>
      <c r="V98" s="312" t="s">
        <v>329</v>
      </c>
      <c r="AF98" s="12"/>
      <c r="AG98" s="1"/>
      <c r="AH98" s="1"/>
      <c r="AI98" s="1"/>
      <c r="AJ98" s="1"/>
      <c r="AK98" s="1"/>
    </row>
    <row r="99" spans="1:37">
      <c r="A99" s="29">
        <v>93</v>
      </c>
      <c r="B99" s="100" t="s">
        <v>48</v>
      </c>
      <c r="C99" s="100" t="s">
        <v>166</v>
      </c>
      <c r="D99" s="100" t="s">
        <v>167</v>
      </c>
      <c r="E99" s="100" t="s">
        <v>168</v>
      </c>
      <c r="F99" s="100" t="s">
        <v>35</v>
      </c>
      <c r="G99" s="100" t="s">
        <v>144</v>
      </c>
      <c r="H99" s="100" t="s">
        <v>130</v>
      </c>
      <c r="I99" s="61" t="s">
        <v>49</v>
      </c>
      <c r="J99" s="63">
        <v>28</v>
      </c>
      <c r="K99" s="64" t="s">
        <v>18</v>
      </c>
      <c r="L99" s="64">
        <v>0.2</v>
      </c>
      <c r="M99" s="89">
        <v>2.85</v>
      </c>
      <c r="N99" s="89">
        <v>8.8048305803682823</v>
      </c>
      <c r="O99" s="61">
        <v>3.7992182678461215</v>
      </c>
      <c r="P99" s="61">
        <f t="shared" si="2"/>
        <v>37.630842786169929</v>
      </c>
      <c r="Q99" s="89">
        <v>7.1030882992605475</v>
      </c>
      <c r="R99" s="89">
        <v>6.9003529592306521</v>
      </c>
      <c r="S99" s="89">
        <v>17.206803939122651</v>
      </c>
      <c r="T99" s="89">
        <v>9.5125941387188675</v>
      </c>
      <c r="U99" s="61">
        <v>7.41</v>
      </c>
      <c r="V99" s="312" t="s">
        <v>329</v>
      </c>
      <c r="AF99" s="12"/>
      <c r="AG99" s="1"/>
      <c r="AH99" s="1"/>
      <c r="AI99" s="1"/>
      <c r="AJ99" s="1"/>
      <c r="AK99" s="1"/>
    </row>
    <row r="100" spans="1:37">
      <c r="A100" s="29">
        <v>94</v>
      </c>
      <c r="B100" s="100" t="s">
        <v>48</v>
      </c>
      <c r="C100" s="100" t="s">
        <v>166</v>
      </c>
      <c r="D100" s="100" t="s">
        <v>167</v>
      </c>
      <c r="E100" s="100" t="s">
        <v>168</v>
      </c>
      <c r="F100" s="100" t="s">
        <v>35</v>
      </c>
      <c r="G100" s="100" t="s">
        <v>144</v>
      </c>
      <c r="H100" s="100" t="s">
        <v>130</v>
      </c>
      <c r="I100" s="61" t="s">
        <v>49</v>
      </c>
      <c r="J100" s="63">
        <v>28</v>
      </c>
      <c r="K100" s="64" t="s">
        <v>18</v>
      </c>
      <c r="L100" s="64">
        <v>0.24399999999999999</v>
      </c>
      <c r="M100" s="89">
        <v>1.5</v>
      </c>
      <c r="N100" s="89">
        <v>9.8053795099555874</v>
      </c>
      <c r="O100" s="61">
        <v>3.9991771240485496</v>
      </c>
      <c r="P100" s="61">
        <f t="shared" si="2"/>
        <v>40.952644033191028</v>
      </c>
      <c r="Q100" s="89">
        <v>8.0034797738147017</v>
      </c>
      <c r="R100" s="89">
        <v>2.6001329991303908</v>
      </c>
      <c r="S100" s="89">
        <v>20.107951114904957</v>
      </c>
      <c r="T100" s="89">
        <v>14.61935520266268</v>
      </c>
      <c r="U100" s="61">
        <v>6.77</v>
      </c>
      <c r="V100" s="312" t="s">
        <v>329</v>
      </c>
      <c r="AF100" s="12"/>
      <c r="AG100" s="1"/>
      <c r="AH100" s="1"/>
      <c r="AI100" s="1"/>
      <c r="AJ100" s="1"/>
      <c r="AK100" s="1"/>
    </row>
    <row r="101" spans="1:37">
      <c r="A101" s="29">
        <v>95</v>
      </c>
      <c r="B101" s="100" t="s">
        <v>48</v>
      </c>
      <c r="C101" s="100" t="s">
        <v>166</v>
      </c>
      <c r="D101" s="100" t="s">
        <v>167</v>
      </c>
      <c r="E101" s="100" t="s">
        <v>168</v>
      </c>
      <c r="F101" s="100" t="s">
        <v>35</v>
      </c>
      <c r="G101" s="100" t="s">
        <v>144</v>
      </c>
      <c r="H101" s="100" t="s">
        <v>130</v>
      </c>
      <c r="I101" s="61" t="s">
        <v>49</v>
      </c>
      <c r="J101" s="63">
        <v>28</v>
      </c>
      <c r="K101" s="64" t="s">
        <v>18</v>
      </c>
      <c r="L101" s="64">
        <v>0.33</v>
      </c>
      <c r="M101" s="89">
        <v>1.71</v>
      </c>
      <c r="N101" s="89">
        <v>9.7053246169968563</v>
      </c>
      <c r="O101" s="61">
        <v>3.8991976959473358</v>
      </c>
      <c r="P101" s="61">
        <f t="shared" si="2"/>
        <v>40.291091680552277</v>
      </c>
      <c r="Q101" s="89">
        <v>75.432796868203582</v>
      </c>
      <c r="R101" s="89">
        <v>3.8001943833444165</v>
      </c>
      <c r="S101" s="89">
        <v>20.107951114904957</v>
      </c>
      <c r="T101" s="89">
        <v>14.61935520266268</v>
      </c>
      <c r="U101" s="61">
        <v>8.2799999999999994</v>
      </c>
      <c r="V101" s="312" t="s">
        <v>329</v>
      </c>
      <c r="AF101" s="12"/>
      <c r="AG101" s="1"/>
      <c r="AH101" s="1"/>
      <c r="AI101" s="1"/>
      <c r="AJ101" s="1"/>
      <c r="AK101" s="1"/>
    </row>
    <row r="102" spans="1:37">
      <c r="A102" s="29">
        <v>96</v>
      </c>
      <c r="B102" s="100" t="s">
        <v>48</v>
      </c>
      <c r="C102" s="100" t="s">
        <v>166</v>
      </c>
      <c r="D102" s="100" t="s">
        <v>167</v>
      </c>
      <c r="E102" s="100" t="s">
        <v>168</v>
      </c>
      <c r="F102" s="100" t="s">
        <v>35</v>
      </c>
      <c r="G102" s="100" t="s">
        <v>144</v>
      </c>
      <c r="H102" s="100" t="s">
        <v>130</v>
      </c>
      <c r="I102" s="61" t="s">
        <v>49</v>
      </c>
      <c r="J102" s="63">
        <v>28</v>
      </c>
      <c r="K102" s="64" t="s">
        <v>18</v>
      </c>
      <c r="L102" s="64">
        <v>0.71</v>
      </c>
      <c r="M102" s="89">
        <v>1.53</v>
      </c>
      <c r="N102" s="89">
        <v>112.06148011377815</v>
      </c>
      <c r="O102" s="61">
        <v>3.7992182678461215</v>
      </c>
      <c r="P102" s="61">
        <f t="shared" si="2"/>
        <v>295.46269667109436</v>
      </c>
      <c r="Q102" s="89">
        <v>76.033057851239661</v>
      </c>
      <c r="R102" s="89">
        <v>4.0002046140467549</v>
      </c>
      <c r="S102" s="89">
        <v>20.107951114904957</v>
      </c>
      <c r="T102" s="89">
        <v>192.35466674188362</v>
      </c>
      <c r="U102" s="61">
        <v>8.25</v>
      </c>
      <c r="V102" s="312" t="s">
        <v>329</v>
      </c>
      <c r="AF102" s="12"/>
      <c r="AG102" s="1"/>
      <c r="AH102" s="1"/>
      <c r="AI102" s="1"/>
      <c r="AJ102" s="1"/>
      <c r="AK102" s="1"/>
    </row>
    <row r="103" spans="1:37" ht="17" thickBot="1">
      <c r="A103" s="29">
        <v>97</v>
      </c>
      <c r="B103" s="103" t="s">
        <v>36</v>
      </c>
      <c r="C103" s="100" t="s">
        <v>145</v>
      </c>
      <c r="D103" s="100" t="s">
        <v>146</v>
      </c>
      <c r="E103" s="100" t="s">
        <v>147</v>
      </c>
      <c r="F103" s="100" t="s">
        <v>35</v>
      </c>
      <c r="G103" s="100" t="s">
        <v>144</v>
      </c>
      <c r="H103" s="100" t="s">
        <v>130</v>
      </c>
      <c r="I103" s="90" t="s">
        <v>20</v>
      </c>
      <c r="J103" s="92">
        <v>112</v>
      </c>
      <c r="K103" s="93">
        <v>7.1999999999999995E-2</v>
      </c>
      <c r="L103" s="93" t="s">
        <v>18</v>
      </c>
      <c r="M103" s="90">
        <v>4.3</v>
      </c>
      <c r="N103" s="90">
        <v>63.638066052198212</v>
      </c>
      <c r="O103" s="90">
        <v>3.4992801900000003</v>
      </c>
      <c r="P103" s="90">
        <f t="shared" si="2"/>
        <v>173.31428675475894</v>
      </c>
      <c r="Q103" s="90">
        <v>18.808012779500654</v>
      </c>
      <c r="R103" s="90">
        <v>2.0003733038001053</v>
      </c>
      <c r="S103" s="90">
        <v>5.9035387236956289</v>
      </c>
      <c r="T103" s="90">
        <v>41.054365500000003</v>
      </c>
      <c r="U103" s="91">
        <v>8</v>
      </c>
      <c r="V103" s="312" t="s">
        <v>308</v>
      </c>
      <c r="AF103" s="12"/>
      <c r="AG103" s="1"/>
      <c r="AH103" s="1"/>
      <c r="AI103" s="1"/>
      <c r="AJ103" s="1"/>
      <c r="AK103" s="1"/>
    </row>
    <row r="104" spans="1:37" ht="17" thickBot="1">
      <c r="B104" s="80"/>
      <c r="C104" s="80"/>
      <c r="D104" s="80"/>
      <c r="E104" s="80"/>
      <c r="F104" s="80"/>
      <c r="G104" s="80"/>
      <c r="H104" s="80"/>
      <c r="I104" s="79"/>
      <c r="J104" s="81"/>
      <c r="K104" s="82"/>
      <c r="L104" s="82"/>
      <c r="M104" s="83"/>
      <c r="N104" s="83"/>
      <c r="O104" s="79"/>
      <c r="P104" s="79"/>
      <c r="Q104" s="83"/>
      <c r="R104" s="83"/>
      <c r="S104" s="83"/>
      <c r="T104" s="83"/>
      <c r="U104" s="79"/>
      <c r="V104"/>
      <c r="AF104" s="12"/>
      <c r="AG104" s="1"/>
      <c r="AH104" s="1"/>
      <c r="AI104" s="1"/>
      <c r="AJ104" s="1"/>
      <c r="AK104" s="1"/>
    </row>
    <row r="105" spans="1:37" ht="17" thickBot="1">
      <c r="B105" s="98" t="s">
        <v>53</v>
      </c>
      <c r="C105" s="98"/>
      <c r="D105" s="98"/>
      <c r="E105" s="98"/>
      <c r="F105" s="98"/>
      <c r="G105" s="98"/>
      <c r="H105" s="98"/>
      <c r="I105" s="68"/>
      <c r="J105" s="74"/>
      <c r="K105" s="69"/>
      <c r="L105" s="69"/>
      <c r="M105" s="75"/>
      <c r="N105" s="75"/>
      <c r="O105" s="68"/>
      <c r="P105" s="68"/>
      <c r="Q105" s="75"/>
      <c r="R105" s="75"/>
      <c r="S105" s="68"/>
      <c r="T105" s="68"/>
      <c r="U105" s="68"/>
      <c r="V105"/>
      <c r="AF105" s="12"/>
      <c r="AG105" s="1"/>
      <c r="AH105" s="1"/>
      <c r="AI105" s="1"/>
      <c r="AJ105" s="1"/>
      <c r="AK105" s="1"/>
    </row>
    <row r="106" spans="1:37">
      <c r="A106" s="29">
        <v>98</v>
      </c>
      <c r="B106" s="102" t="s">
        <v>56</v>
      </c>
      <c r="C106" s="102" t="s">
        <v>178</v>
      </c>
      <c r="D106" s="102" t="s">
        <v>179</v>
      </c>
      <c r="E106" s="102" t="s">
        <v>180</v>
      </c>
      <c r="F106" s="102" t="s">
        <v>55</v>
      </c>
      <c r="G106" s="102" t="s">
        <v>176</v>
      </c>
      <c r="H106" s="102" t="s">
        <v>177</v>
      </c>
      <c r="I106" s="84" t="s">
        <v>49</v>
      </c>
      <c r="J106" s="86">
        <v>2</v>
      </c>
      <c r="K106" s="87">
        <v>0.35</v>
      </c>
      <c r="L106" s="87" t="s">
        <v>18</v>
      </c>
      <c r="M106" s="84">
        <v>0.3</v>
      </c>
      <c r="N106" s="84">
        <v>7.0038425071111341</v>
      </c>
      <c r="O106" s="84">
        <v>6.2987039703764669</v>
      </c>
      <c r="P106" s="84">
        <f t="shared" ref="P106:P136" si="3">N106*2.497+O106*4.118</f>
        <v>43.426657690266794</v>
      </c>
      <c r="Q106" s="84">
        <v>14.006089604175729</v>
      </c>
      <c r="R106" s="84">
        <v>1.1000562688628575</v>
      </c>
      <c r="S106" s="84">
        <v>53.020965626366298</v>
      </c>
      <c r="T106" s="84">
        <v>4.505965644656305</v>
      </c>
      <c r="U106" s="85">
        <v>6</v>
      </c>
      <c r="V106" s="312" t="s">
        <v>306</v>
      </c>
      <c r="AF106" s="13"/>
      <c r="AG106" s="1"/>
      <c r="AH106" s="1"/>
      <c r="AI106" s="1"/>
      <c r="AJ106" s="1"/>
      <c r="AK106" s="1"/>
    </row>
    <row r="107" spans="1:37">
      <c r="A107" s="29">
        <v>99</v>
      </c>
      <c r="B107" s="100" t="s">
        <v>56</v>
      </c>
      <c r="C107" s="100" t="s">
        <v>178</v>
      </c>
      <c r="D107" s="100" t="s">
        <v>179</v>
      </c>
      <c r="E107" s="100" t="s">
        <v>180</v>
      </c>
      <c r="F107" s="100" t="s">
        <v>55</v>
      </c>
      <c r="G107" s="100" t="s">
        <v>176</v>
      </c>
      <c r="H107" s="100" t="s">
        <v>177</v>
      </c>
      <c r="I107" s="61" t="s">
        <v>49</v>
      </c>
      <c r="J107" s="63">
        <v>2</v>
      </c>
      <c r="K107" s="64">
        <v>0.105</v>
      </c>
      <c r="L107" s="64" t="s">
        <v>18</v>
      </c>
      <c r="M107" s="61">
        <v>0.3</v>
      </c>
      <c r="N107" s="61">
        <v>7.0038425071111341</v>
      </c>
      <c r="O107" s="61">
        <v>6.2987039703764669</v>
      </c>
      <c r="P107" s="61">
        <f t="shared" si="3"/>
        <v>43.426657690266794</v>
      </c>
      <c r="Q107" s="61">
        <v>14.006089604175729</v>
      </c>
      <c r="R107" s="61">
        <v>1.1000562688628575</v>
      </c>
      <c r="S107" s="61">
        <v>53.020965626366298</v>
      </c>
      <c r="T107" s="61">
        <v>4.505965644656305</v>
      </c>
      <c r="U107" s="62">
        <v>6.5</v>
      </c>
      <c r="V107" s="312" t="s">
        <v>306</v>
      </c>
      <c r="AF107" s="13"/>
      <c r="AG107" s="1"/>
      <c r="AH107" s="1"/>
      <c r="AI107" s="1"/>
      <c r="AJ107" s="1"/>
      <c r="AK107" s="1"/>
    </row>
    <row r="108" spans="1:37">
      <c r="A108" s="29">
        <v>100</v>
      </c>
      <c r="B108" s="100" t="s">
        <v>56</v>
      </c>
      <c r="C108" s="100" t="s">
        <v>178</v>
      </c>
      <c r="D108" s="100" t="s">
        <v>179</v>
      </c>
      <c r="E108" s="100" t="s">
        <v>180</v>
      </c>
      <c r="F108" s="100" t="s">
        <v>55</v>
      </c>
      <c r="G108" s="100" t="s">
        <v>176</v>
      </c>
      <c r="H108" s="100" t="s">
        <v>177</v>
      </c>
      <c r="I108" s="61" t="s">
        <v>49</v>
      </c>
      <c r="J108" s="63">
        <v>2</v>
      </c>
      <c r="K108" s="64">
        <v>9.2999999999999999E-2</v>
      </c>
      <c r="L108" s="64" t="s">
        <v>18</v>
      </c>
      <c r="M108" s="61">
        <v>0.3</v>
      </c>
      <c r="N108" s="61">
        <v>7.0038425071111341</v>
      </c>
      <c r="O108" s="61">
        <v>6.2987039703764669</v>
      </c>
      <c r="P108" s="61">
        <f t="shared" si="3"/>
        <v>43.426657690266794</v>
      </c>
      <c r="Q108" s="61">
        <v>14.006089604175729</v>
      </c>
      <c r="R108" s="61">
        <v>1.1000562688628575</v>
      </c>
      <c r="S108" s="61">
        <v>53.020965626366298</v>
      </c>
      <c r="T108" s="61">
        <v>4.505965644656305</v>
      </c>
      <c r="U108" s="62">
        <v>7</v>
      </c>
      <c r="V108" s="312" t="s">
        <v>306</v>
      </c>
      <c r="AF108" s="13"/>
      <c r="AG108" s="1"/>
      <c r="AH108" s="1"/>
      <c r="AI108" s="1"/>
      <c r="AJ108" s="1"/>
      <c r="AK108" s="1"/>
    </row>
    <row r="109" spans="1:37">
      <c r="A109" s="29">
        <v>101</v>
      </c>
      <c r="B109" s="100" t="s">
        <v>56</v>
      </c>
      <c r="C109" s="100" t="s">
        <v>178</v>
      </c>
      <c r="D109" s="100" t="s">
        <v>179</v>
      </c>
      <c r="E109" s="100" t="s">
        <v>180</v>
      </c>
      <c r="F109" s="100" t="s">
        <v>55</v>
      </c>
      <c r="G109" s="100" t="s">
        <v>176</v>
      </c>
      <c r="H109" s="100" t="s">
        <v>177</v>
      </c>
      <c r="I109" s="61" t="s">
        <v>49</v>
      </c>
      <c r="J109" s="63">
        <v>2</v>
      </c>
      <c r="K109" s="64">
        <v>1.6E-2</v>
      </c>
      <c r="L109" s="64" t="s">
        <v>18</v>
      </c>
      <c r="M109" s="61">
        <v>0.3</v>
      </c>
      <c r="N109" s="61">
        <v>7.0038425071111341</v>
      </c>
      <c r="O109" s="61">
        <v>6.2987039703764669</v>
      </c>
      <c r="P109" s="61">
        <f t="shared" si="3"/>
        <v>43.426657690266794</v>
      </c>
      <c r="Q109" s="61">
        <v>14.006089604175729</v>
      </c>
      <c r="R109" s="61">
        <v>1.1000562688628575</v>
      </c>
      <c r="S109" s="61">
        <v>53.020965626366298</v>
      </c>
      <c r="T109" s="61">
        <v>4.505965644656305</v>
      </c>
      <c r="U109" s="62">
        <v>7.5</v>
      </c>
      <c r="V109" s="312" t="s">
        <v>306</v>
      </c>
      <c r="AF109" s="13"/>
      <c r="AG109" s="1"/>
      <c r="AH109" s="1"/>
      <c r="AI109" s="1"/>
      <c r="AJ109" s="1"/>
      <c r="AK109" s="1"/>
    </row>
    <row r="110" spans="1:37">
      <c r="A110" s="29">
        <v>102</v>
      </c>
      <c r="B110" s="100" t="s">
        <v>56</v>
      </c>
      <c r="C110" s="100" t="s">
        <v>178</v>
      </c>
      <c r="D110" s="100" t="s">
        <v>179</v>
      </c>
      <c r="E110" s="100" t="s">
        <v>180</v>
      </c>
      <c r="F110" s="100" t="s">
        <v>55</v>
      </c>
      <c r="G110" s="100" t="s">
        <v>176</v>
      </c>
      <c r="H110" s="100" t="s">
        <v>177</v>
      </c>
      <c r="I110" s="61" t="s">
        <v>49</v>
      </c>
      <c r="J110" s="63">
        <v>2</v>
      </c>
      <c r="K110" s="64">
        <v>5.9000000000000007E-3</v>
      </c>
      <c r="L110" s="64" t="s">
        <v>18</v>
      </c>
      <c r="M110" s="61">
        <v>0.3</v>
      </c>
      <c r="N110" s="61">
        <v>7.0038425071111341</v>
      </c>
      <c r="O110" s="61">
        <v>6.2987039703764669</v>
      </c>
      <c r="P110" s="61">
        <f t="shared" si="3"/>
        <v>43.426657690266794</v>
      </c>
      <c r="Q110" s="61">
        <v>14.006089604175729</v>
      </c>
      <c r="R110" s="61">
        <v>1.1000562688628575</v>
      </c>
      <c r="S110" s="61">
        <v>53.020965626366298</v>
      </c>
      <c r="T110" s="61">
        <v>4.505965644656305</v>
      </c>
      <c r="U110" s="62">
        <v>8</v>
      </c>
      <c r="V110" s="312" t="s">
        <v>306</v>
      </c>
      <c r="AF110" s="13"/>
      <c r="AG110" s="1"/>
      <c r="AH110" s="1"/>
      <c r="AI110" s="1"/>
      <c r="AJ110" s="1"/>
      <c r="AK110" s="1"/>
    </row>
    <row r="111" spans="1:37">
      <c r="A111" s="29">
        <v>103</v>
      </c>
      <c r="B111" s="100" t="s">
        <v>54</v>
      </c>
      <c r="C111" s="100" t="s">
        <v>172</v>
      </c>
      <c r="D111" s="100" t="s">
        <v>173</v>
      </c>
      <c r="E111" s="100" t="s">
        <v>174</v>
      </c>
      <c r="F111" s="100" t="s">
        <v>175</v>
      </c>
      <c r="G111" s="100" t="s">
        <v>176</v>
      </c>
      <c r="H111" s="100" t="s">
        <v>177</v>
      </c>
      <c r="I111" s="61" t="s">
        <v>49</v>
      </c>
      <c r="J111" s="63">
        <v>3</v>
      </c>
      <c r="K111" s="64">
        <v>0.05</v>
      </c>
      <c r="L111" s="64" t="s">
        <v>18</v>
      </c>
      <c r="M111" s="61">
        <v>0.3</v>
      </c>
      <c r="N111" s="61">
        <v>4.9029348174260203</v>
      </c>
      <c r="O111" s="61">
        <v>2.8994031000000002</v>
      </c>
      <c r="P111" s="61">
        <f t="shared" si="3"/>
        <v>24.182370204912772</v>
      </c>
      <c r="Q111" s="61">
        <v>13.705840665899085</v>
      </c>
      <c r="R111" s="61">
        <v>0.47008765796749968</v>
      </c>
      <c r="S111" s="61">
        <v>5.9035387236956289</v>
      </c>
      <c r="T111" s="61">
        <v>23.030490100000002</v>
      </c>
      <c r="U111" s="62">
        <v>7.4</v>
      </c>
      <c r="V111" s="312" t="s">
        <v>302</v>
      </c>
      <c r="AF111" s="13"/>
      <c r="AG111" s="1"/>
      <c r="AH111" s="1"/>
      <c r="AI111" s="1"/>
      <c r="AJ111" s="1"/>
      <c r="AK111" s="1"/>
    </row>
    <row r="112" spans="1:37">
      <c r="A112" s="29">
        <v>104</v>
      </c>
      <c r="B112" s="100" t="s">
        <v>54</v>
      </c>
      <c r="C112" s="100" t="s">
        <v>172</v>
      </c>
      <c r="D112" s="100" t="s">
        <v>173</v>
      </c>
      <c r="E112" s="100" t="s">
        <v>174</v>
      </c>
      <c r="F112" s="100" t="s">
        <v>175</v>
      </c>
      <c r="G112" s="100" t="s">
        <v>176</v>
      </c>
      <c r="H112" s="100" t="s">
        <v>177</v>
      </c>
      <c r="I112" s="61" t="s">
        <v>49</v>
      </c>
      <c r="J112" s="63">
        <v>3</v>
      </c>
      <c r="K112" s="64">
        <v>2.4E-2</v>
      </c>
      <c r="L112" s="64" t="s">
        <v>18</v>
      </c>
      <c r="M112" s="61">
        <v>0.3</v>
      </c>
      <c r="N112" s="61">
        <v>4.9029348174260203</v>
      </c>
      <c r="O112" s="61">
        <v>2.8994031000000002</v>
      </c>
      <c r="P112" s="61">
        <f t="shared" si="3"/>
        <v>24.182370204912772</v>
      </c>
      <c r="Q112" s="61">
        <v>13.705840665899085</v>
      </c>
      <c r="R112" s="61">
        <v>0.47008765796749968</v>
      </c>
      <c r="S112" s="61">
        <v>5.9035387236956289</v>
      </c>
      <c r="T112" s="61">
        <v>23.030490100000002</v>
      </c>
      <c r="U112" s="62">
        <v>7.5</v>
      </c>
      <c r="V112" s="312" t="s">
        <v>303</v>
      </c>
      <c r="AF112" s="13"/>
      <c r="AG112" s="1"/>
      <c r="AH112" s="1"/>
      <c r="AI112" s="1"/>
      <c r="AJ112" s="1"/>
      <c r="AK112" s="1"/>
    </row>
    <row r="113" spans="1:37">
      <c r="A113" s="29">
        <v>105</v>
      </c>
      <c r="B113" s="100" t="s">
        <v>54</v>
      </c>
      <c r="C113" s="100" t="s">
        <v>172</v>
      </c>
      <c r="D113" s="100" t="s">
        <v>173</v>
      </c>
      <c r="E113" s="100" t="s">
        <v>174</v>
      </c>
      <c r="F113" s="100" t="s">
        <v>175</v>
      </c>
      <c r="G113" s="100" t="s">
        <v>176</v>
      </c>
      <c r="H113" s="100" t="s">
        <v>177</v>
      </c>
      <c r="I113" s="61" t="s">
        <v>49</v>
      </c>
      <c r="J113" s="63">
        <v>3</v>
      </c>
      <c r="K113" s="64">
        <v>5.1999999999999998E-3</v>
      </c>
      <c r="L113" s="64" t="s">
        <v>18</v>
      </c>
      <c r="M113" s="61">
        <v>0.3</v>
      </c>
      <c r="N113" s="61">
        <v>40.021957183492191</v>
      </c>
      <c r="O113" s="61">
        <v>2.999382843036412</v>
      </c>
      <c r="P113" s="61">
        <f t="shared" si="3"/>
        <v>112.28628563480395</v>
      </c>
      <c r="Q113" s="61">
        <v>62.026968247063941</v>
      </c>
      <c r="R113" s="61">
        <v>0.47002404215049359</v>
      </c>
      <c r="S113" s="61">
        <v>5.9023339093502116</v>
      </c>
      <c r="T113" s="61">
        <v>85.112684399063554</v>
      </c>
      <c r="U113" s="62">
        <v>7.5</v>
      </c>
      <c r="V113" s="312" t="s">
        <v>304</v>
      </c>
      <c r="AF113" s="13"/>
      <c r="AG113" s="1"/>
      <c r="AH113" s="1"/>
      <c r="AI113" s="1"/>
      <c r="AJ113" s="1"/>
      <c r="AK113" s="1"/>
    </row>
    <row r="114" spans="1:37">
      <c r="A114" s="29">
        <v>106</v>
      </c>
      <c r="B114" s="100" t="s">
        <v>54</v>
      </c>
      <c r="C114" s="100" t="s">
        <v>172</v>
      </c>
      <c r="D114" s="100" t="s">
        <v>173</v>
      </c>
      <c r="E114" s="100" t="s">
        <v>174</v>
      </c>
      <c r="F114" s="100" t="s">
        <v>175</v>
      </c>
      <c r="G114" s="100" t="s">
        <v>176</v>
      </c>
      <c r="H114" s="100" t="s">
        <v>177</v>
      </c>
      <c r="I114" s="61" t="s">
        <v>49</v>
      </c>
      <c r="J114" s="63">
        <v>3</v>
      </c>
      <c r="K114" s="64">
        <v>5.4999999999999997E-3</v>
      </c>
      <c r="L114" s="64" t="s">
        <v>18</v>
      </c>
      <c r="M114" s="61">
        <v>0.3</v>
      </c>
      <c r="N114" s="61">
        <v>60.032935775238286</v>
      </c>
      <c r="O114" s="61">
        <v>2.999382843036412</v>
      </c>
      <c r="P114" s="61">
        <f t="shared" si="3"/>
        <v>162.25369917839393</v>
      </c>
      <c r="Q114" s="61">
        <v>62.026968247063941</v>
      </c>
      <c r="R114" s="61">
        <v>0.47002404215049359</v>
      </c>
      <c r="S114" s="61">
        <v>5.9023339093502116</v>
      </c>
      <c r="T114" s="61">
        <v>120.15908385750147</v>
      </c>
      <c r="U114" s="62">
        <v>7.5</v>
      </c>
      <c r="V114" s="312" t="s">
        <v>304</v>
      </c>
      <c r="AF114" s="13"/>
      <c r="AG114" s="1"/>
      <c r="AH114" s="1"/>
      <c r="AI114" s="1"/>
      <c r="AJ114" s="1"/>
      <c r="AK114" s="1"/>
    </row>
    <row r="115" spans="1:37">
      <c r="A115" s="29">
        <v>107</v>
      </c>
      <c r="B115" s="100" t="s">
        <v>54</v>
      </c>
      <c r="C115" s="100" t="s">
        <v>172</v>
      </c>
      <c r="D115" s="100" t="s">
        <v>173</v>
      </c>
      <c r="E115" s="100" t="s">
        <v>174</v>
      </c>
      <c r="F115" s="100" t="s">
        <v>175</v>
      </c>
      <c r="G115" s="100" t="s">
        <v>176</v>
      </c>
      <c r="H115" s="100" t="s">
        <v>177</v>
      </c>
      <c r="I115" s="61" t="s">
        <v>49</v>
      </c>
      <c r="J115" s="63">
        <v>3</v>
      </c>
      <c r="K115" s="64">
        <v>5.4999999999999997E-3</v>
      </c>
      <c r="L115" s="64" t="s">
        <v>18</v>
      </c>
      <c r="M115" s="61">
        <v>0.3</v>
      </c>
      <c r="N115" s="61">
        <v>80.043914366984382</v>
      </c>
      <c r="O115" s="61">
        <v>2.999382843036412</v>
      </c>
      <c r="P115" s="61">
        <f t="shared" si="3"/>
        <v>212.22111272198393</v>
      </c>
      <c r="Q115" s="61">
        <v>62.026968247063941</v>
      </c>
      <c r="R115" s="61">
        <v>0.47002404215049359</v>
      </c>
      <c r="S115" s="61">
        <v>5.9023339093502116</v>
      </c>
      <c r="T115" s="61">
        <v>156.20680901475191</v>
      </c>
      <c r="U115" s="62">
        <v>7.5</v>
      </c>
      <c r="V115" s="312" t="s">
        <v>304</v>
      </c>
      <c r="AF115" s="13"/>
      <c r="AG115" s="1"/>
      <c r="AH115" s="1"/>
      <c r="AI115" s="1"/>
      <c r="AJ115" s="1"/>
      <c r="AK115" s="1"/>
    </row>
    <row r="116" spans="1:37">
      <c r="A116" s="29">
        <v>108</v>
      </c>
      <c r="B116" s="100" t="s">
        <v>54</v>
      </c>
      <c r="C116" s="100" t="s">
        <v>172</v>
      </c>
      <c r="D116" s="100" t="s">
        <v>173</v>
      </c>
      <c r="E116" s="100" t="s">
        <v>174</v>
      </c>
      <c r="F116" s="100" t="s">
        <v>175</v>
      </c>
      <c r="G116" s="100" t="s">
        <v>176</v>
      </c>
      <c r="H116" s="100" t="s">
        <v>177</v>
      </c>
      <c r="I116" s="61" t="s">
        <v>49</v>
      </c>
      <c r="J116" s="63">
        <v>3</v>
      </c>
      <c r="K116" s="64">
        <v>5.1999999999999998E-3</v>
      </c>
      <c r="L116" s="64" t="s">
        <v>18</v>
      </c>
      <c r="M116" s="61">
        <v>0.3</v>
      </c>
      <c r="N116" s="61">
        <v>5.0027446479365238</v>
      </c>
      <c r="O116" s="61">
        <v>11.997531372145648</v>
      </c>
      <c r="P116" s="61">
        <f t="shared" si="3"/>
        <v>61.897687576393281</v>
      </c>
      <c r="Q116" s="61">
        <v>62.026968247063941</v>
      </c>
      <c r="R116" s="61">
        <v>0.47002404215049359</v>
      </c>
      <c r="S116" s="61">
        <v>5.9023339093502116</v>
      </c>
      <c r="T116" s="61">
        <v>49.064959241813099</v>
      </c>
      <c r="U116" s="62">
        <v>7.5</v>
      </c>
      <c r="V116" s="312" t="s">
        <v>304</v>
      </c>
      <c r="AF116" s="13"/>
      <c r="AG116" s="1"/>
      <c r="AH116" s="1"/>
      <c r="AI116" s="1"/>
      <c r="AJ116" s="1"/>
      <c r="AK116" s="1"/>
    </row>
    <row r="117" spans="1:37">
      <c r="A117" s="29">
        <v>109</v>
      </c>
      <c r="B117" s="100" t="s">
        <v>54</v>
      </c>
      <c r="C117" s="100" t="s">
        <v>172</v>
      </c>
      <c r="D117" s="100" t="s">
        <v>173</v>
      </c>
      <c r="E117" s="100" t="s">
        <v>174</v>
      </c>
      <c r="F117" s="100" t="s">
        <v>175</v>
      </c>
      <c r="G117" s="100" t="s">
        <v>176</v>
      </c>
      <c r="H117" s="100" t="s">
        <v>177</v>
      </c>
      <c r="I117" s="61" t="s">
        <v>49</v>
      </c>
      <c r="J117" s="63">
        <v>3</v>
      </c>
      <c r="K117" s="64">
        <v>8.6E-3</v>
      </c>
      <c r="L117" s="64" t="s">
        <v>18</v>
      </c>
      <c r="M117" s="61">
        <v>0.3</v>
      </c>
      <c r="N117" s="61">
        <v>5.0027446479365238</v>
      </c>
      <c r="O117" s="61">
        <v>23.995062744291296</v>
      </c>
      <c r="P117" s="61">
        <f t="shared" si="3"/>
        <v>111.30352176688906</v>
      </c>
      <c r="Q117" s="61">
        <v>62.026968247063941</v>
      </c>
      <c r="R117" s="61">
        <v>0.47002404215049359</v>
      </c>
      <c r="S117" s="61">
        <v>5.9023339093502116</v>
      </c>
      <c r="T117" s="61">
        <v>85.112684399063554</v>
      </c>
      <c r="U117" s="62">
        <v>7.5</v>
      </c>
      <c r="V117" s="312" t="s">
        <v>304</v>
      </c>
      <c r="AF117" s="13"/>
      <c r="AG117" s="1"/>
      <c r="AH117" s="1"/>
      <c r="AI117" s="1"/>
      <c r="AJ117" s="1"/>
      <c r="AK117" s="1"/>
    </row>
    <row r="118" spans="1:37">
      <c r="A118" s="29">
        <v>110</v>
      </c>
      <c r="B118" s="100" t="s">
        <v>54</v>
      </c>
      <c r="C118" s="100" t="s">
        <v>172</v>
      </c>
      <c r="D118" s="100" t="s">
        <v>173</v>
      </c>
      <c r="E118" s="100" t="s">
        <v>174</v>
      </c>
      <c r="F118" s="100" t="s">
        <v>175</v>
      </c>
      <c r="G118" s="100" t="s">
        <v>176</v>
      </c>
      <c r="H118" s="100" t="s">
        <v>177</v>
      </c>
      <c r="I118" s="61" t="s">
        <v>49</v>
      </c>
      <c r="J118" s="63">
        <v>3</v>
      </c>
      <c r="K118" s="64">
        <v>7.7000000000000002E-3</v>
      </c>
      <c r="L118" s="64" t="s">
        <v>18</v>
      </c>
      <c r="M118" s="61">
        <v>0.3</v>
      </c>
      <c r="N118" s="61">
        <v>5.0027446479365238</v>
      </c>
      <c r="O118" s="61">
        <v>35.992594116436948</v>
      </c>
      <c r="P118" s="61">
        <f t="shared" si="3"/>
        <v>160.70935595738484</v>
      </c>
      <c r="Q118" s="61">
        <v>62.026968247063941</v>
      </c>
      <c r="R118" s="61">
        <v>0.47002404215049359</v>
      </c>
      <c r="S118" s="61">
        <v>5.9023339093502116</v>
      </c>
      <c r="T118" s="61">
        <v>120.15908385750147</v>
      </c>
      <c r="U118" s="62">
        <v>7.5</v>
      </c>
      <c r="V118" s="312" t="s">
        <v>304</v>
      </c>
      <c r="AF118" s="13"/>
      <c r="AG118" s="1"/>
      <c r="AH118" s="1"/>
      <c r="AI118" s="1"/>
      <c r="AJ118" s="1"/>
      <c r="AK118" s="1"/>
    </row>
    <row r="119" spans="1:37">
      <c r="A119" s="29">
        <v>111</v>
      </c>
      <c r="B119" s="100" t="s">
        <v>54</v>
      </c>
      <c r="C119" s="100" t="s">
        <v>172</v>
      </c>
      <c r="D119" s="100" t="s">
        <v>173</v>
      </c>
      <c r="E119" s="100" t="s">
        <v>174</v>
      </c>
      <c r="F119" s="100" t="s">
        <v>175</v>
      </c>
      <c r="G119" s="100" t="s">
        <v>176</v>
      </c>
      <c r="H119" s="100" t="s">
        <v>177</v>
      </c>
      <c r="I119" s="61" t="s">
        <v>49</v>
      </c>
      <c r="J119" s="63">
        <v>3</v>
      </c>
      <c r="K119" s="64">
        <v>8.5000000000000006E-3</v>
      </c>
      <c r="L119" s="64" t="s">
        <v>18</v>
      </c>
      <c r="M119" s="61">
        <v>0.3</v>
      </c>
      <c r="N119" s="61">
        <v>5.0027446479365238</v>
      </c>
      <c r="O119" s="61">
        <v>48.989919769594735</v>
      </c>
      <c r="P119" s="61">
        <f t="shared" si="3"/>
        <v>214.23234299708861</v>
      </c>
      <c r="Q119" s="61">
        <v>62.026968247063941</v>
      </c>
      <c r="R119" s="61">
        <v>0.47002404215049359</v>
      </c>
      <c r="S119" s="61">
        <v>5.9023339093502116</v>
      </c>
      <c r="T119" s="61">
        <v>156.20680901475191</v>
      </c>
      <c r="U119" s="62">
        <v>7.5</v>
      </c>
      <c r="V119" s="312" t="s">
        <v>304</v>
      </c>
      <c r="AF119" s="13"/>
      <c r="AG119" s="1"/>
      <c r="AH119" s="1"/>
      <c r="AI119" s="1"/>
      <c r="AJ119" s="1"/>
      <c r="AK119" s="1"/>
    </row>
    <row r="120" spans="1:37">
      <c r="A120" s="29">
        <v>112</v>
      </c>
      <c r="B120" s="100" t="s">
        <v>54</v>
      </c>
      <c r="C120" s="100" t="s">
        <v>172</v>
      </c>
      <c r="D120" s="100" t="s">
        <v>173</v>
      </c>
      <c r="E120" s="100" t="s">
        <v>174</v>
      </c>
      <c r="F120" s="100" t="s">
        <v>175</v>
      </c>
      <c r="G120" s="100" t="s">
        <v>176</v>
      </c>
      <c r="H120" s="100" t="s">
        <v>177</v>
      </c>
      <c r="I120" s="61" t="s">
        <v>49</v>
      </c>
      <c r="J120" s="63">
        <v>3</v>
      </c>
      <c r="K120" s="64">
        <v>8.0000000000000002E-3</v>
      </c>
      <c r="L120" s="64" t="s">
        <v>18</v>
      </c>
      <c r="M120" s="61">
        <v>0.3</v>
      </c>
      <c r="N120" s="61">
        <v>5.0027446479365238</v>
      </c>
      <c r="O120" s="61">
        <v>60.987451141740387</v>
      </c>
      <c r="P120" s="61">
        <f t="shared" si="3"/>
        <v>263.6381771875844</v>
      </c>
      <c r="Q120" s="61">
        <v>62.026968247063941</v>
      </c>
      <c r="R120" s="61">
        <v>0.47002404215049359</v>
      </c>
      <c r="S120" s="61">
        <v>5.9023339093502116</v>
      </c>
      <c r="T120" s="61">
        <v>191.25320847318986</v>
      </c>
      <c r="U120" s="62">
        <v>7.5</v>
      </c>
      <c r="V120" s="312" t="s">
        <v>304</v>
      </c>
      <c r="AF120" s="13"/>
      <c r="AG120" s="1"/>
      <c r="AH120" s="1"/>
      <c r="AI120" s="1"/>
      <c r="AJ120" s="1"/>
      <c r="AK120" s="1"/>
    </row>
    <row r="121" spans="1:37">
      <c r="A121" s="29">
        <v>113</v>
      </c>
      <c r="B121" s="100" t="s">
        <v>54</v>
      </c>
      <c r="C121" s="100" t="s">
        <v>172</v>
      </c>
      <c r="D121" s="100" t="s">
        <v>173</v>
      </c>
      <c r="E121" s="100" t="s">
        <v>174</v>
      </c>
      <c r="F121" s="100" t="s">
        <v>175</v>
      </c>
      <c r="G121" s="100" t="s">
        <v>176</v>
      </c>
      <c r="H121" s="100" t="s">
        <v>177</v>
      </c>
      <c r="I121" s="61" t="s">
        <v>49</v>
      </c>
      <c r="J121" s="63">
        <v>3</v>
      </c>
      <c r="K121" s="64">
        <v>5.4000000000000003E-3</v>
      </c>
      <c r="L121" s="64" t="s">
        <v>18</v>
      </c>
      <c r="M121" s="61">
        <v>0.3</v>
      </c>
      <c r="N121" s="61">
        <v>5.0027446479365238</v>
      </c>
      <c r="O121" s="61">
        <v>2.999382843036412</v>
      </c>
      <c r="P121" s="61">
        <f t="shared" si="3"/>
        <v>24.843311933521445</v>
      </c>
      <c r="Q121" s="61">
        <v>62.026968247063941</v>
      </c>
      <c r="R121" s="61">
        <v>0.47002404215049359</v>
      </c>
      <c r="S121" s="61">
        <v>5.9023339093502116</v>
      </c>
      <c r="T121" s="61">
        <v>40.053027952500493</v>
      </c>
      <c r="U121" s="62">
        <v>7.5</v>
      </c>
      <c r="V121" s="312" t="s">
        <v>304</v>
      </c>
      <c r="AF121" s="13"/>
      <c r="AG121" s="1"/>
      <c r="AH121" s="1"/>
      <c r="AI121" s="1"/>
      <c r="AJ121" s="1"/>
      <c r="AK121" s="1"/>
    </row>
    <row r="122" spans="1:37">
      <c r="A122" s="29">
        <v>114</v>
      </c>
      <c r="B122" s="100" t="s">
        <v>54</v>
      </c>
      <c r="C122" s="100" t="s">
        <v>172</v>
      </c>
      <c r="D122" s="100" t="s">
        <v>173</v>
      </c>
      <c r="E122" s="100" t="s">
        <v>174</v>
      </c>
      <c r="F122" s="100" t="s">
        <v>175</v>
      </c>
      <c r="G122" s="100" t="s">
        <v>176</v>
      </c>
      <c r="H122" s="100" t="s">
        <v>177</v>
      </c>
      <c r="I122" s="61" t="s">
        <v>49</v>
      </c>
      <c r="J122" s="63">
        <v>3</v>
      </c>
      <c r="K122" s="64">
        <v>6.7999999999999996E-3</v>
      </c>
      <c r="L122" s="64" t="s">
        <v>18</v>
      </c>
      <c r="M122" s="61">
        <v>0.3</v>
      </c>
      <c r="N122" s="61">
        <v>5.0027446479365238</v>
      </c>
      <c r="O122" s="61">
        <v>2.999382843036412</v>
      </c>
      <c r="P122" s="61">
        <f t="shared" si="3"/>
        <v>24.843311933521445</v>
      </c>
      <c r="Q122" s="61">
        <v>74.032187907785996</v>
      </c>
      <c r="R122" s="61">
        <v>0.47002404215049359</v>
      </c>
      <c r="S122" s="61">
        <v>5.9023339093502116</v>
      </c>
      <c r="T122" s="61">
        <v>58.076890531125713</v>
      </c>
      <c r="U122" s="62">
        <v>7.5</v>
      </c>
      <c r="V122" s="312" t="s">
        <v>304</v>
      </c>
      <c r="AF122" s="13"/>
      <c r="AG122" s="1"/>
      <c r="AH122" s="1"/>
      <c r="AI122" s="1"/>
      <c r="AJ122" s="1"/>
      <c r="AK122" s="1"/>
    </row>
    <row r="123" spans="1:37">
      <c r="A123" s="29">
        <v>115</v>
      </c>
      <c r="B123" s="100" t="s">
        <v>54</v>
      </c>
      <c r="C123" s="100" t="s">
        <v>172</v>
      </c>
      <c r="D123" s="100" t="s">
        <v>173</v>
      </c>
      <c r="E123" s="100" t="s">
        <v>174</v>
      </c>
      <c r="F123" s="100" t="s">
        <v>175</v>
      </c>
      <c r="G123" s="100" t="s">
        <v>176</v>
      </c>
      <c r="H123" s="100" t="s">
        <v>177</v>
      </c>
      <c r="I123" s="61" t="s">
        <v>49</v>
      </c>
      <c r="J123" s="63">
        <v>3</v>
      </c>
      <c r="K123" s="64">
        <v>7.9000000000000008E-3</v>
      </c>
      <c r="L123" s="64" t="s">
        <v>18</v>
      </c>
      <c r="M123" s="61">
        <v>0.3</v>
      </c>
      <c r="N123" s="61">
        <v>5.0027446479365238</v>
      </c>
      <c r="O123" s="61">
        <v>2.999382843036412</v>
      </c>
      <c r="P123" s="61">
        <f t="shared" si="3"/>
        <v>24.843311933521445</v>
      </c>
      <c r="Q123" s="61">
        <v>85.036972596781212</v>
      </c>
      <c r="R123" s="61">
        <v>0.47002404215049359</v>
      </c>
      <c r="S123" s="61">
        <v>5.9023339093502116</v>
      </c>
      <c r="T123" s="61">
        <v>76.10075310975094</v>
      </c>
      <c r="U123" s="62">
        <v>7.5</v>
      </c>
      <c r="V123" s="312" t="s">
        <v>304</v>
      </c>
      <c r="AF123" s="13"/>
      <c r="AG123" s="1"/>
      <c r="AH123" s="1"/>
      <c r="AI123" s="1"/>
      <c r="AJ123" s="1"/>
      <c r="AK123" s="1"/>
    </row>
    <row r="124" spans="1:37">
      <c r="A124" s="29">
        <v>116</v>
      </c>
      <c r="B124" s="100" t="s">
        <v>54</v>
      </c>
      <c r="C124" s="100" t="s">
        <v>172</v>
      </c>
      <c r="D124" s="100" t="s">
        <v>173</v>
      </c>
      <c r="E124" s="100" t="s">
        <v>174</v>
      </c>
      <c r="F124" s="100" t="s">
        <v>175</v>
      </c>
      <c r="G124" s="100" t="s">
        <v>176</v>
      </c>
      <c r="H124" s="100" t="s">
        <v>177</v>
      </c>
      <c r="I124" s="61" t="s">
        <v>49</v>
      </c>
      <c r="J124" s="63">
        <v>3</v>
      </c>
      <c r="K124" s="64">
        <v>7.4000000000000003E-3</v>
      </c>
      <c r="L124" s="64" t="s">
        <v>18</v>
      </c>
      <c r="M124" s="61">
        <v>0.3</v>
      </c>
      <c r="N124" s="61">
        <v>5.0027446479365238</v>
      </c>
      <c r="O124" s="61">
        <v>2.999382843036412</v>
      </c>
      <c r="P124" s="61">
        <f t="shared" si="3"/>
        <v>24.843311933521445</v>
      </c>
      <c r="Q124" s="61">
        <v>108.04697694649849</v>
      </c>
      <c r="R124" s="61">
        <v>0.47002404215049359</v>
      </c>
      <c r="S124" s="61">
        <v>5.9023339093502116</v>
      </c>
      <c r="T124" s="61">
        <v>111.14715256818887</v>
      </c>
      <c r="U124" s="62">
        <v>7.5</v>
      </c>
      <c r="V124" s="312" t="s">
        <v>304</v>
      </c>
      <c r="AF124" s="13"/>
      <c r="AG124" s="5"/>
      <c r="AH124" s="1"/>
      <c r="AI124" s="1"/>
      <c r="AJ124" s="1"/>
      <c r="AK124" s="1"/>
    </row>
    <row r="125" spans="1:37">
      <c r="A125" s="29">
        <v>117</v>
      </c>
      <c r="B125" s="100" t="s">
        <v>54</v>
      </c>
      <c r="C125" s="100" t="s">
        <v>172</v>
      </c>
      <c r="D125" s="100" t="s">
        <v>173</v>
      </c>
      <c r="E125" s="100" t="s">
        <v>174</v>
      </c>
      <c r="F125" s="100" t="s">
        <v>175</v>
      </c>
      <c r="G125" s="100" t="s">
        <v>176</v>
      </c>
      <c r="H125" s="100" t="s">
        <v>177</v>
      </c>
      <c r="I125" s="61" t="s">
        <v>49</v>
      </c>
      <c r="J125" s="63">
        <v>3</v>
      </c>
      <c r="K125" s="64">
        <v>4.9000000000000007E-3</v>
      </c>
      <c r="L125" s="64" t="s">
        <v>18</v>
      </c>
      <c r="M125" s="61">
        <v>0.3</v>
      </c>
      <c r="N125" s="61">
        <v>5.0027446479365238</v>
      </c>
      <c r="O125" s="61">
        <v>2.999382843036412</v>
      </c>
      <c r="P125" s="61">
        <f t="shared" si="3"/>
        <v>24.843311933521445</v>
      </c>
      <c r="Q125" s="61">
        <v>166.07220530665506</v>
      </c>
      <c r="R125" s="61">
        <v>0.47002404215049359</v>
      </c>
      <c r="S125" s="61">
        <v>5.9023339093502116</v>
      </c>
      <c r="T125" s="61">
        <v>200.26513976250246</v>
      </c>
      <c r="U125" s="62">
        <v>7.5</v>
      </c>
      <c r="V125" s="312" t="s">
        <v>304</v>
      </c>
      <c r="AF125" s="13"/>
      <c r="AG125" s="5"/>
      <c r="AH125" s="1"/>
      <c r="AI125" s="1"/>
      <c r="AJ125" s="1"/>
      <c r="AK125" s="1"/>
    </row>
    <row r="126" spans="1:37">
      <c r="A126" s="29">
        <v>118</v>
      </c>
      <c r="B126" s="100" t="s">
        <v>54</v>
      </c>
      <c r="C126" s="100" t="s">
        <v>172</v>
      </c>
      <c r="D126" s="100" t="s">
        <v>173</v>
      </c>
      <c r="E126" s="100" t="s">
        <v>174</v>
      </c>
      <c r="F126" s="100" t="s">
        <v>175</v>
      </c>
      <c r="G126" s="100" t="s">
        <v>176</v>
      </c>
      <c r="H126" s="100" t="s">
        <v>177</v>
      </c>
      <c r="I126" s="61" t="s">
        <v>49</v>
      </c>
      <c r="J126" s="63">
        <v>3</v>
      </c>
      <c r="K126" s="64">
        <v>0.124</v>
      </c>
      <c r="L126" s="64" t="s">
        <v>18</v>
      </c>
      <c r="M126" s="61">
        <v>0.3</v>
      </c>
      <c r="N126" s="61">
        <v>5.0027446479365238</v>
      </c>
      <c r="O126" s="61">
        <v>2.999382843036412</v>
      </c>
      <c r="P126" s="61">
        <f t="shared" si="3"/>
        <v>24.843311933521445</v>
      </c>
      <c r="Q126" s="61">
        <v>104.04523705959112</v>
      </c>
      <c r="R126" s="61">
        <v>0.47002404215049359</v>
      </c>
      <c r="S126" s="61">
        <v>5.9023339093502116</v>
      </c>
      <c r="T126" s="61">
        <v>149.19752912306433</v>
      </c>
      <c r="U126" s="62">
        <v>6.2</v>
      </c>
      <c r="V126" s="312" t="s">
        <v>304</v>
      </c>
      <c r="AF126" s="13"/>
      <c r="AG126" s="5"/>
      <c r="AH126" s="1"/>
      <c r="AI126" s="1"/>
      <c r="AJ126" s="1"/>
      <c r="AK126" s="1"/>
    </row>
    <row r="127" spans="1:37">
      <c r="A127" s="29">
        <v>119</v>
      </c>
      <c r="B127" s="100" t="s">
        <v>54</v>
      </c>
      <c r="C127" s="100" t="s">
        <v>172</v>
      </c>
      <c r="D127" s="100" t="s">
        <v>173</v>
      </c>
      <c r="E127" s="100" t="s">
        <v>174</v>
      </c>
      <c r="F127" s="100" t="s">
        <v>175</v>
      </c>
      <c r="G127" s="100" t="s">
        <v>176</v>
      </c>
      <c r="H127" s="100" t="s">
        <v>177</v>
      </c>
      <c r="I127" s="61" t="s">
        <v>49</v>
      </c>
      <c r="J127" s="63">
        <v>3</v>
      </c>
      <c r="K127" s="64">
        <v>7.3900000000000007E-2</v>
      </c>
      <c r="L127" s="64" t="s">
        <v>18</v>
      </c>
      <c r="M127" s="61">
        <v>0.3</v>
      </c>
      <c r="N127" s="61">
        <v>5.0027446479365238</v>
      </c>
      <c r="O127" s="61">
        <v>2.999382843036412</v>
      </c>
      <c r="P127" s="61">
        <f t="shared" si="3"/>
        <v>24.843311933521445</v>
      </c>
      <c r="Q127" s="61">
        <v>104.04523705959112</v>
      </c>
      <c r="R127" s="61">
        <v>0.47002404215049359</v>
      </c>
      <c r="S127" s="61">
        <v>5.9023339093502116</v>
      </c>
      <c r="T127" s="61">
        <v>121.16040955631399</v>
      </c>
      <c r="U127" s="62">
        <v>6.8</v>
      </c>
      <c r="V127" s="312" t="s">
        <v>304</v>
      </c>
      <c r="AF127" s="13"/>
      <c r="AG127" s="5"/>
      <c r="AH127" s="1"/>
      <c r="AI127" s="1"/>
      <c r="AJ127" s="1"/>
      <c r="AK127" s="1"/>
    </row>
    <row r="128" spans="1:37">
      <c r="A128" s="29">
        <v>120</v>
      </c>
      <c r="B128" s="100" t="s">
        <v>54</v>
      </c>
      <c r="C128" s="100" t="s">
        <v>172</v>
      </c>
      <c r="D128" s="100" t="s">
        <v>173</v>
      </c>
      <c r="E128" s="100" t="s">
        <v>174</v>
      </c>
      <c r="F128" s="100" t="s">
        <v>175</v>
      </c>
      <c r="G128" s="100" t="s">
        <v>176</v>
      </c>
      <c r="H128" s="100" t="s">
        <v>177</v>
      </c>
      <c r="I128" s="61" t="s">
        <v>49</v>
      </c>
      <c r="J128" s="63">
        <v>3</v>
      </c>
      <c r="K128" s="64">
        <v>4.1000000000000002E-2</v>
      </c>
      <c r="L128" s="64" t="s">
        <v>18</v>
      </c>
      <c r="M128" s="61">
        <v>0.3</v>
      </c>
      <c r="N128" s="61">
        <v>5.0027446479365238</v>
      </c>
      <c r="O128" s="61">
        <v>2.999382843036412</v>
      </c>
      <c r="P128" s="61">
        <f t="shared" si="3"/>
        <v>24.843311933521445</v>
      </c>
      <c r="Q128" s="61">
        <v>104.04523705959112</v>
      </c>
      <c r="R128" s="61">
        <v>0.47002404215049359</v>
      </c>
      <c r="S128" s="61">
        <v>5.9023339093502116</v>
      </c>
      <c r="T128" s="61">
        <v>105.1391983753138</v>
      </c>
      <c r="U128" s="62">
        <v>7.1</v>
      </c>
      <c r="V128" s="312" t="s">
        <v>304</v>
      </c>
      <c r="AF128" s="13"/>
      <c r="AG128" s="5"/>
      <c r="AH128" s="1"/>
      <c r="AI128" s="1"/>
      <c r="AJ128" s="1"/>
      <c r="AK128" s="1"/>
    </row>
    <row r="129" spans="1:39">
      <c r="A129" s="29">
        <v>121</v>
      </c>
      <c r="B129" s="100" t="s">
        <v>54</v>
      </c>
      <c r="C129" s="100" t="s">
        <v>172</v>
      </c>
      <c r="D129" s="100" t="s">
        <v>173</v>
      </c>
      <c r="E129" s="100" t="s">
        <v>174</v>
      </c>
      <c r="F129" s="100" t="s">
        <v>175</v>
      </c>
      <c r="G129" s="100" t="s">
        <v>176</v>
      </c>
      <c r="H129" s="100" t="s">
        <v>177</v>
      </c>
      <c r="I129" s="61" t="s">
        <v>49</v>
      </c>
      <c r="J129" s="63">
        <v>3</v>
      </c>
      <c r="K129" s="64">
        <v>1.47E-2</v>
      </c>
      <c r="L129" s="64" t="s">
        <v>18</v>
      </c>
      <c r="M129" s="61">
        <v>0.3</v>
      </c>
      <c r="N129" s="61">
        <v>5.0027446479365238</v>
      </c>
      <c r="O129" s="61">
        <v>2.999382843036412</v>
      </c>
      <c r="P129" s="61">
        <f t="shared" si="3"/>
        <v>24.843311933521445</v>
      </c>
      <c r="Q129" s="61">
        <v>104.04523705959112</v>
      </c>
      <c r="R129" s="61">
        <v>0.47002404215049359</v>
      </c>
      <c r="S129" s="61">
        <v>5.9023339093502116</v>
      </c>
      <c r="T129" s="61">
        <v>67.088821820438326</v>
      </c>
      <c r="U129" s="62">
        <v>7.4</v>
      </c>
      <c r="V129" s="312" t="s">
        <v>304</v>
      </c>
      <c r="AF129" s="13"/>
      <c r="AG129" s="1"/>
      <c r="AH129" s="1"/>
      <c r="AI129" s="1"/>
      <c r="AJ129" s="1"/>
      <c r="AK129" s="1"/>
    </row>
    <row r="130" spans="1:39">
      <c r="A130" s="29">
        <v>122</v>
      </c>
      <c r="B130" s="100" t="s">
        <v>54</v>
      </c>
      <c r="C130" s="100" t="s">
        <v>172</v>
      </c>
      <c r="D130" s="100" t="s">
        <v>173</v>
      </c>
      <c r="E130" s="100" t="s">
        <v>174</v>
      </c>
      <c r="F130" s="100" t="s">
        <v>175</v>
      </c>
      <c r="G130" s="100" t="s">
        <v>176</v>
      </c>
      <c r="H130" s="100" t="s">
        <v>177</v>
      </c>
      <c r="I130" s="61" t="s">
        <v>49</v>
      </c>
      <c r="J130" s="63">
        <v>3</v>
      </c>
      <c r="K130" s="64">
        <v>1.01E-2</v>
      </c>
      <c r="L130" s="64" t="s">
        <v>18</v>
      </c>
      <c r="M130" s="61">
        <v>0.3</v>
      </c>
      <c r="N130" s="61">
        <v>5.0027446479365238</v>
      </c>
      <c r="O130" s="61">
        <v>2.999382843036412</v>
      </c>
      <c r="P130" s="61">
        <f t="shared" si="3"/>
        <v>24.843311933521445</v>
      </c>
      <c r="Q130" s="61">
        <v>104.04523705959112</v>
      </c>
      <c r="R130" s="61">
        <v>0.47002404215049359</v>
      </c>
      <c r="S130" s="61">
        <v>5.9023339093502116</v>
      </c>
      <c r="T130" s="61">
        <v>57.075564832313205</v>
      </c>
      <c r="U130" s="62">
        <v>7.7</v>
      </c>
      <c r="V130" s="312" t="s">
        <v>304</v>
      </c>
      <c r="AF130" s="13"/>
      <c r="AG130" s="1"/>
      <c r="AH130" s="5"/>
      <c r="AI130" s="1"/>
      <c r="AJ130" s="1"/>
      <c r="AK130" s="1"/>
    </row>
    <row r="131" spans="1:39">
      <c r="A131" s="29">
        <v>123</v>
      </c>
      <c r="B131" s="100" t="s">
        <v>54</v>
      </c>
      <c r="C131" s="100" t="s">
        <v>172</v>
      </c>
      <c r="D131" s="100" t="s">
        <v>173</v>
      </c>
      <c r="E131" s="100" t="s">
        <v>174</v>
      </c>
      <c r="F131" s="100" t="s">
        <v>175</v>
      </c>
      <c r="G131" s="100" t="s">
        <v>176</v>
      </c>
      <c r="H131" s="100" t="s">
        <v>177</v>
      </c>
      <c r="I131" s="61" t="s">
        <v>49</v>
      </c>
      <c r="J131" s="63">
        <v>3</v>
      </c>
      <c r="K131" s="64">
        <v>9.4000000000000004E-3</v>
      </c>
      <c r="L131" s="64" t="s">
        <v>18</v>
      </c>
      <c r="M131" s="61">
        <v>0.3</v>
      </c>
      <c r="N131" s="61">
        <v>5.0027446479365238</v>
      </c>
      <c r="O131" s="61">
        <v>2.999382843036412</v>
      </c>
      <c r="P131" s="61">
        <f t="shared" si="3"/>
        <v>24.843311933521445</v>
      </c>
      <c r="Q131" s="61">
        <v>104.04523705959112</v>
      </c>
      <c r="R131" s="61">
        <v>0.47002404215049359</v>
      </c>
      <c r="S131" s="61">
        <v>5.9023339093502116</v>
      </c>
      <c r="T131" s="61">
        <v>53.070262037063159</v>
      </c>
      <c r="U131" s="62">
        <v>7.8</v>
      </c>
      <c r="V131" s="312" t="s">
        <v>304</v>
      </c>
      <c r="AF131" s="13"/>
      <c r="AG131" s="1"/>
      <c r="AH131" s="5"/>
      <c r="AI131" s="1"/>
      <c r="AJ131" s="1"/>
      <c r="AK131" s="1"/>
    </row>
    <row r="132" spans="1:39">
      <c r="A132" s="29">
        <v>124</v>
      </c>
      <c r="B132" s="100" t="s">
        <v>54</v>
      </c>
      <c r="C132" s="100" t="s">
        <v>172</v>
      </c>
      <c r="D132" s="100" t="s">
        <v>173</v>
      </c>
      <c r="E132" s="100" t="s">
        <v>174</v>
      </c>
      <c r="F132" s="100" t="s">
        <v>175</v>
      </c>
      <c r="G132" s="100" t="s">
        <v>176</v>
      </c>
      <c r="H132" s="100" t="s">
        <v>177</v>
      </c>
      <c r="I132" s="61" t="s">
        <v>49</v>
      </c>
      <c r="J132" s="63">
        <v>3</v>
      </c>
      <c r="K132" s="64">
        <v>5.8000000000000003E-2</v>
      </c>
      <c r="L132" s="64" t="s">
        <v>18</v>
      </c>
      <c r="M132" s="61">
        <v>2.91</v>
      </c>
      <c r="N132" s="61">
        <v>7.1542812100603825</v>
      </c>
      <c r="O132" s="61">
        <v>2.5594728300000003</v>
      </c>
      <c r="P132" s="61">
        <f t="shared" si="3"/>
        <v>28.404149295460776</v>
      </c>
      <c r="Q132" s="61">
        <v>5.602387861969552</v>
      </c>
      <c r="R132" s="61">
        <v>0.39007280401609551</v>
      </c>
      <c r="S132" s="61">
        <v>11.406839911978262</v>
      </c>
      <c r="T132" s="61">
        <v>10.113389099999999</v>
      </c>
      <c r="U132" s="62">
        <v>6.23</v>
      </c>
      <c r="V132" s="312" t="s">
        <v>305</v>
      </c>
      <c r="AF132" s="13"/>
      <c r="AG132" s="1"/>
      <c r="AH132" s="5"/>
      <c r="AI132" s="1"/>
      <c r="AJ132" s="1"/>
      <c r="AK132" s="1"/>
    </row>
    <row r="133" spans="1:39">
      <c r="A133" s="29">
        <v>125</v>
      </c>
      <c r="B133" s="100" t="s">
        <v>54</v>
      </c>
      <c r="C133" s="100" t="s">
        <v>172</v>
      </c>
      <c r="D133" s="100" t="s">
        <v>173</v>
      </c>
      <c r="E133" s="100" t="s">
        <v>174</v>
      </c>
      <c r="F133" s="100" t="s">
        <v>175</v>
      </c>
      <c r="G133" s="100" t="s">
        <v>176</v>
      </c>
      <c r="H133" s="100" t="s">
        <v>177</v>
      </c>
      <c r="I133" s="61" t="s">
        <v>49</v>
      </c>
      <c r="J133" s="63">
        <v>3</v>
      </c>
      <c r="K133" s="64">
        <v>9.0999999999999998E-2</v>
      </c>
      <c r="L133" s="64" t="s">
        <v>18</v>
      </c>
      <c r="M133" s="61">
        <v>2.48</v>
      </c>
      <c r="N133" s="61">
        <v>6.8240853432207205</v>
      </c>
      <c r="O133" s="61">
        <v>2.4195021570000002</v>
      </c>
      <c r="P133" s="61">
        <f t="shared" si="3"/>
        <v>27.003250984548139</v>
      </c>
      <c r="Q133" s="61">
        <v>4.2017897464871687</v>
      </c>
      <c r="R133" s="61">
        <v>0.86016046198359508</v>
      </c>
      <c r="S133" s="61">
        <v>7.6245701203298948</v>
      </c>
      <c r="T133" s="61">
        <v>7.9204866499999991</v>
      </c>
      <c r="U133" s="62">
        <v>6.26</v>
      </c>
      <c r="V133" s="312" t="s">
        <v>305</v>
      </c>
      <c r="AF133" s="13"/>
      <c r="AG133" s="1"/>
      <c r="AH133" s="5"/>
      <c r="AI133" s="1"/>
      <c r="AJ133" s="1"/>
      <c r="AK133" s="1"/>
    </row>
    <row r="134" spans="1:39">
      <c r="A134" s="29">
        <v>126</v>
      </c>
      <c r="B134" s="100" t="s">
        <v>54</v>
      </c>
      <c r="C134" s="100" t="s">
        <v>172</v>
      </c>
      <c r="D134" s="100" t="s">
        <v>173</v>
      </c>
      <c r="E134" s="100" t="s">
        <v>174</v>
      </c>
      <c r="F134" s="100" t="s">
        <v>175</v>
      </c>
      <c r="G134" s="100" t="s">
        <v>176</v>
      </c>
      <c r="H134" s="100" t="s">
        <v>177</v>
      </c>
      <c r="I134" s="61" t="s">
        <v>49</v>
      </c>
      <c r="J134" s="63">
        <v>3</v>
      </c>
      <c r="K134" s="64">
        <v>7.2999999999999995E-2</v>
      </c>
      <c r="L134" s="64" t="s">
        <v>18</v>
      </c>
      <c r="M134" s="61">
        <v>3.65</v>
      </c>
      <c r="N134" s="61">
        <v>8.7252209602674782</v>
      </c>
      <c r="O134" s="61">
        <v>1.3797160919999998</v>
      </c>
      <c r="P134" s="61">
        <f t="shared" si="3"/>
        <v>27.468547604643891</v>
      </c>
      <c r="Q134" s="61">
        <v>18.407843860774246</v>
      </c>
      <c r="R134" s="61">
        <v>0.82015303500789305</v>
      </c>
      <c r="S134" s="61">
        <v>14.508694745870958</v>
      </c>
      <c r="T134" s="61">
        <v>21.828900299999997</v>
      </c>
      <c r="U134" s="62">
        <v>6.43</v>
      </c>
      <c r="V134" s="312" t="s">
        <v>305</v>
      </c>
      <c r="AF134" s="13"/>
      <c r="AG134" s="1"/>
      <c r="AH134" s="5"/>
      <c r="AI134" s="1"/>
      <c r="AJ134" s="1"/>
      <c r="AK134" s="1"/>
    </row>
    <row r="135" spans="1:39">
      <c r="A135" s="29">
        <v>127</v>
      </c>
      <c r="B135" s="100" t="s">
        <v>54</v>
      </c>
      <c r="C135" s="100" t="s">
        <v>172</v>
      </c>
      <c r="D135" s="100" t="s">
        <v>173</v>
      </c>
      <c r="E135" s="100" t="s">
        <v>174</v>
      </c>
      <c r="F135" s="100" t="s">
        <v>175</v>
      </c>
      <c r="G135" s="100" t="s">
        <v>176</v>
      </c>
      <c r="H135" s="100" t="s">
        <v>177</v>
      </c>
      <c r="I135" s="61" t="s">
        <v>49</v>
      </c>
      <c r="J135" s="63">
        <v>3</v>
      </c>
      <c r="K135" s="64">
        <v>2.7E-2</v>
      </c>
      <c r="L135" s="64" t="s">
        <v>18</v>
      </c>
      <c r="M135" s="61">
        <v>5.89</v>
      </c>
      <c r="N135" s="61">
        <v>65.43916722750636</v>
      </c>
      <c r="O135" s="61">
        <v>18.39621537</v>
      </c>
      <c r="P135" s="61">
        <f t="shared" si="3"/>
        <v>239.15721546074337</v>
      </c>
      <c r="Q135" s="61">
        <v>116.44961994534145</v>
      </c>
      <c r="R135" s="61">
        <v>1.0301924176333292</v>
      </c>
      <c r="S135" s="61">
        <v>144.98690777527429</v>
      </c>
      <c r="T135" s="61">
        <v>186.747253</v>
      </c>
      <c r="U135" s="62">
        <v>8.01</v>
      </c>
      <c r="V135" s="312" t="s">
        <v>305</v>
      </c>
      <c r="AF135" s="13"/>
      <c r="AG135" s="1"/>
      <c r="AH135" s="1"/>
      <c r="AI135" s="1"/>
      <c r="AJ135" s="1"/>
      <c r="AK135" s="1"/>
    </row>
    <row r="136" spans="1:39" ht="17" thickBot="1">
      <c r="A136" s="29">
        <v>128</v>
      </c>
      <c r="B136" s="103" t="s">
        <v>54</v>
      </c>
      <c r="C136" s="103" t="s">
        <v>172</v>
      </c>
      <c r="D136" s="103" t="s">
        <v>173</v>
      </c>
      <c r="E136" s="103" t="s">
        <v>174</v>
      </c>
      <c r="F136" s="103" t="s">
        <v>175</v>
      </c>
      <c r="G136" s="103" t="s">
        <v>176</v>
      </c>
      <c r="H136" s="103" t="s">
        <v>177</v>
      </c>
      <c r="I136" s="90" t="s">
        <v>49</v>
      </c>
      <c r="J136" s="92">
        <v>3</v>
      </c>
      <c r="K136" s="93">
        <v>0.105</v>
      </c>
      <c r="L136" s="93" t="s">
        <v>18</v>
      </c>
      <c r="M136" s="90">
        <v>22.3</v>
      </c>
      <c r="N136" s="90">
        <v>43.425975764858528</v>
      </c>
      <c r="O136" s="90">
        <v>8.7382022399999997</v>
      </c>
      <c r="P136" s="90">
        <f t="shared" si="3"/>
        <v>144.41857830917175</v>
      </c>
      <c r="Q136" s="90">
        <v>86.436836041861667</v>
      </c>
      <c r="R136" s="90">
        <v>0.6601233271050847</v>
      </c>
      <c r="S136" s="90">
        <v>51.130647382251716</v>
      </c>
      <c r="T136" s="90">
        <v>86.414419500000008</v>
      </c>
      <c r="U136" s="91">
        <v>7.42</v>
      </c>
      <c r="V136" s="312" t="s">
        <v>305</v>
      </c>
      <c r="AF136" s="13"/>
      <c r="AG136" s="1"/>
      <c r="AH136" s="1"/>
      <c r="AI136" s="1"/>
      <c r="AJ136" s="1"/>
      <c r="AK136" s="1"/>
    </row>
    <row r="137" spans="1:39" s="5" customFormat="1">
      <c r="B137" s="13"/>
      <c r="C137" s="13"/>
      <c r="D137" s="13"/>
      <c r="E137" s="13"/>
      <c r="F137" s="13"/>
      <c r="G137" s="13"/>
      <c r="H137" s="13"/>
      <c r="I137" s="12"/>
      <c r="J137" s="14"/>
      <c r="K137" s="15"/>
      <c r="L137" s="15"/>
      <c r="M137" s="16"/>
      <c r="N137" s="17"/>
      <c r="O137" s="17"/>
      <c r="P137" s="17"/>
      <c r="Q137" s="17"/>
      <c r="R137" s="17"/>
      <c r="S137" s="17"/>
      <c r="T137" s="17"/>
      <c r="U137" s="25"/>
      <c r="V137" s="26"/>
      <c r="X137"/>
      <c r="Y137"/>
      <c r="Z137"/>
      <c r="AA137"/>
      <c r="AK137" s="26"/>
      <c r="AL137" s="1"/>
      <c r="AM137" s="1"/>
    </row>
    <row r="138" spans="1:39" s="5" customFormat="1">
      <c r="B138" s="13"/>
      <c r="C138" s="13"/>
      <c r="D138" s="13"/>
      <c r="E138" s="13"/>
      <c r="F138" s="13"/>
      <c r="G138" s="13"/>
      <c r="H138" s="13"/>
      <c r="I138" s="12"/>
      <c r="J138" s="14"/>
      <c r="K138" s="15"/>
      <c r="L138" s="15"/>
      <c r="M138" s="18"/>
      <c r="N138" s="19"/>
      <c r="O138" s="17"/>
      <c r="P138" s="17"/>
      <c r="Q138" s="19"/>
      <c r="R138" s="19"/>
      <c r="S138" s="17"/>
      <c r="T138" s="17"/>
      <c r="U138" s="16"/>
      <c r="V138" s="16"/>
      <c r="X138"/>
      <c r="Y138"/>
      <c r="Z138"/>
      <c r="AA138"/>
      <c r="AK138" s="16"/>
      <c r="AL138" s="1"/>
      <c r="AM138" s="1"/>
    </row>
    <row r="139" spans="1:39" s="5" customFormat="1">
      <c r="B139" s="13"/>
      <c r="C139" s="13"/>
      <c r="D139" s="13"/>
      <c r="E139" s="13"/>
      <c r="F139" s="13"/>
      <c r="G139" s="13"/>
      <c r="H139" s="13"/>
      <c r="I139" s="12"/>
      <c r="J139" s="14"/>
      <c r="K139" s="15"/>
      <c r="L139" s="20"/>
      <c r="M139" s="16"/>
      <c r="N139" s="19"/>
      <c r="O139" s="17"/>
      <c r="P139" s="17"/>
      <c r="Q139" s="19"/>
      <c r="R139" s="19"/>
      <c r="S139" s="17"/>
      <c r="T139" s="17"/>
      <c r="U139" s="16"/>
      <c r="V139" s="16"/>
      <c r="X139"/>
      <c r="Y139"/>
      <c r="Z139"/>
      <c r="AA139"/>
      <c r="AK139" s="16"/>
      <c r="AL139" s="1"/>
      <c r="AM139" s="1"/>
    </row>
    <row r="140" spans="1:39" s="5" customFormat="1">
      <c r="B140" s="13"/>
      <c r="C140" s="13"/>
      <c r="D140" s="13"/>
      <c r="E140" s="13"/>
      <c r="F140" s="13"/>
      <c r="G140" s="13"/>
      <c r="H140" s="13"/>
      <c r="I140" s="12"/>
      <c r="J140" s="14"/>
      <c r="K140" s="15"/>
      <c r="L140" s="15"/>
      <c r="M140" s="16"/>
      <c r="N140" s="17"/>
      <c r="O140" s="17"/>
      <c r="P140" s="17"/>
      <c r="Q140" s="17"/>
      <c r="R140" s="17"/>
      <c r="S140" s="17"/>
      <c r="T140" s="17"/>
      <c r="U140" s="26"/>
      <c r="V140" s="26"/>
      <c r="X140"/>
      <c r="Y140"/>
      <c r="Z140"/>
      <c r="AA140"/>
      <c r="AK140" s="26"/>
      <c r="AL140" s="1"/>
      <c r="AM140" s="1"/>
    </row>
    <row r="141" spans="1:39" s="5" customFormat="1">
      <c r="B141" s="13"/>
      <c r="C141" s="13"/>
      <c r="D141" s="13"/>
      <c r="E141" s="13"/>
      <c r="F141" s="13"/>
      <c r="G141" s="13"/>
      <c r="H141" s="13"/>
      <c r="I141" s="12"/>
      <c r="J141" s="14"/>
      <c r="K141" s="15"/>
      <c r="L141" s="15"/>
      <c r="M141" s="16"/>
      <c r="N141" s="17"/>
      <c r="O141" s="17"/>
      <c r="P141" s="17"/>
      <c r="Q141" s="17"/>
      <c r="R141" s="17"/>
      <c r="S141" s="17"/>
      <c r="T141" s="17"/>
      <c r="U141" s="26"/>
      <c r="V141" s="26"/>
      <c r="X141"/>
      <c r="Y141"/>
      <c r="Z141"/>
      <c r="AA141"/>
      <c r="AK141" s="26"/>
      <c r="AL141" s="1"/>
      <c r="AM141" s="1"/>
    </row>
    <row r="142" spans="1:39" s="5" customFormat="1">
      <c r="B142" s="13"/>
      <c r="C142" s="13"/>
      <c r="D142" s="13"/>
      <c r="E142" s="13"/>
      <c r="F142" s="13"/>
      <c r="G142" s="13"/>
      <c r="H142" s="13"/>
      <c r="I142" s="12"/>
      <c r="J142" s="14"/>
      <c r="K142" s="15"/>
      <c r="L142" s="15"/>
      <c r="M142" s="16"/>
      <c r="N142" s="17"/>
      <c r="O142" s="17"/>
      <c r="P142" s="17"/>
      <c r="Q142" s="17"/>
      <c r="R142" s="17"/>
      <c r="S142" s="17"/>
      <c r="T142" s="17"/>
      <c r="U142" s="26"/>
      <c r="V142" s="26"/>
      <c r="X142"/>
      <c r="Y142"/>
      <c r="Z142"/>
      <c r="AA142"/>
      <c r="AK142" s="26"/>
      <c r="AL142" s="1"/>
      <c r="AM142" s="1"/>
    </row>
    <row r="143" spans="1:39" s="5" customFormat="1">
      <c r="B143" s="13"/>
      <c r="C143" s="13"/>
      <c r="D143" s="13"/>
      <c r="E143" s="13"/>
      <c r="F143" s="13"/>
      <c r="G143" s="13"/>
      <c r="H143" s="13"/>
      <c r="K143" s="21"/>
      <c r="U143" s="1"/>
      <c r="V143" s="4"/>
      <c r="X143"/>
      <c r="Y143"/>
      <c r="Z143"/>
      <c r="AA143"/>
      <c r="AK143" s="4"/>
      <c r="AL143" s="1"/>
      <c r="AM143" s="1"/>
    </row>
    <row r="144" spans="1:39">
      <c r="B144" s="13"/>
      <c r="C144" s="13"/>
      <c r="D144" s="13"/>
      <c r="E144" s="13"/>
      <c r="F144" s="13"/>
      <c r="G144" s="13"/>
      <c r="H144" s="13"/>
    </row>
    <row r="145" spans="2:8">
      <c r="B145" s="13"/>
      <c r="C145" s="13"/>
      <c r="D145" s="13"/>
      <c r="E145" s="13"/>
      <c r="F145" s="13"/>
      <c r="G145" s="13"/>
      <c r="H145" s="13"/>
    </row>
    <row r="146" spans="2:8">
      <c r="B146" s="13"/>
      <c r="C146" s="13"/>
      <c r="D146" s="13"/>
      <c r="E146" s="13"/>
      <c r="F146" s="13"/>
      <c r="G146" s="13"/>
      <c r="H146" s="13"/>
    </row>
    <row r="147" spans="2:8">
      <c r="B147" s="13"/>
      <c r="C147" s="13"/>
      <c r="D147" s="13"/>
      <c r="E147" s="13"/>
      <c r="F147" s="13"/>
      <c r="G147" s="13"/>
      <c r="H147" s="13"/>
    </row>
    <row r="148" spans="2:8">
      <c r="B148" s="13"/>
      <c r="C148" s="13"/>
      <c r="D148" s="13"/>
      <c r="E148" s="13"/>
      <c r="F148" s="13"/>
      <c r="G148" s="13"/>
      <c r="H148" s="13"/>
    </row>
    <row r="149" spans="2:8">
      <c r="B149" s="13"/>
      <c r="C149" s="13"/>
      <c r="D149" s="13"/>
      <c r="E149" s="13"/>
      <c r="F149" s="13"/>
      <c r="G149" s="13"/>
      <c r="H149" s="13"/>
    </row>
    <row r="150" spans="2:8">
      <c r="B150" s="13"/>
      <c r="C150" s="13"/>
      <c r="D150" s="13"/>
      <c r="E150" s="13"/>
      <c r="F150" s="13"/>
      <c r="G150" s="13"/>
      <c r="H150" s="13"/>
    </row>
    <row r="151" spans="2:8">
      <c r="B151" s="13"/>
      <c r="C151" s="13"/>
      <c r="D151" s="13"/>
      <c r="E151" s="13"/>
      <c r="F151" s="13"/>
      <c r="G151" s="13"/>
      <c r="H151" s="13"/>
    </row>
    <row r="152" spans="2:8">
      <c r="B152" s="13"/>
      <c r="C152" s="13"/>
      <c r="D152" s="13"/>
      <c r="E152" s="13"/>
      <c r="F152" s="13"/>
      <c r="G152" s="13"/>
      <c r="H152" s="13"/>
    </row>
    <row r="153" spans="2:8">
      <c r="B153" s="13"/>
      <c r="C153" s="13"/>
      <c r="D153" s="13"/>
      <c r="E153" s="13"/>
      <c r="F153" s="13"/>
      <c r="G153" s="13"/>
      <c r="H153" s="13"/>
    </row>
    <row r="154" spans="2:8">
      <c r="B154" s="13"/>
      <c r="C154" s="13"/>
      <c r="D154" s="13"/>
      <c r="E154" s="13"/>
      <c r="F154" s="13"/>
      <c r="G154" s="13"/>
      <c r="H154" s="13"/>
    </row>
    <row r="155" spans="2:8">
      <c r="B155" s="13"/>
      <c r="C155" s="13"/>
      <c r="D155" s="13"/>
      <c r="E155" s="13"/>
      <c r="F155" s="13"/>
      <c r="G155" s="13"/>
      <c r="H155" s="13"/>
    </row>
    <row r="156" spans="2:8">
      <c r="B156" s="13"/>
      <c r="C156" s="13"/>
      <c r="D156" s="13"/>
      <c r="E156" s="13"/>
      <c r="F156" s="13"/>
      <c r="G156" s="13"/>
      <c r="H156" s="13"/>
    </row>
    <row r="157" spans="2:8">
      <c r="B157" s="13"/>
      <c r="C157" s="13"/>
      <c r="D157" s="13"/>
      <c r="E157" s="13"/>
      <c r="F157" s="13"/>
      <c r="G157" s="13"/>
      <c r="H157" s="13"/>
    </row>
    <row r="158" spans="2:8">
      <c r="B158" s="13"/>
      <c r="C158" s="13"/>
      <c r="D158" s="13"/>
      <c r="E158" s="13"/>
      <c r="F158" s="13"/>
      <c r="G158" s="13"/>
      <c r="H158" s="13"/>
    </row>
    <row r="159" spans="2:8">
      <c r="B159" s="13"/>
      <c r="C159" s="13"/>
      <c r="D159" s="13"/>
      <c r="E159" s="13"/>
      <c r="F159" s="13"/>
      <c r="G159" s="13"/>
      <c r="H159" s="13"/>
    </row>
    <row r="160" spans="2:8">
      <c r="B160" s="13"/>
      <c r="C160" s="13"/>
      <c r="D160" s="13"/>
      <c r="E160" s="13"/>
      <c r="F160" s="13"/>
      <c r="G160" s="13"/>
      <c r="H160" s="13"/>
    </row>
    <row r="161" spans="2:8">
      <c r="B161" s="13"/>
      <c r="C161" s="13"/>
      <c r="D161" s="13"/>
      <c r="E161" s="13"/>
      <c r="F161" s="13"/>
      <c r="G161" s="13"/>
      <c r="H161" s="13"/>
    </row>
    <row r="162" spans="2:8">
      <c r="B162" s="5"/>
      <c r="C162" s="5"/>
      <c r="D162" s="5"/>
      <c r="E162" s="5"/>
      <c r="F162" s="5"/>
      <c r="G162" s="5"/>
      <c r="H162" s="5"/>
    </row>
  </sheetData>
  <mergeCells count="13">
    <mergeCell ref="U2:U3"/>
    <mergeCell ref="M1:U1"/>
    <mergeCell ref="B2:B3"/>
    <mergeCell ref="I2:I3"/>
    <mergeCell ref="J2:J3"/>
    <mergeCell ref="E2:E3"/>
    <mergeCell ref="F2:F3"/>
    <mergeCell ref="G2:G3"/>
    <mergeCell ref="H2:H3"/>
    <mergeCell ref="C2:C3"/>
    <mergeCell ref="D2:D3"/>
    <mergeCell ref="B1:J1"/>
    <mergeCell ref="K1:L1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A50C-ABA7-A04D-8307-17E46E1533D6}">
  <dimension ref="B2:O140"/>
  <sheetViews>
    <sheetView workbookViewId="0"/>
  </sheetViews>
  <sheetFormatPr baseColWidth="10" defaultRowHeight="16"/>
  <cols>
    <col min="1" max="1" width="6.33203125" customWidth="1"/>
    <col min="2" max="2" width="15.1640625" style="4" customWidth="1"/>
    <col min="3" max="3" width="13.33203125" style="4" bestFit="1" customWidth="1"/>
    <col min="4" max="5" width="11" style="4" bestFit="1" customWidth="1"/>
    <col min="6" max="6" width="7.1640625" style="4" customWidth="1"/>
    <col min="7" max="7" width="9.5" style="4" bestFit="1" customWidth="1"/>
    <col min="8" max="8" width="27.6640625" style="4" bestFit="1" customWidth="1"/>
    <col min="9" max="9" width="12.83203125" style="4" bestFit="1" customWidth="1"/>
    <col min="10" max="10" width="17.1640625" style="4" bestFit="1" customWidth="1"/>
    <col min="11" max="11" width="14.6640625" style="4" bestFit="1" customWidth="1"/>
    <col min="12" max="12" width="17.33203125" style="4" bestFit="1" customWidth="1"/>
    <col min="13" max="13" width="16.1640625" style="4" bestFit="1" customWidth="1"/>
    <col min="14" max="14" width="11.1640625" style="4" bestFit="1" customWidth="1"/>
    <col min="15" max="15" width="8.33203125" style="4" bestFit="1" customWidth="1"/>
  </cols>
  <sheetData>
    <row r="2" spans="2:15">
      <c r="B2" s="297" t="s">
        <v>104</v>
      </c>
      <c r="C2" s="297"/>
      <c r="D2" s="297"/>
      <c r="E2" s="297"/>
      <c r="F2" s="16"/>
      <c r="G2" s="297" t="s">
        <v>229</v>
      </c>
      <c r="H2" s="297"/>
      <c r="I2" s="297"/>
      <c r="J2" s="297"/>
      <c r="K2" s="297"/>
      <c r="L2" s="297"/>
      <c r="M2" s="297"/>
      <c r="N2" s="297"/>
      <c r="O2" s="298"/>
    </row>
    <row r="3" spans="2:15">
      <c r="B3" s="153" t="s">
        <v>58</v>
      </c>
      <c r="C3" s="156" t="s">
        <v>5</v>
      </c>
      <c r="D3" s="154"/>
      <c r="E3" s="154"/>
      <c r="F3" s="12"/>
      <c r="G3" s="146" t="s">
        <v>110</v>
      </c>
      <c r="H3" s="143" t="s">
        <v>0</v>
      </c>
      <c r="I3" s="144" t="s">
        <v>300</v>
      </c>
      <c r="J3" s="144" t="s">
        <v>204</v>
      </c>
      <c r="K3" s="144" t="s">
        <v>205</v>
      </c>
      <c r="L3" s="144" t="s">
        <v>206</v>
      </c>
      <c r="M3" s="144" t="s">
        <v>207</v>
      </c>
      <c r="N3" s="144" t="s">
        <v>208</v>
      </c>
      <c r="O3" s="144" t="s">
        <v>120</v>
      </c>
    </row>
    <row r="4" spans="2:15">
      <c r="B4" s="109" t="s">
        <v>106</v>
      </c>
      <c r="C4" s="110">
        <v>5</v>
      </c>
      <c r="D4" s="109"/>
      <c r="E4" s="109"/>
      <c r="F4" s="12"/>
      <c r="G4" s="147" t="s">
        <v>58</v>
      </c>
      <c r="H4" s="151" t="s">
        <v>38</v>
      </c>
      <c r="I4" s="145" t="s">
        <v>15</v>
      </c>
      <c r="J4" s="145" t="s">
        <v>153</v>
      </c>
      <c r="K4" s="145" t="s">
        <v>139</v>
      </c>
      <c r="L4" s="145" t="s">
        <v>168</v>
      </c>
      <c r="M4" s="145" t="s">
        <v>151</v>
      </c>
      <c r="N4" s="145" t="s">
        <v>152</v>
      </c>
      <c r="O4" s="145" t="s">
        <v>130</v>
      </c>
    </row>
    <row r="5" spans="2:15">
      <c r="B5" s="111" t="s">
        <v>105</v>
      </c>
      <c r="C5" s="155">
        <v>360</v>
      </c>
      <c r="D5" s="111"/>
      <c r="E5" s="111"/>
      <c r="F5" s="12"/>
      <c r="G5" s="104"/>
      <c r="H5" s="113" t="s">
        <v>112</v>
      </c>
      <c r="I5" s="114" t="s">
        <v>32</v>
      </c>
      <c r="J5" s="114" t="s">
        <v>138</v>
      </c>
      <c r="K5" s="114" t="s">
        <v>125</v>
      </c>
      <c r="L5" s="114" t="s">
        <v>127</v>
      </c>
      <c r="M5" s="114" t="s">
        <v>35</v>
      </c>
      <c r="N5" s="114" t="s">
        <v>129</v>
      </c>
      <c r="O5" s="114"/>
    </row>
    <row r="6" spans="2:15">
      <c r="B6" s="12"/>
      <c r="C6" s="14"/>
      <c r="D6" s="12"/>
      <c r="E6" s="12"/>
      <c r="F6" s="12"/>
      <c r="G6" s="109"/>
      <c r="H6" s="115" t="s">
        <v>26</v>
      </c>
      <c r="I6" s="114"/>
      <c r="J6" s="114" t="s">
        <v>131</v>
      </c>
      <c r="K6" s="114" t="s">
        <v>149</v>
      </c>
      <c r="L6" s="114" t="s">
        <v>128</v>
      </c>
      <c r="M6" s="114" t="s">
        <v>121</v>
      </c>
      <c r="N6" s="114" t="s">
        <v>144</v>
      </c>
      <c r="O6" s="114"/>
    </row>
    <row r="7" spans="2:15">
      <c r="B7" s="153" t="s">
        <v>107</v>
      </c>
      <c r="C7" s="159"/>
      <c r="D7" s="157" t="s">
        <v>4</v>
      </c>
      <c r="E7" s="154"/>
      <c r="F7" s="12"/>
      <c r="G7" s="109"/>
      <c r="H7" s="113" t="s">
        <v>113</v>
      </c>
      <c r="I7" s="114"/>
      <c r="J7" s="114" t="s">
        <v>181</v>
      </c>
      <c r="K7" s="114" t="s">
        <v>182</v>
      </c>
      <c r="L7" s="114" t="s">
        <v>150</v>
      </c>
      <c r="M7" s="114"/>
      <c r="N7" s="114"/>
      <c r="O7" s="114"/>
    </row>
    <row r="8" spans="2:15">
      <c r="B8" s="109" t="s">
        <v>106</v>
      </c>
      <c r="C8" s="104"/>
      <c r="D8" s="109">
        <v>5.6</v>
      </c>
      <c r="E8" s="109"/>
      <c r="F8" s="12"/>
      <c r="G8" s="109"/>
      <c r="H8" s="115" t="s">
        <v>23</v>
      </c>
      <c r="I8" s="114"/>
      <c r="J8" s="114" t="s">
        <v>132</v>
      </c>
      <c r="K8" s="114" t="s">
        <v>185</v>
      </c>
      <c r="L8" s="114" t="s">
        <v>140</v>
      </c>
      <c r="M8" s="114"/>
      <c r="N8" s="114"/>
      <c r="O8" s="114"/>
    </row>
    <row r="9" spans="2:15">
      <c r="B9" s="111" t="s">
        <v>105</v>
      </c>
      <c r="C9" s="160"/>
      <c r="D9" s="111">
        <v>8</v>
      </c>
      <c r="E9" s="111"/>
      <c r="F9" s="12"/>
      <c r="G9" s="109"/>
      <c r="H9" s="113" t="s">
        <v>184</v>
      </c>
      <c r="I9" s="114"/>
      <c r="J9" s="114" t="s">
        <v>183</v>
      </c>
      <c r="K9" s="114" t="s">
        <v>25</v>
      </c>
      <c r="L9" s="114" t="s">
        <v>133</v>
      </c>
      <c r="M9" s="114"/>
      <c r="N9" s="114"/>
      <c r="O9" s="114"/>
    </row>
    <row r="10" spans="2:15">
      <c r="B10" s="12"/>
      <c r="C10" s="14"/>
      <c r="D10" s="12"/>
      <c r="E10" s="12"/>
      <c r="F10" s="12"/>
      <c r="G10" s="111"/>
      <c r="H10" s="116" t="s">
        <v>28</v>
      </c>
      <c r="I10" s="112"/>
      <c r="J10" s="112" t="s">
        <v>134</v>
      </c>
      <c r="K10" s="112"/>
      <c r="L10" s="112"/>
      <c r="M10" s="112"/>
      <c r="N10" s="112"/>
      <c r="O10" s="112"/>
    </row>
    <row r="11" spans="2:15">
      <c r="B11" s="153" t="s">
        <v>108</v>
      </c>
      <c r="C11" s="159"/>
      <c r="D11" s="154"/>
      <c r="E11" s="157" t="s">
        <v>89</v>
      </c>
      <c r="F11" s="12"/>
      <c r="G11" s="12"/>
      <c r="H11" s="95"/>
      <c r="I11" s="142"/>
      <c r="J11" s="142"/>
      <c r="K11" s="142"/>
      <c r="L11" s="142"/>
      <c r="M11" s="142"/>
      <c r="N11" s="142"/>
      <c r="O11" s="142"/>
    </row>
    <row r="12" spans="2:15">
      <c r="B12" s="109" t="s">
        <v>106</v>
      </c>
      <c r="C12" s="104"/>
      <c r="D12" s="109"/>
      <c r="E12" s="109">
        <v>0.3</v>
      </c>
      <c r="F12" s="12"/>
      <c r="G12" s="150" t="s">
        <v>107</v>
      </c>
      <c r="H12" s="117" t="s">
        <v>54</v>
      </c>
      <c r="I12" s="118" t="s">
        <v>53</v>
      </c>
      <c r="J12" s="118" t="s">
        <v>172</v>
      </c>
      <c r="K12" s="118" t="s">
        <v>173</v>
      </c>
      <c r="L12" s="118" t="s">
        <v>174</v>
      </c>
      <c r="M12" s="118" t="s">
        <v>175</v>
      </c>
      <c r="N12" s="118" t="s">
        <v>176</v>
      </c>
      <c r="O12" s="118" t="s">
        <v>177</v>
      </c>
    </row>
    <row r="13" spans="2:15">
      <c r="B13" s="111" t="s">
        <v>105</v>
      </c>
      <c r="C13" s="160"/>
      <c r="D13" s="111"/>
      <c r="E13" s="155">
        <v>40</v>
      </c>
      <c r="F13" s="12"/>
      <c r="G13" s="12"/>
      <c r="H13" s="105"/>
      <c r="I13" s="148"/>
      <c r="J13" s="148"/>
      <c r="K13" s="148"/>
      <c r="L13" s="148"/>
      <c r="M13" s="148"/>
      <c r="N13" s="148"/>
      <c r="O13" s="148"/>
    </row>
    <row r="14" spans="2:15">
      <c r="B14" s="12"/>
      <c r="C14" s="14"/>
      <c r="D14" s="12"/>
      <c r="E14" s="12"/>
      <c r="F14" s="12"/>
      <c r="G14" s="149" t="s">
        <v>108</v>
      </c>
      <c r="H14" s="116" t="s">
        <v>38</v>
      </c>
      <c r="I14" s="112" t="s">
        <v>32</v>
      </c>
      <c r="J14" s="112" t="s">
        <v>153</v>
      </c>
      <c r="K14" s="112" t="s">
        <v>149</v>
      </c>
      <c r="L14" s="112" t="s">
        <v>150</v>
      </c>
      <c r="M14" s="112" t="s">
        <v>151</v>
      </c>
      <c r="N14" s="112" t="s">
        <v>152</v>
      </c>
      <c r="O14" s="112" t="s">
        <v>130</v>
      </c>
    </row>
    <row r="15" spans="2:15">
      <c r="B15" s="153" t="s">
        <v>109</v>
      </c>
      <c r="C15" s="157" t="s">
        <v>5</v>
      </c>
      <c r="D15" s="158" t="s">
        <v>4</v>
      </c>
      <c r="E15" s="158" t="s">
        <v>89</v>
      </c>
      <c r="F15" s="12"/>
      <c r="G15" s="12"/>
      <c r="H15" s="105"/>
      <c r="I15" s="148"/>
      <c r="J15" s="148"/>
      <c r="K15" s="148"/>
      <c r="L15" s="148"/>
      <c r="M15" s="148"/>
      <c r="N15" s="148"/>
      <c r="O15" s="148"/>
    </row>
    <row r="16" spans="2:15">
      <c r="B16" s="109" t="s">
        <v>106</v>
      </c>
      <c r="C16" s="110">
        <v>23</v>
      </c>
      <c r="D16" s="109">
        <v>5.7</v>
      </c>
      <c r="E16" s="109">
        <v>0.3</v>
      </c>
      <c r="F16" s="12"/>
      <c r="G16" s="149" t="s">
        <v>109</v>
      </c>
      <c r="H16" s="116" t="s">
        <v>26</v>
      </c>
      <c r="I16" s="112" t="s">
        <v>15</v>
      </c>
      <c r="J16" s="112" t="s">
        <v>131</v>
      </c>
      <c r="K16" s="112" t="s">
        <v>25</v>
      </c>
      <c r="L16" s="112" t="s">
        <v>133</v>
      </c>
      <c r="M16" s="112" t="s">
        <v>121</v>
      </c>
      <c r="N16" s="112" t="s">
        <v>129</v>
      </c>
      <c r="O16" s="112" t="s">
        <v>130</v>
      </c>
    </row>
    <row r="17" spans="2:15">
      <c r="B17" s="111" t="s">
        <v>105</v>
      </c>
      <c r="C17" s="155">
        <v>399</v>
      </c>
      <c r="D17" s="111">
        <v>8.1</v>
      </c>
      <c r="E17" s="111">
        <v>22.9</v>
      </c>
      <c r="F17" s="12"/>
      <c r="G17" s="12"/>
      <c r="H17" s="95"/>
      <c r="I17" s="142"/>
      <c r="J17" s="142"/>
      <c r="K17" s="142"/>
      <c r="L17" s="142"/>
      <c r="M17" s="142"/>
      <c r="N17" s="142"/>
      <c r="O17" s="142"/>
    </row>
    <row r="18" spans="2:15">
      <c r="B18" s="12"/>
      <c r="C18" s="14"/>
      <c r="D18" s="12"/>
      <c r="E18" s="12"/>
      <c r="F18" s="12"/>
      <c r="G18" s="147" t="s">
        <v>57</v>
      </c>
      <c r="H18" s="152" t="s">
        <v>52</v>
      </c>
      <c r="I18" s="145" t="s">
        <v>53</v>
      </c>
      <c r="J18" s="145" t="s">
        <v>165</v>
      </c>
      <c r="K18" s="145" t="s">
        <v>162</v>
      </c>
      <c r="L18" s="145" t="s">
        <v>168</v>
      </c>
      <c r="M18" s="145" t="s">
        <v>151</v>
      </c>
      <c r="N18" s="145" t="s">
        <v>152</v>
      </c>
      <c r="O18" s="145" t="s">
        <v>130</v>
      </c>
    </row>
    <row r="19" spans="2:15">
      <c r="B19" s="153" t="s">
        <v>57</v>
      </c>
      <c r="C19" s="157" t="s">
        <v>5</v>
      </c>
      <c r="D19" s="158" t="s">
        <v>4</v>
      </c>
      <c r="E19" s="158" t="s">
        <v>89</v>
      </c>
      <c r="F19" s="12"/>
      <c r="G19" s="109"/>
      <c r="H19" s="119" t="s">
        <v>37</v>
      </c>
      <c r="I19" s="114" t="s">
        <v>15</v>
      </c>
      <c r="J19" s="114" t="s">
        <v>148</v>
      </c>
      <c r="K19" s="114" t="s">
        <v>149</v>
      </c>
      <c r="L19" s="114" t="s">
        <v>150</v>
      </c>
      <c r="M19" s="161" t="s">
        <v>175</v>
      </c>
      <c r="N19" s="161" t="s">
        <v>176</v>
      </c>
      <c r="O19" s="161" t="s">
        <v>177</v>
      </c>
    </row>
    <row r="20" spans="2:15">
      <c r="B20" s="109" t="s">
        <v>106</v>
      </c>
      <c r="C20" s="110">
        <v>14</v>
      </c>
      <c r="D20" s="109">
        <v>5.5</v>
      </c>
      <c r="E20" s="109">
        <v>0.3</v>
      </c>
      <c r="F20" s="12"/>
      <c r="G20" s="109"/>
      <c r="H20" s="121" t="s">
        <v>38</v>
      </c>
      <c r="I20" s="114" t="s">
        <v>32</v>
      </c>
      <c r="J20" s="114" t="s">
        <v>153</v>
      </c>
      <c r="K20" s="114" t="s">
        <v>167</v>
      </c>
      <c r="L20" s="114" t="s">
        <v>163</v>
      </c>
      <c r="M20" s="114" t="s">
        <v>35</v>
      </c>
      <c r="N20" s="114" t="s">
        <v>129</v>
      </c>
      <c r="O20" s="114"/>
    </row>
    <row r="21" spans="2:15">
      <c r="B21" s="111" t="s">
        <v>105</v>
      </c>
      <c r="C21" s="155">
        <v>826</v>
      </c>
      <c r="D21" s="111">
        <v>8.4</v>
      </c>
      <c r="E21" s="111">
        <v>17.3</v>
      </c>
      <c r="F21" s="12"/>
      <c r="G21" s="109"/>
      <c r="H21" s="121" t="s">
        <v>114</v>
      </c>
      <c r="I21" s="114"/>
      <c r="J21" s="114" t="s">
        <v>166</v>
      </c>
      <c r="K21" s="114" t="s">
        <v>25</v>
      </c>
      <c r="L21" s="114" t="s">
        <v>133</v>
      </c>
      <c r="M21" s="114" t="s">
        <v>164</v>
      </c>
      <c r="N21" s="114" t="s">
        <v>144</v>
      </c>
      <c r="O21" s="114"/>
    </row>
    <row r="22" spans="2:15">
      <c r="B22" s="12"/>
      <c r="C22" s="12"/>
      <c r="D22" s="12"/>
      <c r="E22" s="12"/>
      <c r="F22" s="12"/>
      <c r="G22" s="109"/>
      <c r="H22" s="121" t="s">
        <v>48</v>
      </c>
      <c r="I22" s="114"/>
      <c r="J22" s="114" t="s">
        <v>131</v>
      </c>
      <c r="K22" s="161" t="s">
        <v>173</v>
      </c>
      <c r="L22" s="161" t="s">
        <v>174</v>
      </c>
      <c r="M22" s="114" t="s">
        <v>121</v>
      </c>
      <c r="N22" s="114" t="s">
        <v>44</v>
      </c>
      <c r="O22" s="114"/>
    </row>
    <row r="23" spans="2:15">
      <c r="B23" s="12"/>
      <c r="C23" s="12"/>
      <c r="D23" s="12"/>
      <c r="E23" s="12"/>
      <c r="F23" s="12"/>
      <c r="G23" s="109"/>
      <c r="H23" s="121" t="s">
        <v>26</v>
      </c>
      <c r="I23" s="114"/>
      <c r="J23" s="161" t="s">
        <v>172</v>
      </c>
      <c r="K23" s="234"/>
      <c r="L23" s="114"/>
      <c r="M23" s="114"/>
      <c r="N23" s="114"/>
      <c r="O23" s="114"/>
    </row>
    <row r="24" spans="2:15">
      <c r="B24" s="47"/>
      <c r="C24" s="12"/>
      <c r="D24" s="12"/>
      <c r="E24" s="12"/>
      <c r="F24" s="12"/>
      <c r="G24" s="111"/>
      <c r="H24" s="120" t="s">
        <v>54</v>
      </c>
      <c r="I24" s="112"/>
      <c r="J24" s="112"/>
      <c r="K24" s="112"/>
      <c r="L24" s="112"/>
      <c r="M24" s="112"/>
      <c r="N24" s="112"/>
      <c r="O24" s="112"/>
    </row>
    <row r="25" spans="2:15">
      <c r="B25" s="12"/>
      <c r="C25" s="12"/>
      <c r="D25" s="12"/>
      <c r="E25" s="12"/>
      <c r="F25" s="12"/>
      <c r="G25" s="12"/>
      <c r="H25" s="95"/>
      <c r="I25" s="55"/>
      <c r="J25" s="55"/>
      <c r="K25" s="55"/>
      <c r="L25" s="55"/>
      <c r="M25" s="55"/>
      <c r="N25" s="55"/>
      <c r="O25" s="55"/>
    </row>
    <row r="26" spans="2:15">
      <c r="B26" s="12"/>
      <c r="C26" s="12"/>
      <c r="D26" s="12"/>
      <c r="E26" s="12"/>
      <c r="F26" s="12"/>
      <c r="G26" s="12"/>
      <c r="H26" s="95"/>
      <c r="I26" s="55"/>
      <c r="J26" s="55"/>
      <c r="K26" s="55"/>
      <c r="L26" s="55"/>
      <c r="M26" s="55"/>
      <c r="N26" s="55"/>
      <c r="O26" s="55"/>
    </row>
    <row r="27" spans="2:15">
      <c r="B27" s="12"/>
      <c r="C27" s="12"/>
      <c r="D27" s="12"/>
      <c r="E27" s="12"/>
      <c r="F27" s="12"/>
      <c r="G27" s="12"/>
      <c r="H27" s="94"/>
      <c r="I27" s="55"/>
      <c r="J27" s="55"/>
      <c r="K27" s="55"/>
      <c r="L27" s="55"/>
      <c r="M27" s="55"/>
      <c r="N27" s="55"/>
      <c r="O27" s="55"/>
    </row>
    <row r="28" spans="2:15">
      <c r="B28" s="12"/>
      <c r="C28" s="12"/>
      <c r="D28" s="12"/>
      <c r="E28" s="12"/>
      <c r="F28" s="12"/>
      <c r="G28" s="12"/>
      <c r="H28" s="94"/>
      <c r="I28" s="55"/>
      <c r="J28" s="55"/>
      <c r="K28" s="55"/>
      <c r="L28" s="55"/>
      <c r="M28" s="55"/>
      <c r="N28" s="55"/>
      <c r="O28" s="55"/>
    </row>
    <row r="29" spans="2:15">
      <c r="B29" s="12"/>
      <c r="C29" s="12"/>
      <c r="D29" s="12"/>
      <c r="E29" s="12"/>
      <c r="F29" s="12"/>
      <c r="G29" s="12"/>
      <c r="H29" s="94"/>
      <c r="I29" s="55"/>
      <c r="J29" s="55"/>
      <c r="K29" s="55"/>
      <c r="L29" s="55"/>
      <c r="M29" s="55"/>
      <c r="N29" s="55"/>
      <c r="O29" s="55"/>
    </row>
    <row r="30" spans="2:15">
      <c r="B30" s="12"/>
      <c r="C30" s="12"/>
      <c r="D30" s="12"/>
      <c r="E30" s="12"/>
      <c r="F30" s="12"/>
      <c r="G30" s="13"/>
      <c r="H30" s="94"/>
      <c r="I30" s="55"/>
      <c r="J30" s="55"/>
      <c r="K30" s="55"/>
      <c r="L30" s="55"/>
      <c r="M30" s="55"/>
      <c r="N30" s="55"/>
      <c r="O30" s="55"/>
    </row>
    <row r="31" spans="2:15">
      <c r="B31" s="12"/>
      <c r="C31" s="12"/>
      <c r="D31" s="12"/>
      <c r="E31" s="12"/>
      <c r="F31" s="12"/>
      <c r="G31" s="13"/>
      <c r="H31" s="94"/>
      <c r="I31" s="55"/>
      <c r="J31" s="55"/>
      <c r="K31" s="55"/>
      <c r="L31" s="55"/>
      <c r="M31" s="55"/>
      <c r="N31" s="55"/>
      <c r="O31" s="55"/>
    </row>
    <row r="32" spans="2:15">
      <c r="B32" s="12"/>
      <c r="C32" s="12"/>
      <c r="D32" s="12"/>
      <c r="E32" s="12"/>
      <c r="F32" s="12"/>
      <c r="G32" s="13"/>
      <c r="H32" s="94"/>
      <c r="I32" s="55"/>
      <c r="J32" s="55"/>
      <c r="K32" s="55"/>
      <c r="L32" s="55"/>
      <c r="M32" s="55"/>
      <c r="N32" s="55"/>
      <c r="O32" s="55"/>
    </row>
    <row r="33" spans="2:15">
      <c r="B33" s="12"/>
      <c r="C33" s="12"/>
      <c r="D33" s="12"/>
      <c r="E33" s="12"/>
      <c r="F33" s="12"/>
      <c r="G33" s="13"/>
      <c r="H33" s="94"/>
      <c r="I33" s="55"/>
      <c r="J33" s="55"/>
      <c r="K33" s="55"/>
      <c r="L33" s="55"/>
      <c r="M33" s="55"/>
      <c r="N33" s="55"/>
      <c r="O33" s="55"/>
    </row>
    <row r="34" spans="2:15">
      <c r="B34" s="12"/>
      <c r="C34" s="12"/>
      <c r="D34" s="12"/>
      <c r="E34" s="12"/>
      <c r="F34" s="12"/>
      <c r="G34" s="13"/>
      <c r="H34" s="94"/>
      <c r="I34" s="55"/>
      <c r="J34" s="55"/>
      <c r="K34" s="55"/>
      <c r="L34" s="55"/>
      <c r="M34" s="55"/>
      <c r="N34" s="55"/>
      <c r="O34" s="55"/>
    </row>
    <row r="35" spans="2:15">
      <c r="B35" s="12"/>
      <c r="C35" s="12"/>
      <c r="D35" s="12"/>
      <c r="E35" s="12"/>
      <c r="F35" s="12"/>
      <c r="G35" s="13"/>
      <c r="H35" s="94"/>
      <c r="I35" s="55"/>
      <c r="J35" s="55"/>
      <c r="K35" s="55"/>
      <c r="L35" s="55"/>
      <c r="M35" s="55"/>
      <c r="N35" s="55"/>
      <c r="O35" s="55"/>
    </row>
    <row r="36" spans="2:15">
      <c r="B36" s="12"/>
      <c r="C36" s="12"/>
      <c r="D36" s="12"/>
      <c r="E36" s="12"/>
      <c r="F36" s="12"/>
      <c r="G36" s="13"/>
      <c r="H36" s="94"/>
      <c r="I36" s="55"/>
      <c r="J36" s="55"/>
      <c r="K36" s="55"/>
      <c r="L36" s="55"/>
      <c r="M36" s="55"/>
      <c r="N36" s="55"/>
      <c r="O36" s="55"/>
    </row>
    <row r="37" spans="2:15">
      <c r="B37" s="13"/>
      <c r="C37" s="13"/>
      <c r="D37" s="13"/>
      <c r="E37" s="13"/>
      <c r="F37" s="12"/>
      <c r="G37" s="13"/>
      <c r="H37" s="94"/>
      <c r="I37" s="55"/>
      <c r="J37" s="55"/>
      <c r="K37" s="55"/>
      <c r="L37" s="55"/>
      <c r="M37" s="55"/>
      <c r="N37" s="55"/>
      <c r="O37" s="55"/>
    </row>
    <row r="38" spans="2:15">
      <c r="B38" s="13"/>
      <c r="C38" s="13"/>
      <c r="D38" s="13"/>
      <c r="E38" s="13"/>
      <c r="F38" s="12"/>
      <c r="G38" s="13"/>
      <c r="H38" s="94"/>
      <c r="I38" s="55"/>
      <c r="J38" s="55"/>
      <c r="K38" s="55"/>
      <c r="L38" s="55"/>
      <c r="M38" s="55"/>
      <c r="N38" s="55"/>
      <c r="O38" s="55"/>
    </row>
    <row r="39" spans="2:15">
      <c r="B39" s="13"/>
      <c r="C39" s="13"/>
      <c r="D39" s="13"/>
      <c r="E39" s="13"/>
      <c r="F39" s="12"/>
      <c r="G39" s="13"/>
      <c r="H39" s="94"/>
      <c r="I39" s="55"/>
      <c r="J39" s="55"/>
      <c r="K39" s="55"/>
      <c r="L39" s="55"/>
      <c r="M39" s="55"/>
      <c r="N39" s="55"/>
      <c r="O39" s="55"/>
    </row>
    <row r="40" spans="2:15">
      <c r="B40" s="13"/>
      <c r="C40" s="13"/>
      <c r="D40" s="13"/>
      <c r="E40" s="13"/>
      <c r="F40" s="12"/>
      <c r="G40" s="13"/>
      <c r="H40" s="94"/>
      <c r="I40" s="55"/>
      <c r="J40" s="55"/>
      <c r="K40" s="55"/>
      <c r="L40" s="55"/>
      <c r="M40" s="55"/>
      <c r="N40" s="55"/>
      <c r="O40" s="55"/>
    </row>
    <row r="41" spans="2:15">
      <c r="B41" s="13"/>
      <c r="C41" s="13"/>
      <c r="D41" s="13"/>
      <c r="E41" s="13"/>
      <c r="F41" s="13"/>
      <c r="G41" s="13"/>
      <c r="H41" s="94"/>
      <c r="I41" s="55"/>
      <c r="J41" s="55"/>
      <c r="K41" s="55"/>
      <c r="L41" s="55"/>
      <c r="M41" s="55"/>
      <c r="N41" s="55"/>
      <c r="O41" s="55"/>
    </row>
    <row r="42" spans="2:15">
      <c r="B42" s="13"/>
      <c r="C42" s="13"/>
      <c r="D42" s="13"/>
      <c r="E42" s="13"/>
      <c r="F42" s="13"/>
      <c r="G42" s="13"/>
      <c r="H42" s="94"/>
      <c r="I42" s="55"/>
      <c r="J42" s="55"/>
      <c r="K42" s="55"/>
      <c r="L42" s="55"/>
      <c r="M42" s="55"/>
      <c r="N42" s="55"/>
      <c r="O42" s="55"/>
    </row>
    <row r="43" spans="2:15">
      <c r="B43" s="13"/>
      <c r="C43" s="13"/>
      <c r="D43" s="13"/>
      <c r="E43" s="13"/>
      <c r="F43" s="13"/>
      <c r="G43" s="13"/>
      <c r="H43" s="94"/>
      <c r="I43" s="55"/>
      <c r="J43" s="55"/>
      <c r="K43" s="55"/>
      <c r="L43" s="55"/>
      <c r="M43" s="55"/>
      <c r="N43" s="55"/>
      <c r="O43" s="55"/>
    </row>
    <row r="44" spans="2:15">
      <c r="B44" s="13"/>
      <c r="C44" s="13"/>
      <c r="D44" s="13"/>
      <c r="E44" s="13"/>
      <c r="F44" s="13"/>
      <c r="G44" s="13"/>
      <c r="H44" s="94"/>
      <c r="I44" s="55"/>
      <c r="J44" s="55"/>
      <c r="K44" s="55"/>
      <c r="L44" s="55"/>
      <c r="M44" s="55"/>
      <c r="N44" s="55"/>
      <c r="O44" s="55"/>
    </row>
    <row r="45" spans="2:15">
      <c r="B45" s="13"/>
      <c r="C45" s="13"/>
      <c r="D45" s="13"/>
      <c r="E45" s="13"/>
      <c r="F45" s="13"/>
      <c r="G45" s="13"/>
      <c r="H45" s="94"/>
      <c r="I45" s="55"/>
      <c r="J45" s="55"/>
      <c r="K45" s="55"/>
      <c r="L45" s="55"/>
      <c r="M45" s="55"/>
      <c r="N45" s="55"/>
      <c r="O45" s="55"/>
    </row>
    <row r="46" spans="2:15">
      <c r="B46" s="13"/>
      <c r="C46" s="13"/>
      <c r="D46" s="13"/>
      <c r="E46" s="13"/>
      <c r="F46" s="13"/>
      <c r="G46" s="13"/>
      <c r="H46" s="94"/>
      <c r="I46" s="55"/>
      <c r="J46" s="55"/>
      <c r="K46" s="55"/>
      <c r="L46" s="55"/>
      <c r="M46" s="55"/>
      <c r="N46" s="55"/>
      <c r="O46" s="55"/>
    </row>
    <row r="47" spans="2:15">
      <c r="B47" s="13"/>
      <c r="C47" s="13"/>
      <c r="D47" s="13"/>
      <c r="E47" s="13"/>
      <c r="F47" s="13"/>
      <c r="G47" s="13"/>
      <c r="H47" s="94"/>
      <c r="I47" s="55"/>
      <c r="J47" s="55"/>
      <c r="K47" s="55"/>
      <c r="L47" s="55"/>
      <c r="M47" s="55"/>
      <c r="N47" s="55"/>
      <c r="O47" s="55"/>
    </row>
    <row r="48" spans="2:15">
      <c r="B48" s="13"/>
      <c r="C48" s="13"/>
      <c r="D48" s="13"/>
      <c r="E48" s="13"/>
      <c r="F48" s="13"/>
      <c r="G48" s="13"/>
      <c r="H48" s="94"/>
      <c r="I48" s="55"/>
      <c r="J48" s="55"/>
      <c r="K48" s="55"/>
      <c r="L48" s="55"/>
      <c r="M48" s="55"/>
      <c r="N48" s="55"/>
      <c r="O48" s="55"/>
    </row>
    <row r="49" spans="2:15">
      <c r="B49" s="13"/>
      <c r="C49" s="13"/>
      <c r="D49" s="13"/>
      <c r="E49" s="13"/>
      <c r="F49" s="13"/>
      <c r="G49" s="13"/>
      <c r="H49" s="95"/>
      <c r="I49" s="55"/>
      <c r="J49" s="55"/>
      <c r="K49" s="55"/>
      <c r="L49" s="55"/>
      <c r="M49" s="55"/>
      <c r="N49" s="55"/>
      <c r="O49" s="55"/>
    </row>
    <row r="50" spans="2:1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2:15">
      <c r="B51" s="13"/>
      <c r="C51" s="13"/>
      <c r="D51" s="13"/>
      <c r="E51" s="13"/>
      <c r="F51" s="13"/>
      <c r="G51" s="13"/>
      <c r="H51" s="12"/>
      <c r="I51" s="12"/>
      <c r="J51" s="12"/>
      <c r="K51" s="12"/>
      <c r="L51" s="12"/>
      <c r="M51" s="12"/>
      <c r="N51" s="12"/>
      <c r="O51" s="12"/>
    </row>
    <row r="52" spans="2:15">
      <c r="B52" s="13"/>
      <c r="C52" s="13"/>
      <c r="D52" s="13"/>
      <c r="E52" s="13"/>
      <c r="F52" s="13"/>
      <c r="G52" s="13"/>
      <c r="H52" s="12"/>
      <c r="I52" s="12"/>
      <c r="J52" s="12"/>
      <c r="K52" s="12"/>
      <c r="L52" s="12"/>
      <c r="M52" s="12"/>
      <c r="N52" s="12"/>
      <c r="O52" s="12"/>
    </row>
    <row r="53" spans="2:15">
      <c r="B53" s="13"/>
      <c r="C53" s="13"/>
      <c r="D53" s="13"/>
      <c r="E53" s="13"/>
      <c r="F53" s="13"/>
      <c r="G53" s="13"/>
      <c r="H53" s="12"/>
      <c r="I53" s="12"/>
      <c r="J53" s="12"/>
      <c r="K53" s="12"/>
      <c r="L53" s="12"/>
      <c r="M53" s="12"/>
      <c r="N53" s="12"/>
      <c r="O53" s="12"/>
    </row>
    <row r="54" spans="2:15">
      <c r="B54" s="13"/>
      <c r="C54" s="13"/>
      <c r="D54" s="13"/>
      <c r="E54" s="13"/>
      <c r="F54" s="13"/>
      <c r="G54" s="13"/>
      <c r="H54" s="12"/>
      <c r="I54" s="12"/>
      <c r="J54" s="12"/>
      <c r="K54" s="12"/>
      <c r="L54" s="12"/>
      <c r="M54" s="12"/>
      <c r="N54" s="12"/>
      <c r="O54" s="12"/>
    </row>
    <row r="55" spans="2:15">
      <c r="B55" s="13"/>
      <c r="C55" s="13"/>
      <c r="D55" s="13"/>
      <c r="E55" s="13"/>
      <c r="F55" s="13"/>
      <c r="G55" s="13"/>
      <c r="H55" s="12"/>
      <c r="I55" s="12"/>
      <c r="J55" s="12"/>
      <c r="K55" s="12"/>
      <c r="L55" s="12"/>
      <c r="M55" s="12"/>
      <c r="N55" s="12"/>
      <c r="O55" s="12"/>
    </row>
    <row r="56" spans="2:15">
      <c r="B56" s="13"/>
      <c r="C56" s="13"/>
      <c r="D56" s="13"/>
      <c r="E56" s="13"/>
      <c r="F56" s="13"/>
      <c r="G56" s="13"/>
      <c r="H56" s="12"/>
      <c r="I56" s="12"/>
      <c r="J56" s="12"/>
      <c r="K56" s="12"/>
      <c r="L56" s="12"/>
      <c r="M56" s="12"/>
      <c r="N56" s="12"/>
      <c r="O56" s="12"/>
    </row>
    <row r="57" spans="2:15">
      <c r="B57" s="13"/>
      <c r="C57" s="13"/>
      <c r="D57" s="13"/>
      <c r="E57" s="13"/>
      <c r="F57" s="13"/>
      <c r="G57" s="13"/>
      <c r="H57" s="12"/>
      <c r="I57" s="12"/>
      <c r="J57" s="12"/>
      <c r="K57" s="12"/>
      <c r="L57" s="12"/>
      <c r="M57" s="12"/>
      <c r="N57" s="12"/>
      <c r="O57" s="12"/>
    </row>
    <row r="58" spans="2:15">
      <c r="B58" s="13"/>
      <c r="C58" s="13"/>
      <c r="D58" s="13"/>
      <c r="E58" s="13"/>
      <c r="F58" s="13"/>
      <c r="G58" s="13"/>
      <c r="H58" s="12"/>
      <c r="I58" s="12"/>
      <c r="J58" s="12"/>
      <c r="K58" s="12"/>
      <c r="L58" s="12"/>
      <c r="M58" s="12"/>
      <c r="N58" s="12"/>
      <c r="O58" s="12"/>
    </row>
    <row r="59" spans="2:15">
      <c r="B59" s="13"/>
      <c r="C59" s="13"/>
      <c r="D59" s="13"/>
      <c r="E59" s="13"/>
      <c r="F59" s="13"/>
      <c r="G59" s="13"/>
      <c r="H59" s="12"/>
      <c r="I59" s="12"/>
      <c r="J59" s="12"/>
      <c r="K59" s="12"/>
      <c r="L59" s="12"/>
      <c r="M59" s="12"/>
      <c r="N59" s="12"/>
      <c r="O59" s="12"/>
    </row>
    <row r="60" spans="2:15">
      <c r="B60" s="13"/>
      <c r="C60" s="13"/>
      <c r="D60" s="13"/>
      <c r="E60" s="13"/>
      <c r="F60" s="13"/>
      <c r="G60" s="13"/>
      <c r="H60" s="12"/>
      <c r="I60" s="12"/>
      <c r="J60" s="12"/>
      <c r="K60" s="12"/>
      <c r="L60" s="12"/>
      <c r="M60" s="12"/>
      <c r="N60" s="12"/>
      <c r="O60" s="12"/>
    </row>
    <row r="61" spans="2:15">
      <c r="B61" s="13"/>
      <c r="C61" s="13"/>
      <c r="D61" s="13"/>
      <c r="E61" s="13"/>
      <c r="F61" s="13"/>
      <c r="G61" s="13"/>
      <c r="H61" s="12"/>
      <c r="I61" s="12"/>
      <c r="J61" s="12"/>
      <c r="K61" s="12"/>
      <c r="L61" s="12"/>
      <c r="M61" s="12"/>
      <c r="N61" s="12"/>
      <c r="O61" s="12"/>
    </row>
    <row r="62" spans="2:15">
      <c r="B62" s="13"/>
      <c r="C62" s="13"/>
      <c r="D62" s="13"/>
      <c r="E62" s="13"/>
      <c r="F62" s="13"/>
      <c r="G62" s="13"/>
      <c r="H62" s="12"/>
      <c r="I62" s="12"/>
      <c r="J62" s="12"/>
      <c r="K62" s="12"/>
      <c r="L62" s="12"/>
      <c r="M62" s="12"/>
      <c r="N62" s="12"/>
      <c r="O62" s="12"/>
    </row>
    <row r="63" spans="2:15">
      <c r="B63" s="13"/>
      <c r="C63" s="13"/>
      <c r="D63" s="13"/>
      <c r="E63" s="13"/>
      <c r="F63" s="13"/>
      <c r="G63" s="13"/>
      <c r="H63" s="12"/>
      <c r="I63" s="12"/>
      <c r="J63" s="12"/>
      <c r="K63" s="12"/>
      <c r="L63" s="12"/>
      <c r="M63" s="12"/>
      <c r="N63" s="12"/>
      <c r="O63" s="12"/>
    </row>
    <row r="64" spans="2:15">
      <c r="B64" s="13"/>
      <c r="C64" s="13"/>
      <c r="D64" s="13"/>
      <c r="E64" s="13"/>
      <c r="F64" s="13"/>
      <c r="G64" s="13"/>
      <c r="H64" s="12"/>
      <c r="I64" s="12"/>
      <c r="J64" s="12"/>
      <c r="K64" s="12"/>
      <c r="L64" s="12"/>
      <c r="M64" s="12"/>
      <c r="N64" s="12"/>
      <c r="O64" s="12"/>
    </row>
    <row r="65" spans="2:15">
      <c r="B65" s="13"/>
      <c r="C65" s="13"/>
      <c r="D65" s="13"/>
      <c r="E65" s="13"/>
      <c r="F65" s="13"/>
      <c r="G65" s="13"/>
      <c r="H65" s="12"/>
      <c r="I65" s="12"/>
      <c r="J65" s="12"/>
      <c r="K65" s="12"/>
      <c r="L65" s="12"/>
      <c r="M65" s="12"/>
      <c r="N65" s="12"/>
      <c r="O65" s="12"/>
    </row>
    <row r="66" spans="2:15">
      <c r="B66" s="13"/>
      <c r="C66" s="13"/>
      <c r="D66" s="13"/>
      <c r="E66" s="13"/>
      <c r="F66" s="13"/>
      <c r="G66" s="13"/>
      <c r="H66" s="12"/>
      <c r="I66" s="12"/>
      <c r="J66" s="12"/>
      <c r="K66" s="12"/>
      <c r="L66" s="12"/>
      <c r="M66" s="12"/>
      <c r="N66" s="12"/>
      <c r="O66" s="12"/>
    </row>
    <row r="67" spans="2:15">
      <c r="B67" s="13"/>
      <c r="C67" s="13"/>
      <c r="D67" s="13"/>
      <c r="E67" s="13"/>
      <c r="F67" s="13"/>
      <c r="G67" s="13"/>
      <c r="H67" s="12"/>
      <c r="I67" s="12"/>
      <c r="J67" s="12"/>
      <c r="K67" s="12"/>
      <c r="L67" s="12"/>
      <c r="M67" s="12"/>
      <c r="N67" s="12"/>
      <c r="O67" s="12"/>
    </row>
    <row r="68" spans="2:1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2:1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2:1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2:1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2:1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2:1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2: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2:1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2:15">
      <c r="B76" s="13"/>
      <c r="C76" s="13"/>
      <c r="D76" s="13"/>
      <c r="E76" s="13"/>
      <c r="F76" s="13"/>
      <c r="G76" s="12"/>
      <c r="H76" s="13"/>
      <c r="I76" s="13"/>
      <c r="J76" s="13"/>
      <c r="K76" s="13"/>
      <c r="L76" s="13"/>
      <c r="M76" s="13"/>
      <c r="N76" s="13"/>
      <c r="O76" s="13"/>
    </row>
    <row r="77" spans="2:15">
      <c r="B77" s="13"/>
      <c r="C77" s="13"/>
      <c r="D77" s="13"/>
      <c r="E77" s="13"/>
      <c r="F77" s="13"/>
      <c r="G77" s="12"/>
      <c r="H77" s="13"/>
      <c r="I77" s="13"/>
      <c r="J77" s="13"/>
      <c r="K77" s="13"/>
      <c r="L77" s="13"/>
      <c r="M77" s="13"/>
      <c r="N77" s="13"/>
      <c r="O77" s="13"/>
    </row>
    <row r="78" spans="2:15">
      <c r="B78" s="13"/>
      <c r="C78" s="13"/>
      <c r="D78" s="13"/>
      <c r="E78" s="13"/>
      <c r="F78" s="13"/>
      <c r="G78" s="12"/>
      <c r="H78" s="13"/>
      <c r="I78" s="13"/>
      <c r="J78" s="13"/>
      <c r="K78" s="13"/>
      <c r="L78" s="13"/>
      <c r="M78" s="13"/>
      <c r="N78" s="13"/>
      <c r="O78" s="13"/>
    </row>
    <row r="79" spans="2:15">
      <c r="B79" s="13"/>
      <c r="C79" s="13"/>
      <c r="D79" s="13"/>
      <c r="E79" s="13"/>
      <c r="F79" s="13"/>
      <c r="G79" s="12"/>
      <c r="H79" s="13"/>
      <c r="I79" s="13"/>
      <c r="J79" s="13"/>
      <c r="K79" s="13"/>
      <c r="L79" s="13"/>
      <c r="M79" s="13"/>
      <c r="N79" s="13"/>
      <c r="O79" s="13"/>
    </row>
    <row r="80" spans="2:15">
      <c r="B80" s="13"/>
      <c r="C80" s="13"/>
      <c r="D80" s="13"/>
      <c r="E80" s="13"/>
      <c r="F80" s="13"/>
      <c r="G80" s="12"/>
      <c r="H80" s="13"/>
      <c r="I80" s="13"/>
      <c r="J80" s="13"/>
      <c r="K80" s="13"/>
      <c r="L80" s="13"/>
      <c r="M80" s="13"/>
      <c r="N80" s="13"/>
      <c r="O80" s="13"/>
    </row>
    <row r="81" spans="2:15">
      <c r="B81" s="13"/>
      <c r="C81" s="13"/>
      <c r="D81" s="13"/>
      <c r="E81" s="13"/>
      <c r="F81" s="13"/>
      <c r="G81" s="12"/>
      <c r="H81" s="13"/>
      <c r="I81" s="13"/>
      <c r="J81" s="13"/>
      <c r="K81" s="13"/>
      <c r="L81" s="13"/>
      <c r="M81" s="13"/>
      <c r="N81" s="13"/>
      <c r="O81" s="13"/>
    </row>
    <row r="82" spans="2:15">
      <c r="B82" s="13"/>
      <c r="C82" s="13"/>
      <c r="D82" s="13"/>
      <c r="E82" s="13"/>
      <c r="F82" s="13"/>
      <c r="G82" s="12"/>
      <c r="H82" s="13"/>
      <c r="I82" s="13"/>
      <c r="J82" s="13"/>
      <c r="K82" s="13"/>
      <c r="L82" s="13"/>
      <c r="M82" s="13"/>
      <c r="N82" s="13"/>
      <c r="O82" s="13"/>
    </row>
    <row r="83" spans="2:15">
      <c r="B83" s="12"/>
      <c r="C83" s="12"/>
      <c r="D83" s="12"/>
      <c r="E83" s="12"/>
      <c r="F83" s="13"/>
      <c r="G83" s="12"/>
      <c r="H83" s="13"/>
      <c r="I83" s="13"/>
      <c r="J83" s="13"/>
      <c r="K83" s="13"/>
      <c r="L83" s="13"/>
      <c r="M83" s="13"/>
      <c r="N83" s="13"/>
      <c r="O83" s="13"/>
    </row>
    <row r="84" spans="2:15">
      <c r="B84" s="12"/>
      <c r="C84" s="12"/>
      <c r="D84" s="12"/>
      <c r="E84" s="12"/>
      <c r="F84" s="13"/>
      <c r="G84" s="12"/>
      <c r="H84" s="13"/>
      <c r="I84" s="13"/>
      <c r="J84" s="13"/>
      <c r="K84" s="13"/>
      <c r="L84" s="13"/>
      <c r="M84" s="13"/>
      <c r="N84" s="13"/>
      <c r="O84" s="13"/>
    </row>
    <row r="85" spans="2:15">
      <c r="B85" s="12"/>
      <c r="C85" s="12"/>
      <c r="D85" s="12"/>
      <c r="E85" s="12"/>
      <c r="F85" s="13"/>
      <c r="G85" s="12"/>
      <c r="H85" s="13"/>
      <c r="I85" s="13"/>
      <c r="J85" s="13"/>
      <c r="K85" s="13"/>
      <c r="L85" s="13"/>
      <c r="M85" s="13"/>
      <c r="N85" s="13"/>
      <c r="O85" s="13"/>
    </row>
    <row r="86" spans="2:15">
      <c r="B86" s="12"/>
      <c r="C86" s="12"/>
      <c r="D86" s="12"/>
      <c r="E86" s="12"/>
      <c r="F86" s="13"/>
      <c r="G86" s="12"/>
      <c r="H86" s="13"/>
      <c r="I86" s="13"/>
      <c r="J86" s="13"/>
      <c r="K86" s="13"/>
      <c r="L86" s="13"/>
      <c r="M86" s="13"/>
      <c r="N86" s="13"/>
      <c r="O86" s="13"/>
    </row>
    <row r="87" spans="2:15">
      <c r="B87" s="12"/>
      <c r="C87" s="12"/>
      <c r="D87" s="12"/>
      <c r="E87" s="12"/>
      <c r="F87" s="12"/>
      <c r="G87" s="12"/>
      <c r="H87" s="13"/>
      <c r="I87" s="13"/>
      <c r="J87" s="13"/>
      <c r="K87" s="13"/>
      <c r="L87" s="13"/>
      <c r="M87" s="13"/>
      <c r="N87" s="13"/>
      <c r="O87" s="13"/>
    </row>
    <row r="88" spans="2:15">
      <c r="B88" s="12"/>
      <c r="C88" s="12"/>
      <c r="D88" s="12"/>
      <c r="E88" s="12"/>
      <c r="F88" s="12"/>
      <c r="G88" s="12"/>
      <c r="H88" s="13"/>
      <c r="I88" s="13"/>
      <c r="J88" s="13"/>
      <c r="K88" s="13"/>
      <c r="L88" s="13"/>
      <c r="M88" s="13"/>
      <c r="N88" s="13"/>
      <c r="O88" s="13"/>
    </row>
    <row r="89" spans="2:15">
      <c r="B89" s="12"/>
      <c r="C89" s="12"/>
      <c r="D89" s="12"/>
      <c r="E89" s="12"/>
      <c r="F89" s="12"/>
      <c r="G89" s="12"/>
      <c r="H89" s="13"/>
      <c r="I89" s="13"/>
      <c r="J89" s="13"/>
      <c r="K89" s="13"/>
      <c r="L89" s="13"/>
      <c r="M89" s="13"/>
      <c r="N89" s="13"/>
      <c r="O89" s="13"/>
    </row>
    <row r="90" spans="2:15">
      <c r="B90" s="12"/>
      <c r="C90" s="12"/>
      <c r="D90" s="12"/>
      <c r="E90" s="12"/>
      <c r="F90" s="12"/>
      <c r="G90" s="12"/>
      <c r="H90" s="13"/>
      <c r="I90" s="13"/>
      <c r="J90" s="13"/>
      <c r="K90" s="13"/>
      <c r="L90" s="13"/>
      <c r="M90" s="13"/>
      <c r="N90" s="13"/>
      <c r="O90" s="13"/>
    </row>
    <row r="91" spans="2:15">
      <c r="B91" s="12"/>
      <c r="C91" s="12"/>
      <c r="D91" s="12"/>
      <c r="E91" s="12"/>
      <c r="F91" s="12"/>
      <c r="G91" s="12"/>
      <c r="H91" s="13"/>
      <c r="I91" s="13"/>
      <c r="J91" s="13"/>
      <c r="K91" s="13"/>
      <c r="L91" s="13"/>
      <c r="M91" s="13"/>
      <c r="N91" s="13"/>
      <c r="O91" s="13"/>
    </row>
    <row r="92" spans="2:15">
      <c r="B92" s="12"/>
      <c r="C92" s="12"/>
      <c r="D92" s="12"/>
      <c r="E92" s="12"/>
      <c r="F92" s="12"/>
      <c r="G92" s="12"/>
      <c r="H92" s="13"/>
      <c r="I92" s="13"/>
      <c r="J92" s="13"/>
      <c r="K92" s="13"/>
      <c r="L92" s="13"/>
      <c r="M92" s="13"/>
      <c r="N92" s="13"/>
      <c r="O92" s="13"/>
    </row>
    <row r="93" spans="2:15">
      <c r="B93" s="12"/>
      <c r="C93" s="12"/>
      <c r="D93" s="12"/>
      <c r="E93" s="12"/>
      <c r="F93" s="12"/>
      <c r="G93" s="13"/>
      <c r="H93" s="13"/>
      <c r="I93" s="13"/>
      <c r="J93" s="13"/>
      <c r="K93" s="13"/>
      <c r="L93" s="13"/>
      <c r="M93" s="13"/>
      <c r="N93" s="13"/>
      <c r="O93" s="13"/>
    </row>
    <row r="94" spans="2:15">
      <c r="B94" s="12"/>
      <c r="C94" s="12"/>
      <c r="D94" s="12"/>
      <c r="E94" s="12"/>
      <c r="F94" s="12"/>
      <c r="G94" s="13"/>
      <c r="H94" s="13"/>
      <c r="I94" s="13"/>
      <c r="J94" s="13"/>
      <c r="K94" s="13"/>
      <c r="L94" s="13"/>
      <c r="M94" s="13"/>
      <c r="N94" s="13"/>
      <c r="O94" s="13"/>
    </row>
    <row r="95" spans="2:15">
      <c r="B95" s="12"/>
      <c r="C95" s="12"/>
      <c r="D95" s="12"/>
      <c r="E95" s="12"/>
      <c r="F95" s="12"/>
      <c r="G95" s="13"/>
      <c r="H95" s="13"/>
      <c r="I95" s="13"/>
      <c r="J95" s="13"/>
      <c r="K95" s="13"/>
      <c r="L95" s="13"/>
      <c r="M95" s="13"/>
      <c r="N95" s="13"/>
      <c r="O95" s="13"/>
    </row>
    <row r="96" spans="2:15">
      <c r="B96" s="12"/>
      <c r="C96" s="12"/>
      <c r="D96" s="12"/>
      <c r="E96" s="12"/>
      <c r="F96" s="12"/>
      <c r="G96" s="13"/>
      <c r="H96" s="13"/>
      <c r="I96" s="13"/>
      <c r="J96" s="13"/>
      <c r="K96" s="13"/>
      <c r="L96" s="13"/>
      <c r="M96" s="13"/>
      <c r="N96" s="13"/>
      <c r="O96" s="13"/>
    </row>
    <row r="97" spans="2:15">
      <c r="B97" s="12"/>
      <c r="C97" s="12"/>
      <c r="D97" s="12"/>
      <c r="E97" s="12"/>
      <c r="F97" s="12"/>
      <c r="G97" s="13"/>
      <c r="H97" s="13"/>
      <c r="I97" s="13"/>
      <c r="J97" s="13"/>
      <c r="K97" s="13"/>
      <c r="L97" s="13"/>
      <c r="M97" s="13"/>
      <c r="N97" s="13"/>
      <c r="O97" s="13"/>
    </row>
    <row r="98" spans="2:15">
      <c r="B98" s="12"/>
      <c r="C98" s="12"/>
      <c r="D98" s="12"/>
      <c r="E98" s="12"/>
      <c r="F98" s="12"/>
      <c r="G98" s="13"/>
      <c r="H98" s="13"/>
      <c r="I98" s="13"/>
      <c r="J98" s="13"/>
      <c r="K98" s="13"/>
      <c r="L98" s="13"/>
      <c r="M98" s="13"/>
      <c r="N98" s="13"/>
      <c r="O98" s="13"/>
    </row>
    <row r="99" spans="2:15">
      <c r="B99" s="12"/>
      <c r="C99" s="12"/>
      <c r="D99" s="12"/>
      <c r="E99" s="12"/>
      <c r="F99" s="12"/>
      <c r="G99" s="13"/>
      <c r="H99" s="26"/>
      <c r="I99" s="26"/>
      <c r="J99" s="26"/>
      <c r="K99" s="26"/>
      <c r="L99" s="26"/>
      <c r="M99" s="26"/>
      <c r="N99" s="26"/>
      <c r="O99" s="26"/>
    </row>
    <row r="100" spans="2:15">
      <c r="B100" s="13"/>
      <c r="C100" s="13"/>
      <c r="D100" s="13"/>
      <c r="E100" s="13"/>
      <c r="F100" s="12"/>
      <c r="G100" s="13"/>
      <c r="H100" s="16"/>
      <c r="I100" s="16"/>
      <c r="J100" s="16"/>
      <c r="K100" s="16"/>
      <c r="L100" s="16"/>
      <c r="M100" s="16"/>
      <c r="N100" s="16"/>
      <c r="O100" s="16"/>
    </row>
    <row r="101" spans="2:15">
      <c r="B101" s="13"/>
      <c r="C101" s="13"/>
      <c r="D101" s="13"/>
      <c r="E101" s="13"/>
      <c r="F101" s="12"/>
      <c r="G101" s="13"/>
      <c r="H101" s="16"/>
      <c r="I101" s="16"/>
      <c r="J101" s="16"/>
      <c r="K101" s="16"/>
      <c r="L101" s="16"/>
      <c r="M101" s="16"/>
      <c r="N101" s="16"/>
      <c r="O101" s="16"/>
    </row>
    <row r="102" spans="2:15">
      <c r="B102" s="13"/>
      <c r="C102" s="13"/>
      <c r="D102" s="13"/>
      <c r="E102" s="13"/>
      <c r="F102" s="12"/>
      <c r="G102" s="13"/>
      <c r="H102" s="26"/>
      <c r="I102" s="26"/>
      <c r="J102" s="26"/>
      <c r="K102" s="26"/>
      <c r="L102" s="26"/>
      <c r="M102" s="26"/>
      <c r="N102" s="26"/>
      <c r="O102" s="26"/>
    </row>
    <row r="103" spans="2:15">
      <c r="B103" s="13"/>
      <c r="C103" s="13"/>
      <c r="D103" s="13"/>
      <c r="E103" s="13"/>
      <c r="F103" s="12"/>
      <c r="G103" s="13"/>
      <c r="H103" s="26"/>
      <c r="I103" s="26"/>
      <c r="J103" s="26"/>
      <c r="K103" s="26"/>
      <c r="L103" s="26"/>
      <c r="M103" s="26"/>
      <c r="N103" s="26"/>
      <c r="O103" s="26"/>
    </row>
    <row r="104" spans="2:15">
      <c r="B104" s="13"/>
      <c r="C104" s="13"/>
      <c r="D104" s="13"/>
      <c r="E104" s="13"/>
      <c r="F104" s="13"/>
      <c r="G104" s="13"/>
      <c r="H104" s="26"/>
      <c r="I104" s="26"/>
      <c r="J104" s="26"/>
      <c r="K104" s="26"/>
      <c r="L104" s="26"/>
      <c r="M104" s="26"/>
      <c r="N104" s="26"/>
      <c r="O104" s="26"/>
    </row>
    <row r="105" spans="2:15">
      <c r="B105" s="13"/>
      <c r="C105" s="13"/>
      <c r="D105" s="13"/>
      <c r="E105" s="13"/>
      <c r="F105" s="13"/>
      <c r="G105" s="13"/>
    </row>
    <row r="106" spans="2:15">
      <c r="B106" s="13"/>
      <c r="C106" s="13"/>
      <c r="D106" s="13"/>
      <c r="E106" s="13"/>
      <c r="F106" s="13"/>
      <c r="G106" s="13"/>
    </row>
    <row r="107" spans="2:15">
      <c r="B107" s="13"/>
      <c r="C107" s="13"/>
      <c r="D107" s="13"/>
      <c r="E107" s="13"/>
      <c r="F107" s="13"/>
      <c r="G107" s="13"/>
    </row>
    <row r="108" spans="2:15">
      <c r="B108" s="13"/>
      <c r="C108" s="13"/>
      <c r="D108" s="13"/>
      <c r="E108" s="13"/>
      <c r="F108" s="13"/>
      <c r="G108" s="13"/>
    </row>
    <row r="109" spans="2:15">
      <c r="B109" s="13"/>
      <c r="C109" s="13"/>
      <c r="D109" s="13"/>
      <c r="E109" s="13"/>
      <c r="F109" s="13"/>
      <c r="G109" s="13"/>
    </row>
    <row r="110" spans="2:15">
      <c r="B110" s="13"/>
      <c r="C110" s="13"/>
      <c r="D110" s="13"/>
      <c r="E110" s="13"/>
      <c r="F110" s="13"/>
      <c r="G110" s="13"/>
    </row>
    <row r="111" spans="2:15">
      <c r="B111" s="13"/>
      <c r="C111" s="13"/>
      <c r="D111" s="13"/>
      <c r="E111" s="13"/>
      <c r="F111" s="13"/>
      <c r="G111" s="13"/>
    </row>
    <row r="112" spans="2:15">
      <c r="B112" s="13"/>
      <c r="C112" s="13"/>
      <c r="D112" s="13"/>
      <c r="E112" s="13"/>
      <c r="F112" s="13"/>
      <c r="G112" s="13"/>
    </row>
    <row r="113" spans="2:7">
      <c r="B113" s="13"/>
      <c r="C113" s="13"/>
      <c r="D113" s="13"/>
      <c r="E113" s="13"/>
      <c r="F113" s="13"/>
      <c r="G113" s="13"/>
    </row>
    <row r="114" spans="2:7">
      <c r="B114" s="13"/>
      <c r="C114" s="13"/>
      <c r="D114" s="13"/>
      <c r="E114" s="13"/>
      <c r="F114" s="13"/>
      <c r="G114" s="13"/>
    </row>
    <row r="115" spans="2:7">
      <c r="B115" s="13"/>
      <c r="C115" s="13"/>
      <c r="D115" s="13"/>
      <c r="E115" s="13"/>
      <c r="F115" s="13"/>
      <c r="G115" s="13"/>
    </row>
    <row r="116" spans="2:7">
      <c r="B116" s="13"/>
      <c r="C116" s="13"/>
      <c r="D116" s="13"/>
      <c r="E116" s="13"/>
      <c r="F116" s="13"/>
      <c r="G116" s="13"/>
    </row>
    <row r="117" spans="2:7">
      <c r="B117" s="13"/>
      <c r="C117" s="13"/>
      <c r="D117" s="13"/>
      <c r="E117" s="13"/>
      <c r="F117" s="13"/>
      <c r="G117" s="13"/>
    </row>
    <row r="118" spans="2:7">
      <c r="B118" s="13"/>
      <c r="C118" s="13"/>
      <c r="D118" s="13"/>
      <c r="E118" s="13"/>
      <c r="F118" s="13"/>
      <c r="G118" s="13"/>
    </row>
    <row r="119" spans="2:7">
      <c r="B119" s="13"/>
      <c r="C119" s="13"/>
      <c r="D119" s="13"/>
      <c r="E119" s="13"/>
      <c r="F119" s="13"/>
      <c r="G119" s="13"/>
    </row>
    <row r="120" spans="2:7">
      <c r="B120" s="13"/>
      <c r="C120" s="13"/>
      <c r="D120" s="13"/>
      <c r="E120" s="13"/>
      <c r="F120" s="13"/>
      <c r="G120" s="13"/>
    </row>
    <row r="121" spans="2:7">
      <c r="B121" s="13"/>
      <c r="C121" s="13"/>
      <c r="D121" s="13"/>
      <c r="E121" s="13"/>
      <c r="F121" s="13"/>
      <c r="G121" s="13"/>
    </row>
    <row r="122" spans="2:7">
      <c r="B122" s="13"/>
      <c r="C122" s="13"/>
      <c r="D122" s="13"/>
      <c r="E122" s="13"/>
      <c r="F122" s="13"/>
      <c r="G122" s="13"/>
    </row>
    <row r="123" spans="2:7">
      <c r="B123" s="13"/>
      <c r="C123" s="13"/>
      <c r="D123" s="13"/>
      <c r="E123" s="13"/>
      <c r="F123" s="13"/>
      <c r="G123" s="13"/>
    </row>
    <row r="124" spans="2:7">
      <c r="B124" s="13"/>
      <c r="C124" s="13"/>
      <c r="D124" s="13"/>
      <c r="E124" s="13"/>
      <c r="F124" s="13"/>
      <c r="G124" s="26"/>
    </row>
    <row r="125" spans="2:7">
      <c r="B125" s="13"/>
      <c r="C125" s="13"/>
      <c r="D125" s="13"/>
      <c r="E125" s="13"/>
      <c r="F125" s="13"/>
      <c r="G125" s="16"/>
    </row>
    <row r="126" spans="2:7">
      <c r="B126" s="13"/>
      <c r="C126" s="13"/>
      <c r="D126" s="13"/>
      <c r="E126" s="13"/>
      <c r="F126" s="13"/>
      <c r="G126" s="16"/>
    </row>
    <row r="127" spans="2:7">
      <c r="B127" s="13"/>
      <c r="C127" s="13"/>
      <c r="D127" s="13"/>
      <c r="E127" s="13"/>
      <c r="F127" s="13"/>
      <c r="G127" s="26"/>
    </row>
    <row r="128" spans="2:7">
      <c r="B128" s="13"/>
      <c r="C128" s="13"/>
      <c r="D128" s="13"/>
      <c r="E128" s="13"/>
      <c r="F128" s="13"/>
      <c r="G128" s="26"/>
    </row>
    <row r="129" spans="2:7">
      <c r="B129" s="13"/>
      <c r="C129" s="13"/>
      <c r="D129" s="13"/>
      <c r="E129" s="13"/>
      <c r="F129" s="13"/>
      <c r="G129" s="26"/>
    </row>
    <row r="130" spans="2:7">
      <c r="B130" s="13"/>
      <c r="C130" s="13"/>
      <c r="D130" s="13"/>
      <c r="E130" s="13"/>
      <c r="F130" s="13"/>
    </row>
    <row r="131" spans="2:7">
      <c r="B131" s="26"/>
      <c r="C131" s="26"/>
      <c r="D131" s="26"/>
      <c r="E131" s="26"/>
      <c r="F131" s="13"/>
    </row>
    <row r="132" spans="2:7">
      <c r="B132" s="16"/>
      <c r="C132" s="16"/>
      <c r="D132" s="16"/>
      <c r="E132" s="16"/>
      <c r="F132" s="13"/>
    </row>
    <row r="133" spans="2:7">
      <c r="B133" s="16"/>
      <c r="C133" s="16"/>
      <c r="D133" s="16"/>
      <c r="E133" s="16"/>
      <c r="F133" s="13"/>
    </row>
    <row r="134" spans="2:7">
      <c r="B134" s="26"/>
      <c r="C134" s="26"/>
      <c r="D134" s="26"/>
      <c r="E134" s="26"/>
      <c r="F134" s="13"/>
    </row>
    <row r="135" spans="2:7">
      <c r="B135" s="26"/>
      <c r="C135" s="26"/>
      <c r="D135" s="26"/>
      <c r="E135" s="26"/>
      <c r="F135" s="26"/>
    </row>
    <row r="136" spans="2:7">
      <c r="B136" s="26"/>
      <c r="C136" s="26"/>
      <c r="D136" s="26"/>
      <c r="E136" s="26"/>
      <c r="F136" s="16"/>
    </row>
    <row r="137" spans="2:7">
      <c r="F137" s="16"/>
    </row>
    <row r="138" spans="2:7">
      <c r="F138" s="26"/>
    </row>
    <row r="139" spans="2:7">
      <c r="F139" s="26"/>
    </row>
    <row r="140" spans="2:7">
      <c r="F140" s="26"/>
    </row>
  </sheetData>
  <mergeCells count="2">
    <mergeCell ref="B2:E2"/>
    <mergeCell ref="G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71"/>
  <sheetViews>
    <sheetView zoomScale="90" zoomScaleNormal="90" workbookViewId="0">
      <pane xSplit="5" ySplit="4" topLeftCell="L5" activePane="bottomRight" state="frozen"/>
      <selection pane="topRight" activeCell="F1" sqref="F1"/>
      <selection pane="bottomLeft" activeCell="A4" sqref="A4"/>
      <selection pane="bottomRight"/>
    </sheetView>
  </sheetViews>
  <sheetFormatPr baseColWidth="10" defaultRowHeight="16"/>
  <cols>
    <col min="1" max="1" width="16.83203125" bestFit="1" customWidth="1"/>
    <col min="5" max="5" width="10.83203125" style="1"/>
    <col min="6" max="6" width="27.6640625" style="5" bestFit="1" customWidth="1"/>
    <col min="7" max="9" width="10.83203125" style="29"/>
    <col min="10" max="10" width="4.6640625" style="33" customWidth="1"/>
    <col min="11" max="13" width="10.83203125" style="29"/>
    <col min="14" max="14" width="4.6640625" style="33" customWidth="1"/>
    <col min="15" max="17" width="10.83203125" style="29"/>
    <col min="18" max="18" width="4.6640625" style="33" customWidth="1"/>
    <col min="19" max="21" width="10.83203125" style="29"/>
    <col min="22" max="22" width="4.6640625" style="33" customWidth="1"/>
    <col min="23" max="25" width="10.83203125" style="29"/>
  </cols>
  <sheetData>
    <row r="1" spans="1:25">
      <c r="G1" s="191" t="s">
        <v>213</v>
      </c>
      <c r="H1" s="226">
        <f>'Hard Performance'!J13</f>
        <v>0.19</v>
      </c>
      <c r="K1" s="191" t="s">
        <v>213</v>
      </c>
      <c r="L1" s="226">
        <f>'MLR Performance'!N12</f>
        <v>0.33</v>
      </c>
      <c r="O1" s="191" t="s">
        <v>213</v>
      </c>
      <c r="P1" s="226">
        <f>'MLR Performance'!N16</f>
        <v>0.64</v>
      </c>
      <c r="S1" s="191" t="s">
        <v>213</v>
      </c>
      <c r="T1" s="226">
        <f>'MLR Performance'!N20</f>
        <v>0.7</v>
      </c>
      <c r="W1" s="191" t="s">
        <v>213</v>
      </c>
      <c r="X1" s="226">
        <f>'BLM Performance'!V10</f>
        <v>0.87</v>
      </c>
    </row>
    <row r="2" spans="1:25" ht="17" thickBot="1">
      <c r="F2" s="261"/>
      <c r="G2" s="191" t="s">
        <v>214</v>
      </c>
      <c r="H2" s="227">
        <f>'Hard Performance'!K13</f>
        <v>128</v>
      </c>
      <c r="K2" s="191" t="s">
        <v>214</v>
      </c>
      <c r="L2" s="227">
        <f>'MLR Performance'!O12</f>
        <v>5.47</v>
      </c>
      <c r="O2" s="191" t="s">
        <v>214</v>
      </c>
      <c r="P2" s="227">
        <f>'MLR Performance'!O16</f>
        <v>2.4500000000000002</v>
      </c>
      <c r="S2" s="191" t="s">
        <v>214</v>
      </c>
      <c r="T2" s="227">
        <f>'MLR Performance'!O20</f>
        <v>3.5</v>
      </c>
      <c r="W2" s="191" t="s">
        <v>214</v>
      </c>
      <c r="X2" s="233">
        <f>'BLM Performance'!W10</f>
        <v>1.9</v>
      </c>
    </row>
    <row r="3" spans="1:25" ht="17" thickBot="1">
      <c r="E3" s="4"/>
      <c r="F3" s="261"/>
      <c r="G3" s="299" t="s">
        <v>58</v>
      </c>
      <c r="H3" s="299"/>
      <c r="I3" s="300"/>
      <c r="J3" s="48"/>
      <c r="K3" s="301" t="s">
        <v>107</v>
      </c>
      <c r="L3" s="299"/>
      <c r="M3" s="299"/>
      <c r="N3" s="48"/>
      <c r="O3" s="301" t="s">
        <v>108</v>
      </c>
      <c r="P3" s="299"/>
      <c r="Q3" s="300"/>
      <c r="R3" s="48"/>
      <c r="S3" s="301" t="s">
        <v>109</v>
      </c>
      <c r="T3" s="299"/>
      <c r="U3" s="300"/>
      <c r="V3" s="48"/>
      <c r="W3" s="301" t="s">
        <v>57</v>
      </c>
      <c r="X3" s="299"/>
      <c r="Y3" s="300"/>
    </row>
    <row r="4" spans="1:25" ht="17" thickBot="1">
      <c r="A4" s="125" t="s">
        <v>187</v>
      </c>
      <c r="E4" s="225" t="s">
        <v>188</v>
      </c>
      <c r="F4" s="261" t="s">
        <v>0</v>
      </c>
      <c r="G4" s="31" t="s">
        <v>65</v>
      </c>
      <c r="H4" s="31" t="s">
        <v>202</v>
      </c>
      <c r="I4" s="34" t="s">
        <v>203</v>
      </c>
      <c r="J4" s="178"/>
      <c r="K4" s="30" t="s">
        <v>65</v>
      </c>
      <c r="L4" s="31" t="s">
        <v>202</v>
      </c>
      <c r="M4" s="34" t="s">
        <v>203</v>
      </c>
      <c r="N4" s="178"/>
      <c r="O4" s="30" t="s">
        <v>65</v>
      </c>
      <c r="P4" s="31" t="s">
        <v>202</v>
      </c>
      <c r="Q4" s="34" t="s">
        <v>203</v>
      </c>
      <c r="R4" s="178"/>
      <c r="S4" s="30" t="s">
        <v>65</v>
      </c>
      <c r="T4" s="31" t="s">
        <v>202</v>
      </c>
      <c r="U4" s="34" t="s">
        <v>203</v>
      </c>
      <c r="V4" s="178"/>
      <c r="W4" s="30" t="s">
        <v>65</v>
      </c>
      <c r="X4" s="31" t="s">
        <v>202</v>
      </c>
      <c r="Y4" s="34" t="s">
        <v>203</v>
      </c>
    </row>
    <row r="5" spans="1:25">
      <c r="E5" s="29">
        <v>1</v>
      </c>
      <c r="F5" s="262" t="s">
        <v>31</v>
      </c>
      <c r="G5" s="28">
        <f>IF(AND('Ecotox data'!P5&gt;='Model info'!$C$4,'Ecotox data'!P5&lt;='Model info'!$C$5),1,0)</f>
        <v>1</v>
      </c>
      <c r="H5" s="167">
        <f>IF(COUNTIF('Model info'!$H$4:$H$10,'Ecotox data'!B5)=1,7,IF(COUNTIF('Model info'!$J$4:$J$10,'Ecotox data'!C5)=1,6,IF(COUNTIF('Model info'!$K$4:$K$10,'Ecotox data'!D5)=1,5,IF(COUNTIF('Model info'!$L$4:$L$10,'Ecotox data'!E5)=1,4,IF(COUNTIF('Model info'!$M$4:$M$10,'Ecotox data'!F5)=1,3,IF(COUNTIF('Model info'!$N$4:$N$10,'Ecotox data'!G5)=1,2,IF(COUNTIF('Model info'!$O$4:$O$10,'Ecotox data'!H5)=1,1,0)))))))</f>
        <v>3</v>
      </c>
      <c r="I5" s="175">
        <f>SUM(G5:H5)</f>
        <v>4</v>
      </c>
      <c r="J5" s="35"/>
      <c r="K5" s="28">
        <f>IF(AND('Ecotox data'!U5&gt;='Model info'!$D$8,'Ecotox data'!U5&lt;='Model info'!$D$9),1,0)</f>
        <v>1</v>
      </c>
      <c r="L5" s="162">
        <f>IF(COUNTIF('Model info'!$H$12,'Ecotox data'!B5)=1,7,IF(COUNTIF('Model info'!$J$12,'Ecotox data'!C5)=1,6,IF(COUNTIF('Model info'!$K$12,'Ecotox data'!D5)=1,5,IF(COUNTIF('Model info'!$L$12,'Ecotox data'!E5)=1,4,IF(COUNTIF('Model info'!$M$12,'Ecotox data'!F5)=1,3,IF(COUNTIF('Model info'!$N$12,'Ecotox data'!G5)=1,2,IF(COUNTIF('Model info'!$O$12,'Ecotox data'!H5)=1,1,0)))))))</f>
        <v>0</v>
      </c>
      <c r="M5" s="181">
        <f>SUM(K5:L5)</f>
        <v>1</v>
      </c>
      <c r="N5" s="35"/>
      <c r="O5" s="28">
        <f>IF(AND('Ecotox data'!M5&gt;='Model info'!$E$12,'Ecotox data'!M5&lt;='Model info'!$E$13),1,0)</f>
        <v>1</v>
      </c>
      <c r="P5" s="164">
        <f>IF(COUNTIF('Model info'!$H$14,'Ecotox data'!B5)=1,7,IF(COUNTIF('Model info'!$J$14,'Ecotox data'!C5)=1,6,IF(COUNTIF('Model info'!$K$14,'Ecotox data'!D5)=1,5,IF(COUNTIF('Model info'!$L$14,'Ecotox data'!E5)=1,4,IF(COUNTIF('Model info'!$M$14,'Ecotox data'!F5)=1,3,IF(COUNTIF('Model info'!$N$14,'Ecotox data'!G5)=1,2,IF(COUNTIF('Model info'!$O$14,'Ecotox data'!H5)=1,1,0)))))))</f>
        <v>1</v>
      </c>
      <c r="Q5" s="181">
        <f>SUM(O5:P5)</f>
        <v>2</v>
      </c>
      <c r="R5" s="35"/>
      <c r="S5" s="28">
        <f>IF(AND('Ecotox data'!P5&gt;='Model info'!$C$16,'Ecotox data'!P5&lt;='Model info'!$C$17,'Ecotox data'!U5&gt;='Model info'!$D$16,'Ecotox data'!U5&lt;='Model info'!$D$17,'Ecotox data'!M5&gt;='Model info'!$E$16,'Ecotox data'!M5&lt;='Model info'!$E$17),1,0)</f>
        <v>1</v>
      </c>
      <c r="T5" s="169">
        <f>IF(COUNTIF('Model info'!$H$16,'Ecotox data'!B5)=1,7,IF(COUNTIF('Model info'!$J$16,'Ecotox data'!C5)=1,6,IF(COUNTIF('Model info'!$K$16,'Ecotox data'!D5)=1,5,IF(COUNTIF('Model info'!$L$16,'Ecotox data'!E5)=1,4,IF(COUNTIF('Model info'!$M$16,'Ecotox data'!F5)=1,3,IF(COUNTIF('Model info'!$N$16,'Ecotox data'!G5)=1,2,IF(COUNTIF('Model info'!$O$16,'Ecotox data'!H5)=1,1,0)))))))</f>
        <v>3</v>
      </c>
      <c r="U5" s="175">
        <f>SUM(S5:T5)</f>
        <v>4</v>
      </c>
      <c r="V5" s="35"/>
      <c r="W5" s="28">
        <f>IF(AND('Ecotox data'!P5&gt;='Model info'!$C$20,'Ecotox data'!P5&lt;='Model info'!$C$21,'Ecotox data'!U5&gt;='Model info'!$D$20,'Ecotox data'!U5&lt;='Model info'!$D$21,'Ecotox data'!M5&gt;='Model info'!$E$20,'Ecotox data'!M5&lt;='Model info'!$E$21),1,0)</f>
        <v>1</v>
      </c>
      <c r="X5" s="168">
        <f>IF(COUNTIF('Model info'!$H$18:$H$24,'Ecotox data'!B5)=1,7,IF(COUNTIF('Model info'!$J$18:$J$24,'Ecotox data'!C5)=1,6,IF(COUNTIF('Model info'!$K$18:$K$24,'Ecotox data'!D5)=1,5,IF(COUNTIF('Model info'!$L$2:$L$24,'Ecotox data'!E5)=1,4,IF(COUNTIF('Model info'!$M$18:$M$24,'Ecotox data'!F5)=1,3,IF(COUNTIF('Model info'!$N$18:$N$24,'Ecotox data'!G5)=1,2,IF(COUNTIF('Model info'!$O$18:$O$24,'Ecotox data'!H5)=1,1,0)))))))</f>
        <v>3</v>
      </c>
      <c r="Y5" s="175">
        <f>SUM(W5:X5)</f>
        <v>4</v>
      </c>
    </row>
    <row r="6" spans="1:25" ht="16" customHeight="1">
      <c r="A6" s="124" t="s">
        <v>191</v>
      </c>
      <c r="B6" s="123"/>
      <c r="C6" s="123"/>
      <c r="D6" s="123"/>
      <c r="E6" s="29">
        <v>2</v>
      </c>
      <c r="F6" s="262" t="s">
        <v>31</v>
      </c>
      <c r="G6" s="27">
        <f>IF(AND('Ecotox data'!P6&gt;='Model info'!$C$4,'Ecotox data'!P6&lt;='Model info'!$C$5),1,0)</f>
        <v>1</v>
      </c>
      <c r="H6" s="168">
        <f>IF(COUNTIF('Model info'!$H$4:$H$10,'Ecotox data'!B6)=1,7,IF(COUNTIF('Model info'!$J$4:$J$10,'Ecotox data'!C6)=1,6,IF(COUNTIF('Model info'!$K$4:$K$10,'Ecotox data'!D6)=1,5,IF(COUNTIF('Model info'!$L$4:$L$10,'Ecotox data'!E6)=1,4,IF(COUNTIF('Model info'!$M$4:$M$10,'Ecotox data'!F6)=1,3,IF(COUNTIF('Model info'!$N$4:$N$10,'Ecotox data'!G6)=1,2,IF(COUNTIF('Model info'!$O$4:$O$10,'Ecotox data'!H6)=1,1,0)))))))</f>
        <v>3</v>
      </c>
      <c r="I6" s="176">
        <f t="shared" ref="I6:I74" si="0">SUM(G6:H6)</f>
        <v>4</v>
      </c>
      <c r="J6" s="35"/>
      <c r="K6" s="27">
        <f>IF(AND('Ecotox data'!U6&gt;='Model info'!$D$8,'Ecotox data'!U6&lt;='Model info'!$D$9),1,0)</f>
        <v>1</v>
      </c>
      <c r="L6" s="163">
        <f>IF(COUNTIF('Model info'!$H$12,'Ecotox data'!B6)=1,7,IF(COUNTIF('Model info'!$J$12,'Ecotox data'!C6)=1,6,IF(COUNTIF('Model info'!$K$12,'Ecotox data'!D6)=1,5,IF(COUNTIF('Model info'!$L$12,'Ecotox data'!E6)=1,4,IF(COUNTIF('Model info'!$M$12,'Ecotox data'!F6)=1,3,IF(COUNTIF('Model info'!$N$12,'Ecotox data'!G6)=1,2,IF(COUNTIF('Model info'!$O$12,'Ecotox data'!H6)=1,1,0)))))))</f>
        <v>0</v>
      </c>
      <c r="M6" s="182">
        <f t="shared" ref="M6:M40" si="1">SUM(K6:L6)</f>
        <v>1</v>
      </c>
      <c r="N6" s="35"/>
      <c r="O6" s="27">
        <f>IF(AND('Ecotox data'!M6&gt;='Model info'!$E$12,'Ecotox data'!M6&lt;='Model info'!$E$13),1,0)</f>
        <v>1</v>
      </c>
      <c r="P6" s="165">
        <f>IF(COUNTIF('Model info'!$H$14,'Ecotox data'!B6)=1,7,IF(COUNTIF('Model info'!$J$14,'Ecotox data'!C6)=1,6,IF(COUNTIF('Model info'!$K$14,'Ecotox data'!D6)=1,5,IF(COUNTIF('Model info'!$L$14,'Ecotox data'!E6)=1,4,IF(COUNTIF('Model info'!$M$14,'Ecotox data'!F6)=1,3,IF(COUNTIF('Model info'!$N$14,'Ecotox data'!G6)=1,2,IF(COUNTIF('Model info'!$O$14,'Ecotox data'!H6)=1,1,0)))))))</f>
        <v>1</v>
      </c>
      <c r="Q6" s="182">
        <f t="shared" ref="Q6:Q40" si="2">SUM(O6:P6)</f>
        <v>2</v>
      </c>
      <c r="R6" s="35"/>
      <c r="S6" s="27">
        <f>IF(AND('Ecotox data'!P6&gt;='Model info'!$C$16,'Ecotox data'!P6&lt;='Model info'!$C$17,'Ecotox data'!U6&gt;='Model info'!$D$16,'Ecotox data'!U6&lt;='Model info'!$D$17,'Ecotox data'!M6&gt;='Model info'!$E$16,'Ecotox data'!M6&lt;='Model info'!$E$17),1,0)</f>
        <v>1</v>
      </c>
      <c r="T6" s="170">
        <f>IF(COUNTIF('Model info'!$H$16,'Ecotox data'!B6)=1,7,IF(COUNTIF('Model info'!$J$16,'Ecotox data'!C6)=1,6,IF(COUNTIF('Model info'!$K$16,'Ecotox data'!D6)=1,5,IF(COUNTIF('Model info'!$L$16,'Ecotox data'!E6)=1,4,IF(COUNTIF('Model info'!$M$16,'Ecotox data'!F6)=1,3,IF(COUNTIF('Model info'!$N$16,'Ecotox data'!G6)=1,2,IF(COUNTIF('Model info'!$O$16,'Ecotox data'!H6)=1,1,0)))))))</f>
        <v>3</v>
      </c>
      <c r="U6" s="176">
        <f t="shared" ref="U6:U40" si="3">SUM(S6:T6)</f>
        <v>4</v>
      </c>
      <c r="V6" s="35"/>
      <c r="W6" s="27">
        <f>IF(AND('Ecotox data'!P6&gt;='Model info'!$C$20,'Ecotox data'!P6&lt;='Model info'!$C$21,'Ecotox data'!U6&gt;='Model info'!$D$20,'Ecotox data'!U6&lt;='Model info'!$D$21,'Ecotox data'!M6&gt;='Model info'!$E$20,'Ecotox data'!M6&lt;='Model info'!$E$21),1,0)</f>
        <v>1</v>
      </c>
      <c r="X6" s="168">
        <f>IF(COUNTIF('Model info'!$H$18:$H$24,'Ecotox data'!B6)=1,7,IF(COUNTIF('Model info'!$J$18:$J$24,'Ecotox data'!C6)=1,6,IF(COUNTIF('Model info'!$K$18:$K$24,'Ecotox data'!D6)=1,5,IF(COUNTIF('Model info'!$L$2:$L$24,'Ecotox data'!E6)=1,4,IF(COUNTIF('Model info'!$M$18:$M$24,'Ecotox data'!F6)=1,3,IF(COUNTIF('Model info'!$N$18:$N$24,'Ecotox data'!G6)=1,2,IF(COUNTIF('Model info'!$O$18:$O$24,'Ecotox data'!H6)=1,1,0)))))))</f>
        <v>3</v>
      </c>
      <c r="Y6" s="176">
        <f t="shared" ref="Y6:Y40" si="4">SUM(W6:X6)</f>
        <v>4</v>
      </c>
    </row>
    <row r="7" spans="1:25">
      <c r="A7" s="126" t="s">
        <v>189</v>
      </c>
      <c r="B7" s="131">
        <v>1</v>
      </c>
      <c r="C7" s="44"/>
      <c r="D7" s="122"/>
      <c r="E7" s="29">
        <v>3</v>
      </c>
      <c r="F7" s="262" t="s">
        <v>16</v>
      </c>
      <c r="G7" s="27">
        <f>IF(AND('Ecotox data'!P7&gt;='Model info'!$C$4,'Ecotox data'!P7&lt;='Model info'!$C$5),1,0)</f>
        <v>1</v>
      </c>
      <c r="H7" s="171">
        <f>IF(COUNTIF('Model info'!$H$4:$H$10,'Ecotox data'!B7)=1,7,IF(COUNTIF('Model info'!$J$4:$J$10,'Ecotox data'!C7)=1,6,IF(COUNTIF('Model info'!$K$4:$K$10,'Ecotox data'!D7)=1,5,IF(COUNTIF('Model info'!$L$4:$L$10,'Ecotox data'!E7)=1,4,IF(COUNTIF('Model info'!$M$4:$M$10,'Ecotox data'!F7)=1,3,IF(COUNTIF('Model info'!$N$4:$N$10,'Ecotox data'!G7)=1,2,IF(COUNTIF('Model info'!$O$4:$O$10,'Ecotox data'!H7)=1,1,0)))))))</f>
        <v>5</v>
      </c>
      <c r="I7" s="177">
        <f t="shared" si="0"/>
        <v>6</v>
      </c>
      <c r="J7" s="35"/>
      <c r="K7" s="27">
        <f>IF(AND('Ecotox data'!U7&gt;='Model info'!$D$8,'Ecotox data'!U7&lt;='Model info'!$D$9),1,0)</f>
        <v>1</v>
      </c>
      <c r="L7" s="163">
        <f>IF(COUNTIF('Model info'!$H$12,'Ecotox data'!B7)=1,7,IF(COUNTIF('Model info'!$J$12,'Ecotox data'!C7)=1,6,IF(COUNTIF('Model info'!$K$12,'Ecotox data'!D7)=1,5,IF(COUNTIF('Model info'!$L$12,'Ecotox data'!E7)=1,4,IF(COUNTIF('Model info'!$M$12,'Ecotox data'!F7)=1,3,IF(COUNTIF('Model info'!$N$12,'Ecotox data'!G7)=1,2,IF(COUNTIF('Model info'!$O$12,'Ecotox data'!H7)=1,1,0)))))))</f>
        <v>0</v>
      </c>
      <c r="M7" s="182">
        <f t="shared" si="1"/>
        <v>1</v>
      </c>
      <c r="N7" s="35"/>
      <c r="O7" s="27">
        <f>IF(AND('Ecotox data'!M7&gt;='Model info'!$E$12,'Ecotox data'!M7&lt;='Model info'!$E$13),1,0)</f>
        <v>1</v>
      </c>
      <c r="P7" s="165">
        <f>IF(COUNTIF('Model info'!$H$14,'Ecotox data'!B7)=1,7,IF(COUNTIF('Model info'!$J$14,'Ecotox data'!C7)=1,6,IF(COUNTIF('Model info'!$K$14,'Ecotox data'!D7)=1,5,IF(COUNTIF('Model info'!$L$14,'Ecotox data'!E7)=1,4,IF(COUNTIF('Model info'!$M$14,'Ecotox data'!F7)=1,3,IF(COUNTIF('Model info'!$N$14,'Ecotox data'!G7)=1,2,IF(COUNTIF('Model info'!$O$14,'Ecotox data'!H7)=1,1,0)))))))</f>
        <v>1</v>
      </c>
      <c r="Q7" s="182">
        <f t="shared" si="2"/>
        <v>2</v>
      </c>
      <c r="R7" s="35"/>
      <c r="S7" s="27">
        <f>IF(AND('Ecotox data'!P7&gt;='Model info'!$C$16,'Ecotox data'!P7&lt;='Model info'!$C$17,'Ecotox data'!U7&gt;='Model info'!$D$16,'Ecotox data'!U7&lt;='Model info'!$D$17,'Ecotox data'!M7&gt;='Model info'!$E$16,'Ecotox data'!M7&lt;='Model info'!$E$17),1,0)</f>
        <v>1</v>
      </c>
      <c r="T7" s="170">
        <f>IF(COUNTIF('Model info'!$H$16,'Ecotox data'!B7)=1,7,IF(COUNTIF('Model info'!$J$16,'Ecotox data'!C7)=1,6,IF(COUNTIF('Model info'!$K$16,'Ecotox data'!D7)=1,5,IF(COUNTIF('Model info'!$L$16,'Ecotox data'!E7)=1,4,IF(COUNTIF('Model info'!$M$16,'Ecotox data'!F7)=1,3,IF(COUNTIF('Model info'!$N$16,'Ecotox data'!G7)=1,2,IF(COUNTIF('Model info'!$O$16,'Ecotox data'!H7)=1,1,0)))))))</f>
        <v>3</v>
      </c>
      <c r="U7" s="176">
        <f t="shared" si="3"/>
        <v>4</v>
      </c>
      <c r="V7" s="35"/>
      <c r="W7" s="27">
        <f>IF(AND('Ecotox data'!P7&gt;='Model info'!$C$20,'Ecotox data'!P7&lt;='Model info'!$C$21,'Ecotox data'!U7&gt;='Model info'!$D$20,'Ecotox data'!U7&lt;='Model info'!$D$21,'Ecotox data'!M7&gt;='Model info'!$E$20,'Ecotox data'!M7&lt;='Model info'!$E$21),1,0)</f>
        <v>1</v>
      </c>
      <c r="X7" s="168">
        <f>IF(COUNTIF('Model info'!$H$18:$H$24,'Ecotox data'!B7)=1,7,IF(COUNTIF('Model info'!$J$18:$J$24,'Ecotox data'!C7)=1,6,IF(COUNTIF('Model info'!$K$18:$K$24,'Ecotox data'!D7)=1,5,IF(COUNTIF('Model info'!$L$2:$L$24,'Ecotox data'!E7)=1,4,IF(COUNTIF('Model info'!$M$18:$M$24,'Ecotox data'!F7)=1,3,IF(COUNTIF('Model info'!$N$18:$N$24,'Ecotox data'!G7)=1,2,IF(COUNTIF('Model info'!$O$18:$O$24,'Ecotox data'!H7)=1,1,0)))))))</f>
        <v>4</v>
      </c>
      <c r="Y7" s="176">
        <f t="shared" si="4"/>
        <v>5</v>
      </c>
    </row>
    <row r="8" spans="1:25">
      <c r="A8" s="126" t="s">
        <v>190</v>
      </c>
      <c r="B8" s="132">
        <v>0</v>
      </c>
      <c r="E8" s="29">
        <v>4</v>
      </c>
      <c r="F8" s="262" t="s">
        <v>16</v>
      </c>
      <c r="G8" s="27">
        <f>IF(AND('Ecotox data'!P8&gt;='Model info'!$C$4,'Ecotox data'!P8&lt;='Model info'!$C$5),1,0)</f>
        <v>1</v>
      </c>
      <c r="H8" s="171">
        <f>IF(COUNTIF('Model info'!$H$4:$H$10,'Ecotox data'!B8)=1,7,IF(COUNTIF('Model info'!$J$4:$J$10,'Ecotox data'!C8)=1,6,IF(COUNTIF('Model info'!$K$4:$K$10,'Ecotox data'!D8)=1,5,IF(COUNTIF('Model info'!$L$4:$L$10,'Ecotox data'!E8)=1,4,IF(COUNTIF('Model info'!$M$4:$M$10,'Ecotox data'!F8)=1,3,IF(COUNTIF('Model info'!$N$4:$N$10,'Ecotox data'!G8)=1,2,IF(COUNTIF('Model info'!$O$4:$O$10,'Ecotox data'!H8)=1,1,0)))))))</f>
        <v>5</v>
      </c>
      <c r="I8" s="177">
        <f t="shared" si="0"/>
        <v>6</v>
      </c>
      <c r="J8" s="35"/>
      <c r="K8" s="27">
        <f>IF(AND('Ecotox data'!U8&gt;='Model info'!$D$8,'Ecotox data'!U8&lt;='Model info'!$D$9),1,0)</f>
        <v>1</v>
      </c>
      <c r="L8" s="163">
        <f>IF(COUNTIF('Model info'!$H$12,'Ecotox data'!B8)=1,7,IF(COUNTIF('Model info'!$J$12,'Ecotox data'!C8)=1,6,IF(COUNTIF('Model info'!$K$12,'Ecotox data'!D8)=1,5,IF(COUNTIF('Model info'!$L$12,'Ecotox data'!E8)=1,4,IF(COUNTIF('Model info'!$M$12,'Ecotox data'!F8)=1,3,IF(COUNTIF('Model info'!$N$12,'Ecotox data'!G8)=1,2,IF(COUNTIF('Model info'!$O$12,'Ecotox data'!H8)=1,1,0)))))))</f>
        <v>0</v>
      </c>
      <c r="M8" s="182">
        <f t="shared" si="1"/>
        <v>1</v>
      </c>
      <c r="N8" s="35"/>
      <c r="O8" s="27">
        <f>IF(AND('Ecotox data'!M8&gt;='Model info'!$E$12,'Ecotox data'!M8&lt;='Model info'!$E$13),1,0)</f>
        <v>1</v>
      </c>
      <c r="P8" s="165">
        <f>IF(COUNTIF('Model info'!$H$14,'Ecotox data'!B8)=1,7,IF(COUNTIF('Model info'!$J$14,'Ecotox data'!C8)=1,6,IF(COUNTIF('Model info'!$K$14,'Ecotox data'!D8)=1,5,IF(COUNTIF('Model info'!$L$14,'Ecotox data'!E8)=1,4,IF(COUNTIF('Model info'!$M$14,'Ecotox data'!F8)=1,3,IF(COUNTIF('Model info'!$N$14,'Ecotox data'!G8)=1,2,IF(COUNTIF('Model info'!$O$14,'Ecotox data'!H8)=1,1,0)))))))</f>
        <v>1</v>
      </c>
      <c r="Q8" s="182">
        <f t="shared" si="2"/>
        <v>2</v>
      </c>
      <c r="R8" s="35"/>
      <c r="S8" s="27">
        <f>IF(AND('Ecotox data'!P8&gt;='Model info'!$C$16,'Ecotox data'!P8&lt;='Model info'!$C$17,'Ecotox data'!U8&gt;='Model info'!$D$16,'Ecotox data'!U8&lt;='Model info'!$D$17,'Ecotox data'!M8&gt;='Model info'!$E$16,'Ecotox data'!M8&lt;='Model info'!$E$17),1,0)</f>
        <v>1</v>
      </c>
      <c r="T8" s="170">
        <f>IF(COUNTIF('Model info'!$H$16,'Ecotox data'!B8)=1,7,IF(COUNTIF('Model info'!$J$16,'Ecotox data'!C8)=1,6,IF(COUNTIF('Model info'!$K$16,'Ecotox data'!D8)=1,5,IF(COUNTIF('Model info'!$L$16,'Ecotox data'!E8)=1,4,IF(COUNTIF('Model info'!$M$16,'Ecotox data'!F8)=1,3,IF(COUNTIF('Model info'!$N$16,'Ecotox data'!G8)=1,2,IF(COUNTIF('Model info'!$O$16,'Ecotox data'!H8)=1,1,0)))))))</f>
        <v>3</v>
      </c>
      <c r="U8" s="176">
        <f t="shared" si="3"/>
        <v>4</v>
      </c>
      <c r="V8" s="35"/>
      <c r="W8" s="27">
        <f>IF(AND('Ecotox data'!P8&gt;='Model info'!$C$20,'Ecotox data'!P8&lt;='Model info'!$C$21,'Ecotox data'!U8&gt;='Model info'!$D$20,'Ecotox data'!U8&lt;='Model info'!$D$21,'Ecotox data'!M8&gt;='Model info'!$E$20,'Ecotox data'!M8&lt;='Model info'!$E$21),1,0)</f>
        <v>1</v>
      </c>
      <c r="X8" s="168">
        <f>IF(COUNTIF('Model info'!$H$18:$H$24,'Ecotox data'!B8)=1,7,IF(COUNTIF('Model info'!$J$18:$J$24,'Ecotox data'!C8)=1,6,IF(COUNTIF('Model info'!$K$18:$K$24,'Ecotox data'!D8)=1,5,IF(COUNTIF('Model info'!$L$2:$L$24,'Ecotox data'!E8)=1,4,IF(COUNTIF('Model info'!$M$18:$M$24,'Ecotox data'!F8)=1,3,IF(COUNTIF('Model info'!$N$18:$N$24,'Ecotox data'!G8)=1,2,IF(COUNTIF('Model info'!$O$18:$O$24,'Ecotox data'!H8)=1,1,0)))))))</f>
        <v>4</v>
      </c>
      <c r="Y8" s="176">
        <f t="shared" si="4"/>
        <v>5</v>
      </c>
    </row>
    <row r="9" spans="1:25">
      <c r="E9" s="29">
        <v>5</v>
      </c>
      <c r="F9" s="262" t="s">
        <v>16</v>
      </c>
      <c r="G9" s="27">
        <f>IF(AND('Ecotox data'!P9&gt;='Model info'!$C$4,'Ecotox data'!P9&lt;='Model info'!$C$5),1,0)</f>
        <v>1</v>
      </c>
      <c r="H9" s="171">
        <f>IF(COUNTIF('Model info'!$H$4:$H$10,'Ecotox data'!B9)=1,7,IF(COUNTIF('Model info'!$J$4:$J$10,'Ecotox data'!C9)=1,6,IF(COUNTIF('Model info'!$K$4:$K$10,'Ecotox data'!D9)=1,5,IF(COUNTIF('Model info'!$L$4:$L$10,'Ecotox data'!E9)=1,4,IF(COUNTIF('Model info'!$M$4:$M$10,'Ecotox data'!F9)=1,3,IF(COUNTIF('Model info'!$N$4:$N$10,'Ecotox data'!G9)=1,2,IF(COUNTIF('Model info'!$O$4:$O$10,'Ecotox data'!H9)=1,1,0)))))))</f>
        <v>5</v>
      </c>
      <c r="I9" s="177">
        <f t="shared" si="0"/>
        <v>6</v>
      </c>
      <c r="J9" s="35"/>
      <c r="K9" s="27">
        <f>IF(AND('Ecotox data'!U9&gt;='Model info'!$D$8,'Ecotox data'!U9&lt;='Model info'!$D$9),1,0)</f>
        <v>1</v>
      </c>
      <c r="L9" s="163">
        <f>IF(COUNTIF('Model info'!$H$12,'Ecotox data'!B9)=1,7,IF(COUNTIF('Model info'!$J$12,'Ecotox data'!C9)=1,6,IF(COUNTIF('Model info'!$K$12,'Ecotox data'!D9)=1,5,IF(COUNTIF('Model info'!$L$12,'Ecotox data'!E9)=1,4,IF(COUNTIF('Model info'!$M$12,'Ecotox data'!F9)=1,3,IF(COUNTIF('Model info'!$N$12,'Ecotox data'!G9)=1,2,IF(COUNTIF('Model info'!$O$12,'Ecotox data'!H9)=1,1,0)))))))</f>
        <v>0</v>
      </c>
      <c r="M9" s="182">
        <f t="shared" si="1"/>
        <v>1</v>
      </c>
      <c r="N9" s="35"/>
      <c r="O9" s="27">
        <f>IF(AND('Ecotox data'!M9&gt;='Model info'!$E$12,'Ecotox data'!M9&lt;='Model info'!$E$13),1,0)</f>
        <v>1</v>
      </c>
      <c r="P9" s="165">
        <f>IF(COUNTIF('Model info'!$H$14,'Ecotox data'!B9)=1,7,IF(COUNTIF('Model info'!$J$14,'Ecotox data'!C9)=1,6,IF(COUNTIF('Model info'!$K$14,'Ecotox data'!D9)=1,5,IF(COUNTIF('Model info'!$L$14,'Ecotox data'!E9)=1,4,IF(COUNTIF('Model info'!$M$14,'Ecotox data'!F9)=1,3,IF(COUNTIF('Model info'!$N$14,'Ecotox data'!G9)=1,2,IF(COUNTIF('Model info'!$O$14,'Ecotox data'!H9)=1,1,0)))))))</f>
        <v>1</v>
      </c>
      <c r="Q9" s="182">
        <f t="shared" si="2"/>
        <v>2</v>
      </c>
      <c r="R9" s="35"/>
      <c r="S9" s="27">
        <f>IF(AND('Ecotox data'!P9&gt;='Model info'!$C$16,'Ecotox data'!P9&lt;='Model info'!$C$17,'Ecotox data'!U9&gt;='Model info'!$D$16,'Ecotox data'!U9&lt;='Model info'!$D$17,'Ecotox data'!M9&gt;='Model info'!$E$16,'Ecotox data'!M9&lt;='Model info'!$E$17),1,0)</f>
        <v>1</v>
      </c>
      <c r="T9" s="170">
        <f>IF(COUNTIF('Model info'!$H$16,'Ecotox data'!B9)=1,7,IF(COUNTIF('Model info'!$J$16,'Ecotox data'!C9)=1,6,IF(COUNTIF('Model info'!$K$16,'Ecotox data'!D9)=1,5,IF(COUNTIF('Model info'!$L$16,'Ecotox data'!E9)=1,4,IF(COUNTIF('Model info'!$M$16,'Ecotox data'!F9)=1,3,IF(COUNTIF('Model info'!$N$16,'Ecotox data'!G9)=1,2,IF(COUNTIF('Model info'!$O$16,'Ecotox data'!H9)=1,1,0)))))))</f>
        <v>3</v>
      </c>
      <c r="U9" s="176">
        <f t="shared" si="3"/>
        <v>4</v>
      </c>
      <c r="V9" s="35"/>
      <c r="W9" s="27">
        <f>IF(AND('Ecotox data'!P9&gt;='Model info'!$C$20,'Ecotox data'!P9&lt;='Model info'!$C$21,'Ecotox data'!U9&gt;='Model info'!$D$20,'Ecotox data'!U9&lt;='Model info'!$D$21,'Ecotox data'!M9&gt;='Model info'!$E$20,'Ecotox data'!M9&lt;='Model info'!$E$21),1,0)</f>
        <v>1</v>
      </c>
      <c r="X9" s="168">
        <f>IF(COUNTIF('Model info'!$H$18:$H$24,'Ecotox data'!B9)=1,7,IF(COUNTIF('Model info'!$J$18:$J$24,'Ecotox data'!C9)=1,6,IF(COUNTIF('Model info'!$K$18:$K$24,'Ecotox data'!D9)=1,5,IF(COUNTIF('Model info'!$L$2:$L$24,'Ecotox data'!E9)=1,4,IF(COUNTIF('Model info'!$M$18:$M$24,'Ecotox data'!F9)=1,3,IF(COUNTIF('Model info'!$N$18:$N$24,'Ecotox data'!G9)=1,2,IF(COUNTIF('Model info'!$O$18:$O$24,'Ecotox data'!H9)=1,1,0)))))))</f>
        <v>4</v>
      </c>
      <c r="Y9" s="176">
        <f t="shared" si="4"/>
        <v>5</v>
      </c>
    </row>
    <row r="10" spans="1:25">
      <c r="A10" s="125" t="s">
        <v>192</v>
      </c>
      <c r="E10" s="29">
        <v>6</v>
      </c>
      <c r="F10" s="262" t="s">
        <v>16</v>
      </c>
      <c r="G10" s="27">
        <f>IF(AND('Ecotox data'!P10&gt;='Model info'!$C$4,'Ecotox data'!P10&lt;='Model info'!$C$5),1,0)</f>
        <v>1</v>
      </c>
      <c r="H10" s="171">
        <f>IF(COUNTIF('Model info'!$H$4:$H$10,'Ecotox data'!B10)=1,7,IF(COUNTIF('Model info'!$J$4:$J$10,'Ecotox data'!C10)=1,6,IF(COUNTIF('Model info'!$K$4:$K$10,'Ecotox data'!D10)=1,5,IF(COUNTIF('Model info'!$L$4:$L$10,'Ecotox data'!E10)=1,4,IF(COUNTIF('Model info'!$M$4:$M$10,'Ecotox data'!F10)=1,3,IF(COUNTIF('Model info'!$N$4:$N$10,'Ecotox data'!G10)=1,2,IF(COUNTIF('Model info'!$O$4:$O$10,'Ecotox data'!H10)=1,1,0)))))))</f>
        <v>5</v>
      </c>
      <c r="I10" s="177">
        <f t="shared" si="0"/>
        <v>6</v>
      </c>
      <c r="J10" s="35"/>
      <c r="K10" s="27">
        <f>IF(AND('Ecotox data'!U10&gt;='Model info'!$D$8,'Ecotox data'!U10&lt;='Model info'!$D$9),1,0)</f>
        <v>1</v>
      </c>
      <c r="L10" s="163">
        <f>IF(COUNTIF('Model info'!$H$12,'Ecotox data'!B10)=1,7,IF(COUNTIF('Model info'!$J$12,'Ecotox data'!C10)=1,6,IF(COUNTIF('Model info'!$K$12,'Ecotox data'!D10)=1,5,IF(COUNTIF('Model info'!$L$12,'Ecotox data'!E10)=1,4,IF(COUNTIF('Model info'!$M$12,'Ecotox data'!F10)=1,3,IF(COUNTIF('Model info'!$N$12,'Ecotox data'!G10)=1,2,IF(COUNTIF('Model info'!$O$12,'Ecotox data'!H10)=1,1,0)))))))</f>
        <v>0</v>
      </c>
      <c r="M10" s="182">
        <f t="shared" si="1"/>
        <v>1</v>
      </c>
      <c r="N10" s="35"/>
      <c r="O10" s="27">
        <f>IF(AND('Ecotox data'!M10&gt;='Model info'!$E$12,'Ecotox data'!M10&lt;='Model info'!$E$13),1,0)</f>
        <v>1</v>
      </c>
      <c r="P10" s="165">
        <f>IF(COUNTIF('Model info'!$H$14,'Ecotox data'!B10)=1,7,IF(COUNTIF('Model info'!$J$14,'Ecotox data'!C10)=1,6,IF(COUNTIF('Model info'!$K$14,'Ecotox data'!D10)=1,5,IF(COUNTIF('Model info'!$L$14,'Ecotox data'!E10)=1,4,IF(COUNTIF('Model info'!$M$14,'Ecotox data'!F10)=1,3,IF(COUNTIF('Model info'!$N$14,'Ecotox data'!G10)=1,2,IF(COUNTIF('Model info'!$O$14,'Ecotox data'!H10)=1,1,0)))))))</f>
        <v>1</v>
      </c>
      <c r="Q10" s="182">
        <f t="shared" si="2"/>
        <v>2</v>
      </c>
      <c r="R10" s="35"/>
      <c r="S10" s="27">
        <f>IF(AND('Ecotox data'!P10&gt;='Model info'!$C$16,'Ecotox data'!P10&lt;='Model info'!$C$17,'Ecotox data'!U10&gt;='Model info'!$D$16,'Ecotox data'!U10&lt;='Model info'!$D$17,'Ecotox data'!M10&gt;='Model info'!$E$16,'Ecotox data'!M10&lt;='Model info'!$E$17),1,0)</f>
        <v>1</v>
      </c>
      <c r="T10" s="170">
        <f>IF(COUNTIF('Model info'!$H$16,'Ecotox data'!B10)=1,7,IF(COUNTIF('Model info'!$J$16,'Ecotox data'!C10)=1,6,IF(COUNTIF('Model info'!$K$16,'Ecotox data'!D10)=1,5,IF(COUNTIF('Model info'!$L$16,'Ecotox data'!E10)=1,4,IF(COUNTIF('Model info'!$M$16,'Ecotox data'!F10)=1,3,IF(COUNTIF('Model info'!$N$16,'Ecotox data'!G10)=1,2,IF(COUNTIF('Model info'!$O$16,'Ecotox data'!H10)=1,1,0)))))))</f>
        <v>3</v>
      </c>
      <c r="U10" s="176">
        <f t="shared" si="3"/>
        <v>4</v>
      </c>
      <c r="V10" s="35"/>
      <c r="W10" s="27">
        <f>IF(AND('Ecotox data'!P10&gt;='Model info'!$C$20,'Ecotox data'!P10&lt;='Model info'!$C$21,'Ecotox data'!U10&gt;='Model info'!$D$20,'Ecotox data'!U10&lt;='Model info'!$D$21,'Ecotox data'!M10&gt;='Model info'!$E$20,'Ecotox data'!M10&lt;='Model info'!$E$21),1,0)</f>
        <v>1</v>
      </c>
      <c r="X10" s="168">
        <f>IF(COUNTIF('Model info'!$H$18:$H$24,'Ecotox data'!B10)=1,7,IF(COUNTIF('Model info'!$J$18:$J$24,'Ecotox data'!C10)=1,6,IF(COUNTIF('Model info'!$K$18:$K$24,'Ecotox data'!D10)=1,5,IF(COUNTIF('Model info'!$L$2:$L$24,'Ecotox data'!E10)=1,4,IF(COUNTIF('Model info'!$M$18:$M$24,'Ecotox data'!F10)=1,3,IF(COUNTIF('Model info'!$N$18:$N$24,'Ecotox data'!G10)=1,2,IF(COUNTIF('Model info'!$O$18:$O$24,'Ecotox data'!H10)=1,1,0)))))))</f>
        <v>4</v>
      </c>
      <c r="Y10" s="176">
        <f t="shared" si="4"/>
        <v>5</v>
      </c>
    </row>
    <row r="11" spans="1:25">
      <c r="A11" s="126" t="s">
        <v>193</v>
      </c>
      <c r="B11" s="133">
        <v>7</v>
      </c>
      <c r="E11" s="29">
        <v>7</v>
      </c>
      <c r="F11" s="262" t="s">
        <v>16</v>
      </c>
      <c r="G11" s="27">
        <f>IF(AND('Ecotox data'!P11&gt;='Model info'!$C$4,'Ecotox data'!P11&lt;='Model info'!$C$5),1,0)</f>
        <v>1</v>
      </c>
      <c r="H11" s="171">
        <f>IF(COUNTIF('Model info'!$H$4:$H$10,'Ecotox data'!B11)=1,7,IF(COUNTIF('Model info'!$J$4:$J$10,'Ecotox data'!C11)=1,6,IF(COUNTIF('Model info'!$K$4:$K$10,'Ecotox data'!D11)=1,5,IF(COUNTIF('Model info'!$L$4:$L$10,'Ecotox data'!E11)=1,4,IF(COUNTIF('Model info'!$M$4:$M$10,'Ecotox data'!F11)=1,3,IF(COUNTIF('Model info'!$N$4:$N$10,'Ecotox data'!G11)=1,2,IF(COUNTIF('Model info'!$O$4:$O$10,'Ecotox data'!H11)=1,1,0)))))))</f>
        <v>5</v>
      </c>
      <c r="I11" s="177">
        <f t="shared" si="0"/>
        <v>6</v>
      </c>
      <c r="J11" s="35"/>
      <c r="K11" s="27">
        <f>IF(AND('Ecotox data'!U11&gt;='Model info'!$D$8,'Ecotox data'!U11&lt;='Model info'!$D$9),1,0)</f>
        <v>1</v>
      </c>
      <c r="L11" s="163">
        <f>IF(COUNTIF('Model info'!$H$12,'Ecotox data'!B11)=1,7,IF(COUNTIF('Model info'!$J$12,'Ecotox data'!C11)=1,6,IF(COUNTIF('Model info'!$K$12,'Ecotox data'!D11)=1,5,IF(COUNTIF('Model info'!$L$12,'Ecotox data'!E11)=1,4,IF(COUNTIF('Model info'!$M$12,'Ecotox data'!F11)=1,3,IF(COUNTIF('Model info'!$N$12,'Ecotox data'!G11)=1,2,IF(COUNTIF('Model info'!$O$12,'Ecotox data'!H11)=1,1,0)))))))</f>
        <v>0</v>
      </c>
      <c r="M11" s="182">
        <f t="shared" si="1"/>
        <v>1</v>
      </c>
      <c r="N11" s="35"/>
      <c r="O11" s="27">
        <f>IF(AND('Ecotox data'!M11&gt;='Model info'!$E$12,'Ecotox data'!M11&lt;='Model info'!$E$13),1,0)</f>
        <v>1</v>
      </c>
      <c r="P11" s="165">
        <f>IF(COUNTIF('Model info'!$H$14,'Ecotox data'!B11)=1,7,IF(COUNTIF('Model info'!$J$14,'Ecotox data'!C11)=1,6,IF(COUNTIF('Model info'!$K$14,'Ecotox data'!D11)=1,5,IF(COUNTIF('Model info'!$L$14,'Ecotox data'!E11)=1,4,IF(COUNTIF('Model info'!$M$14,'Ecotox data'!F11)=1,3,IF(COUNTIF('Model info'!$N$14,'Ecotox data'!G11)=1,2,IF(COUNTIF('Model info'!$O$14,'Ecotox data'!H11)=1,1,0)))))))</f>
        <v>1</v>
      </c>
      <c r="Q11" s="182">
        <f t="shared" si="2"/>
        <v>2</v>
      </c>
      <c r="R11" s="35"/>
      <c r="S11" s="27">
        <f>IF(AND('Ecotox data'!P11&gt;='Model info'!$C$16,'Ecotox data'!P11&lt;='Model info'!$C$17,'Ecotox data'!U11&gt;='Model info'!$D$16,'Ecotox data'!U11&lt;='Model info'!$D$17,'Ecotox data'!M11&gt;='Model info'!$E$16,'Ecotox data'!M11&lt;='Model info'!$E$17),1,0)</f>
        <v>1</v>
      </c>
      <c r="T11" s="170">
        <f>IF(COUNTIF('Model info'!$H$16,'Ecotox data'!B11)=1,7,IF(COUNTIF('Model info'!$J$16,'Ecotox data'!C11)=1,6,IF(COUNTIF('Model info'!$K$16,'Ecotox data'!D11)=1,5,IF(COUNTIF('Model info'!$L$16,'Ecotox data'!E11)=1,4,IF(COUNTIF('Model info'!$M$16,'Ecotox data'!F11)=1,3,IF(COUNTIF('Model info'!$N$16,'Ecotox data'!G11)=1,2,IF(COUNTIF('Model info'!$O$16,'Ecotox data'!H11)=1,1,0)))))))</f>
        <v>3</v>
      </c>
      <c r="U11" s="176">
        <f t="shared" si="3"/>
        <v>4</v>
      </c>
      <c r="V11" s="35"/>
      <c r="W11" s="27">
        <f>IF(AND('Ecotox data'!P11&gt;='Model info'!$C$20,'Ecotox data'!P11&lt;='Model info'!$C$21,'Ecotox data'!U11&gt;='Model info'!$D$20,'Ecotox data'!U11&lt;='Model info'!$D$21,'Ecotox data'!M11&gt;='Model info'!$E$20,'Ecotox data'!M11&lt;='Model info'!$E$21),1,0)</f>
        <v>1</v>
      </c>
      <c r="X11" s="168">
        <f>IF(COUNTIF('Model info'!$H$18:$H$24,'Ecotox data'!B11)=1,7,IF(COUNTIF('Model info'!$J$18:$J$24,'Ecotox data'!C11)=1,6,IF(COUNTIF('Model info'!$K$18:$K$24,'Ecotox data'!D11)=1,5,IF(COUNTIF('Model info'!$L$2:$L$24,'Ecotox data'!E11)=1,4,IF(COUNTIF('Model info'!$M$18:$M$24,'Ecotox data'!F11)=1,3,IF(COUNTIF('Model info'!$N$18:$N$24,'Ecotox data'!G11)=1,2,IF(COUNTIF('Model info'!$O$18:$O$24,'Ecotox data'!H11)=1,1,0)))))))</f>
        <v>4</v>
      </c>
      <c r="Y11" s="176">
        <f t="shared" si="4"/>
        <v>5</v>
      </c>
    </row>
    <row r="12" spans="1:25">
      <c r="A12" s="126" t="s">
        <v>194</v>
      </c>
      <c r="B12" s="134">
        <v>6</v>
      </c>
      <c r="E12" s="29">
        <v>8</v>
      </c>
      <c r="F12" s="262" t="s">
        <v>16</v>
      </c>
      <c r="G12" s="27">
        <f>IF(AND('Ecotox data'!P12&gt;='Model info'!$C$4,'Ecotox data'!P12&lt;='Model info'!$C$5),1,0)</f>
        <v>1</v>
      </c>
      <c r="H12" s="171">
        <f>IF(COUNTIF('Model info'!$H$4:$H$10,'Ecotox data'!B12)=1,7,IF(COUNTIF('Model info'!$J$4:$J$10,'Ecotox data'!C12)=1,6,IF(COUNTIF('Model info'!$K$4:$K$10,'Ecotox data'!D12)=1,5,IF(COUNTIF('Model info'!$L$4:$L$10,'Ecotox data'!E12)=1,4,IF(COUNTIF('Model info'!$M$4:$M$10,'Ecotox data'!F12)=1,3,IF(COUNTIF('Model info'!$N$4:$N$10,'Ecotox data'!G12)=1,2,IF(COUNTIF('Model info'!$O$4:$O$10,'Ecotox data'!H12)=1,1,0)))))))</f>
        <v>5</v>
      </c>
      <c r="I12" s="177">
        <f t="shared" si="0"/>
        <v>6</v>
      </c>
      <c r="J12" s="35"/>
      <c r="K12" s="27">
        <f>IF(AND('Ecotox data'!U12&gt;='Model info'!$D$8,'Ecotox data'!U12&lt;='Model info'!$D$9),1,0)</f>
        <v>1</v>
      </c>
      <c r="L12" s="163">
        <f>IF(COUNTIF('Model info'!$H$12,'Ecotox data'!B12)=1,7,IF(COUNTIF('Model info'!$J$12,'Ecotox data'!C12)=1,6,IF(COUNTIF('Model info'!$K$12,'Ecotox data'!D12)=1,5,IF(COUNTIF('Model info'!$L$12,'Ecotox data'!E12)=1,4,IF(COUNTIF('Model info'!$M$12,'Ecotox data'!F12)=1,3,IF(COUNTIF('Model info'!$N$12,'Ecotox data'!G12)=1,2,IF(COUNTIF('Model info'!$O$12,'Ecotox data'!H12)=1,1,0)))))))</f>
        <v>0</v>
      </c>
      <c r="M12" s="182">
        <f t="shared" si="1"/>
        <v>1</v>
      </c>
      <c r="N12" s="35"/>
      <c r="O12" s="27">
        <f>IF(AND('Ecotox data'!M12&gt;='Model info'!$E$12,'Ecotox data'!M12&lt;='Model info'!$E$13),1,0)</f>
        <v>1</v>
      </c>
      <c r="P12" s="165">
        <f>IF(COUNTIF('Model info'!$H$14,'Ecotox data'!B12)=1,7,IF(COUNTIF('Model info'!$J$14,'Ecotox data'!C12)=1,6,IF(COUNTIF('Model info'!$K$14,'Ecotox data'!D12)=1,5,IF(COUNTIF('Model info'!$L$14,'Ecotox data'!E12)=1,4,IF(COUNTIF('Model info'!$M$14,'Ecotox data'!F12)=1,3,IF(COUNTIF('Model info'!$N$14,'Ecotox data'!G12)=1,2,IF(COUNTIF('Model info'!$O$14,'Ecotox data'!H12)=1,1,0)))))))</f>
        <v>1</v>
      </c>
      <c r="Q12" s="182">
        <f t="shared" si="2"/>
        <v>2</v>
      </c>
      <c r="R12" s="35"/>
      <c r="S12" s="27">
        <f>IF(AND('Ecotox data'!P12&gt;='Model info'!$C$16,'Ecotox data'!P12&lt;='Model info'!$C$17,'Ecotox data'!U12&gt;='Model info'!$D$16,'Ecotox data'!U12&lt;='Model info'!$D$17,'Ecotox data'!M12&gt;='Model info'!$E$16,'Ecotox data'!M12&lt;='Model info'!$E$17),1,0)</f>
        <v>1</v>
      </c>
      <c r="T12" s="170">
        <f>IF(COUNTIF('Model info'!$H$16,'Ecotox data'!B12)=1,7,IF(COUNTIF('Model info'!$J$16,'Ecotox data'!C12)=1,6,IF(COUNTIF('Model info'!$K$16,'Ecotox data'!D12)=1,5,IF(COUNTIF('Model info'!$L$16,'Ecotox data'!E12)=1,4,IF(COUNTIF('Model info'!$M$16,'Ecotox data'!F12)=1,3,IF(COUNTIF('Model info'!$N$16,'Ecotox data'!G12)=1,2,IF(COUNTIF('Model info'!$O$16,'Ecotox data'!H12)=1,1,0)))))))</f>
        <v>3</v>
      </c>
      <c r="U12" s="176">
        <f t="shared" si="3"/>
        <v>4</v>
      </c>
      <c r="V12" s="35"/>
      <c r="W12" s="27">
        <f>IF(AND('Ecotox data'!P12&gt;='Model info'!$C$20,'Ecotox data'!P12&lt;='Model info'!$C$21,'Ecotox data'!U12&gt;='Model info'!$D$20,'Ecotox data'!U12&lt;='Model info'!$D$21,'Ecotox data'!M12&gt;='Model info'!$E$20,'Ecotox data'!M12&lt;='Model info'!$E$21),1,0)</f>
        <v>1</v>
      </c>
      <c r="X12" s="168">
        <f>IF(COUNTIF('Model info'!$H$18:$H$24,'Ecotox data'!B12)=1,7,IF(COUNTIF('Model info'!$J$18:$J$24,'Ecotox data'!C12)=1,6,IF(COUNTIF('Model info'!$K$18:$K$24,'Ecotox data'!D12)=1,5,IF(COUNTIF('Model info'!$L$2:$L$24,'Ecotox data'!E12)=1,4,IF(COUNTIF('Model info'!$M$18:$M$24,'Ecotox data'!F12)=1,3,IF(COUNTIF('Model info'!$N$18:$N$24,'Ecotox data'!G12)=1,2,IF(COUNTIF('Model info'!$O$18:$O$24,'Ecotox data'!H12)=1,1,0)))))))</f>
        <v>4</v>
      </c>
      <c r="Y12" s="176">
        <f t="shared" si="4"/>
        <v>5</v>
      </c>
    </row>
    <row r="13" spans="1:25">
      <c r="A13" s="126" t="s">
        <v>195</v>
      </c>
      <c r="B13" s="134">
        <v>5</v>
      </c>
      <c r="E13" s="29">
        <v>9</v>
      </c>
      <c r="F13" s="262" t="s">
        <v>16</v>
      </c>
      <c r="G13" s="27">
        <f>IF(AND('Ecotox data'!P13&gt;='Model info'!$C$4,'Ecotox data'!P13&lt;='Model info'!$C$5),1,0)</f>
        <v>1</v>
      </c>
      <c r="H13" s="171">
        <f>IF(COUNTIF('Model info'!$H$4:$H$10,'Ecotox data'!B13)=1,7,IF(COUNTIF('Model info'!$J$4:$J$10,'Ecotox data'!C13)=1,6,IF(COUNTIF('Model info'!$K$4:$K$10,'Ecotox data'!D13)=1,5,IF(COUNTIF('Model info'!$L$4:$L$10,'Ecotox data'!E13)=1,4,IF(COUNTIF('Model info'!$M$4:$M$10,'Ecotox data'!F13)=1,3,IF(COUNTIF('Model info'!$N$4:$N$10,'Ecotox data'!G13)=1,2,IF(COUNTIF('Model info'!$O$4:$O$10,'Ecotox data'!H13)=1,1,0)))))))</f>
        <v>5</v>
      </c>
      <c r="I13" s="177">
        <f t="shared" si="0"/>
        <v>6</v>
      </c>
      <c r="J13" s="35"/>
      <c r="K13" s="27">
        <f>IF(AND('Ecotox data'!U13&gt;='Model info'!$D$8,'Ecotox data'!U13&lt;='Model info'!$D$9),1,0)</f>
        <v>1</v>
      </c>
      <c r="L13" s="163">
        <f>IF(COUNTIF('Model info'!$H$12,'Ecotox data'!B13)=1,7,IF(COUNTIF('Model info'!$J$12,'Ecotox data'!C13)=1,6,IF(COUNTIF('Model info'!$K$12,'Ecotox data'!D13)=1,5,IF(COUNTIF('Model info'!$L$12,'Ecotox data'!E13)=1,4,IF(COUNTIF('Model info'!$M$12,'Ecotox data'!F13)=1,3,IF(COUNTIF('Model info'!$N$12,'Ecotox data'!G13)=1,2,IF(COUNTIF('Model info'!$O$12,'Ecotox data'!H13)=1,1,0)))))))</f>
        <v>0</v>
      </c>
      <c r="M13" s="182">
        <f t="shared" si="1"/>
        <v>1</v>
      </c>
      <c r="N13" s="35"/>
      <c r="O13" s="27">
        <f>IF(AND('Ecotox data'!M13&gt;='Model info'!$E$12,'Ecotox data'!M13&lt;='Model info'!$E$13),1,0)</f>
        <v>1</v>
      </c>
      <c r="P13" s="165">
        <f>IF(COUNTIF('Model info'!$H$14,'Ecotox data'!B13)=1,7,IF(COUNTIF('Model info'!$J$14,'Ecotox data'!C13)=1,6,IF(COUNTIF('Model info'!$K$14,'Ecotox data'!D13)=1,5,IF(COUNTIF('Model info'!$L$14,'Ecotox data'!E13)=1,4,IF(COUNTIF('Model info'!$M$14,'Ecotox data'!F13)=1,3,IF(COUNTIF('Model info'!$N$14,'Ecotox data'!G13)=1,2,IF(COUNTIF('Model info'!$O$14,'Ecotox data'!H13)=1,1,0)))))))</f>
        <v>1</v>
      </c>
      <c r="Q13" s="182">
        <f t="shared" si="2"/>
        <v>2</v>
      </c>
      <c r="R13" s="35"/>
      <c r="S13" s="27">
        <f>IF(AND('Ecotox data'!P13&gt;='Model info'!$C$16,'Ecotox data'!P13&lt;='Model info'!$C$17,'Ecotox data'!U13&gt;='Model info'!$D$16,'Ecotox data'!U13&lt;='Model info'!$D$17,'Ecotox data'!M13&gt;='Model info'!$E$16,'Ecotox data'!M13&lt;='Model info'!$E$17),1,0)</f>
        <v>1</v>
      </c>
      <c r="T13" s="170">
        <f>IF(COUNTIF('Model info'!$H$16,'Ecotox data'!B13)=1,7,IF(COUNTIF('Model info'!$J$16,'Ecotox data'!C13)=1,6,IF(COUNTIF('Model info'!$K$16,'Ecotox data'!D13)=1,5,IF(COUNTIF('Model info'!$L$16,'Ecotox data'!E13)=1,4,IF(COUNTIF('Model info'!$M$16,'Ecotox data'!F13)=1,3,IF(COUNTIF('Model info'!$N$16,'Ecotox data'!G13)=1,2,IF(COUNTIF('Model info'!$O$16,'Ecotox data'!H13)=1,1,0)))))))</f>
        <v>3</v>
      </c>
      <c r="U13" s="176">
        <f t="shared" si="3"/>
        <v>4</v>
      </c>
      <c r="V13" s="35"/>
      <c r="W13" s="27">
        <f>IF(AND('Ecotox data'!P13&gt;='Model info'!$C$20,'Ecotox data'!P13&lt;='Model info'!$C$21,'Ecotox data'!U13&gt;='Model info'!$D$20,'Ecotox data'!U13&lt;='Model info'!$D$21,'Ecotox data'!M13&gt;='Model info'!$E$20,'Ecotox data'!M13&lt;='Model info'!$E$21),1,0)</f>
        <v>1</v>
      </c>
      <c r="X13" s="168">
        <f>IF(COUNTIF('Model info'!$H$18:$H$24,'Ecotox data'!B13)=1,7,IF(COUNTIF('Model info'!$J$18:$J$24,'Ecotox data'!C13)=1,6,IF(COUNTIF('Model info'!$K$18:$K$24,'Ecotox data'!D13)=1,5,IF(COUNTIF('Model info'!$L$2:$L$24,'Ecotox data'!E13)=1,4,IF(COUNTIF('Model info'!$M$18:$M$24,'Ecotox data'!F13)=1,3,IF(COUNTIF('Model info'!$N$18:$N$24,'Ecotox data'!G13)=1,2,IF(COUNTIF('Model info'!$O$18:$O$24,'Ecotox data'!H13)=1,1,0)))))))</f>
        <v>4</v>
      </c>
      <c r="Y13" s="176">
        <f t="shared" si="4"/>
        <v>5</v>
      </c>
    </row>
    <row r="14" spans="1:25">
      <c r="A14" s="126" t="s">
        <v>199</v>
      </c>
      <c r="B14" s="135">
        <v>4</v>
      </c>
      <c r="E14" s="29">
        <v>10</v>
      </c>
      <c r="F14" s="262" t="s">
        <v>16</v>
      </c>
      <c r="G14" s="27">
        <f>IF(AND('Ecotox data'!P14&gt;='Model info'!$C$4,'Ecotox data'!P14&lt;='Model info'!$C$5),1,0)</f>
        <v>1</v>
      </c>
      <c r="H14" s="171">
        <f>IF(COUNTIF('Model info'!$H$4:$H$10,'Ecotox data'!B14)=1,7,IF(COUNTIF('Model info'!$J$4:$J$10,'Ecotox data'!C14)=1,6,IF(COUNTIF('Model info'!$K$4:$K$10,'Ecotox data'!D14)=1,5,IF(COUNTIF('Model info'!$L$4:$L$10,'Ecotox data'!E14)=1,4,IF(COUNTIF('Model info'!$M$4:$M$10,'Ecotox data'!F14)=1,3,IF(COUNTIF('Model info'!$N$4:$N$10,'Ecotox data'!G14)=1,2,IF(COUNTIF('Model info'!$O$4:$O$10,'Ecotox data'!H14)=1,1,0)))))))</f>
        <v>5</v>
      </c>
      <c r="I14" s="177">
        <f t="shared" si="0"/>
        <v>6</v>
      </c>
      <c r="J14" s="35"/>
      <c r="K14" s="27">
        <f>IF(AND('Ecotox data'!U14&gt;='Model info'!$D$8,'Ecotox data'!U14&lt;='Model info'!$D$9),1,0)</f>
        <v>1</v>
      </c>
      <c r="L14" s="163">
        <f>IF(COUNTIF('Model info'!$H$12,'Ecotox data'!B14)=1,7,IF(COUNTIF('Model info'!$J$12,'Ecotox data'!C14)=1,6,IF(COUNTIF('Model info'!$K$12,'Ecotox data'!D14)=1,5,IF(COUNTIF('Model info'!$L$12,'Ecotox data'!E14)=1,4,IF(COUNTIF('Model info'!$M$12,'Ecotox data'!F14)=1,3,IF(COUNTIF('Model info'!$N$12,'Ecotox data'!G14)=1,2,IF(COUNTIF('Model info'!$O$12,'Ecotox data'!H14)=1,1,0)))))))</f>
        <v>0</v>
      </c>
      <c r="M14" s="182">
        <f t="shared" si="1"/>
        <v>1</v>
      </c>
      <c r="N14" s="35"/>
      <c r="O14" s="27">
        <f>IF(AND('Ecotox data'!M14&gt;='Model info'!$E$12,'Ecotox data'!M14&lt;='Model info'!$E$13),1,0)</f>
        <v>1</v>
      </c>
      <c r="P14" s="165">
        <f>IF(COUNTIF('Model info'!$H$14,'Ecotox data'!B14)=1,7,IF(COUNTIF('Model info'!$J$14,'Ecotox data'!C14)=1,6,IF(COUNTIF('Model info'!$K$14,'Ecotox data'!D14)=1,5,IF(COUNTIF('Model info'!$L$14,'Ecotox data'!E14)=1,4,IF(COUNTIF('Model info'!$M$14,'Ecotox data'!F14)=1,3,IF(COUNTIF('Model info'!$N$14,'Ecotox data'!G14)=1,2,IF(COUNTIF('Model info'!$O$14,'Ecotox data'!H14)=1,1,0)))))))</f>
        <v>1</v>
      </c>
      <c r="Q14" s="182">
        <f t="shared" si="2"/>
        <v>2</v>
      </c>
      <c r="R14" s="35"/>
      <c r="S14" s="27">
        <f>IF(AND('Ecotox data'!P14&gt;='Model info'!$C$16,'Ecotox data'!P14&lt;='Model info'!$C$17,'Ecotox data'!U14&gt;='Model info'!$D$16,'Ecotox data'!U14&lt;='Model info'!$D$17,'Ecotox data'!M14&gt;='Model info'!$E$16,'Ecotox data'!M14&lt;='Model info'!$E$17),1,0)</f>
        <v>1</v>
      </c>
      <c r="T14" s="170">
        <f>IF(COUNTIF('Model info'!$H$16,'Ecotox data'!B14)=1,7,IF(COUNTIF('Model info'!$J$16,'Ecotox data'!C14)=1,6,IF(COUNTIF('Model info'!$K$16,'Ecotox data'!D14)=1,5,IF(COUNTIF('Model info'!$L$16,'Ecotox data'!E14)=1,4,IF(COUNTIF('Model info'!$M$16,'Ecotox data'!F14)=1,3,IF(COUNTIF('Model info'!$N$16,'Ecotox data'!G14)=1,2,IF(COUNTIF('Model info'!$O$16,'Ecotox data'!H14)=1,1,0)))))))</f>
        <v>3</v>
      </c>
      <c r="U14" s="176">
        <f t="shared" si="3"/>
        <v>4</v>
      </c>
      <c r="V14" s="35"/>
      <c r="W14" s="27">
        <f>IF(AND('Ecotox data'!P14&gt;='Model info'!$C$20,'Ecotox data'!P14&lt;='Model info'!$C$21,'Ecotox data'!U14&gt;='Model info'!$D$20,'Ecotox data'!U14&lt;='Model info'!$D$21,'Ecotox data'!M14&gt;='Model info'!$E$20,'Ecotox data'!M14&lt;='Model info'!$E$21),1,0)</f>
        <v>1</v>
      </c>
      <c r="X14" s="168">
        <f>IF(COUNTIF('Model info'!$H$18:$H$24,'Ecotox data'!B14)=1,7,IF(COUNTIF('Model info'!$J$18:$J$24,'Ecotox data'!C14)=1,6,IF(COUNTIF('Model info'!$K$18:$K$24,'Ecotox data'!D14)=1,5,IF(COUNTIF('Model info'!$L$2:$L$24,'Ecotox data'!E14)=1,4,IF(COUNTIF('Model info'!$M$18:$M$24,'Ecotox data'!F14)=1,3,IF(COUNTIF('Model info'!$N$18:$N$24,'Ecotox data'!G14)=1,2,IF(COUNTIF('Model info'!$O$18:$O$24,'Ecotox data'!H14)=1,1,0)))))))</f>
        <v>4</v>
      </c>
      <c r="Y14" s="176">
        <f t="shared" si="4"/>
        <v>5</v>
      </c>
    </row>
    <row r="15" spans="1:25">
      <c r="A15" s="126" t="s">
        <v>200</v>
      </c>
      <c r="B15" s="135">
        <v>3</v>
      </c>
      <c r="E15" s="29">
        <v>11</v>
      </c>
      <c r="F15" s="262" t="s">
        <v>16</v>
      </c>
      <c r="G15" s="27">
        <f>IF(AND('Ecotox data'!P15&gt;='Model info'!$C$4,'Ecotox data'!P15&lt;='Model info'!$C$5),1,0)</f>
        <v>1</v>
      </c>
      <c r="H15" s="171">
        <f>IF(COUNTIF('Model info'!$H$4:$H$10,'Ecotox data'!B15)=1,7,IF(COUNTIF('Model info'!$J$4:$J$10,'Ecotox data'!C15)=1,6,IF(COUNTIF('Model info'!$K$4:$K$10,'Ecotox data'!D15)=1,5,IF(COUNTIF('Model info'!$L$4:$L$10,'Ecotox data'!E15)=1,4,IF(COUNTIF('Model info'!$M$4:$M$10,'Ecotox data'!F15)=1,3,IF(COUNTIF('Model info'!$N$4:$N$10,'Ecotox data'!G15)=1,2,IF(COUNTIF('Model info'!$O$4:$O$10,'Ecotox data'!H15)=1,1,0)))))))</f>
        <v>5</v>
      </c>
      <c r="I15" s="177">
        <f t="shared" si="0"/>
        <v>6</v>
      </c>
      <c r="J15" s="35"/>
      <c r="K15" s="27">
        <f>IF(AND('Ecotox data'!U15&gt;='Model info'!$D$8,'Ecotox data'!U15&lt;='Model info'!$D$9),1,0)</f>
        <v>1</v>
      </c>
      <c r="L15" s="163">
        <f>IF(COUNTIF('Model info'!$H$12,'Ecotox data'!B15)=1,7,IF(COUNTIF('Model info'!$J$12,'Ecotox data'!C15)=1,6,IF(COUNTIF('Model info'!$K$12,'Ecotox data'!D15)=1,5,IF(COUNTIF('Model info'!$L$12,'Ecotox data'!E15)=1,4,IF(COUNTIF('Model info'!$M$12,'Ecotox data'!F15)=1,3,IF(COUNTIF('Model info'!$N$12,'Ecotox data'!G15)=1,2,IF(COUNTIF('Model info'!$O$12,'Ecotox data'!H15)=1,1,0)))))))</f>
        <v>0</v>
      </c>
      <c r="M15" s="182">
        <f t="shared" si="1"/>
        <v>1</v>
      </c>
      <c r="N15" s="35"/>
      <c r="O15" s="27">
        <f>IF(AND('Ecotox data'!M15&gt;='Model info'!$E$12,'Ecotox data'!M15&lt;='Model info'!$E$13),1,0)</f>
        <v>1</v>
      </c>
      <c r="P15" s="165">
        <f>IF(COUNTIF('Model info'!$H$14,'Ecotox data'!B15)=1,7,IF(COUNTIF('Model info'!$J$14,'Ecotox data'!C15)=1,6,IF(COUNTIF('Model info'!$K$14,'Ecotox data'!D15)=1,5,IF(COUNTIF('Model info'!$L$14,'Ecotox data'!E15)=1,4,IF(COUNTIF('Model info'!$M$14,'Ecotox data'!F15)=1,3,IF(COUNTIF('Model info'!$N$14,'Ecotox data'!G15)=1,2,IF(COUNTIF('Model info'!$O$14,'Ecotox data'!H15)=1,1,0)))))))</f>
        <v>1</v>
      </c>
      <c r="Q15" s="182">
        <f t="shared" si="2"/>
        <v>2</v>
      </c>
      <c r="R15" s="35"/>
      <c r="S15" s="27">
        <f>IF(AND('Ecotox data'!P15&gt;='Model info'!$C$16,'Ecotox data'!P15&lt;='Model info'!$C$17,'Ecotox data'!U15&gt;='Model info'!$D$16,'Ecotox data'!U15&lt;='Model info'!$D$17,'Ecotox data'!M15&gt;='Model info'!$E$16,'Ecotox data'!M15&lt;='Model info'!$E$17),1,0)</f>
        <v>1</v>
      </c>
      <c r="T15" s="170">
        <f>IF(COUNTIF('Model info'!$H$16,'Ecotox data'!B15)=1,7,IF(COUNTIF('Model info'!$J$16,'Ecotox data'!C15)=1,6,IF(COUNTIF('Model info'!$K$16,'Ecotox data'!D15)=1,5,IF(COUNTIF('Model info'!$L$16,'Ecotox data'!E15)=1,4,IF(COUNTIF('Model info'!$M$16,'Ecotox data'!F15)=1,3,IF(COUNTIF('Model info'!$N$16,'Ecotox data'!G15)=1,2,IF(COUNTIF('Model info'!$O$16,'Ecotox data'!H15)=1,1,0)))))))</f>
        <v>3</v>
      </c>
      <c r="U15" s="176">
        <f t="shared" si="3"/>
        <v>4</v>
      </c>
      <c r="V15" s="35"/>
      <c r="W15" s="27">
        <f>IF(AND('Ecotox data'!P15&gt;='Model info'!$C$20,'Ecotox data'!P15&lt;='Model info'!$C$21,'Ecotox data'!U15&gt;='Model info'!$D$20,'Ecotox data'!U15&lt;='Model info'!$D$21,'Ecotox data'!M15&gt;='Model info'!$E$20,'Ecotox data'!M15&lt;='Model info'!$E$21),1,0)</f>
        <v>1</v>
      </c>
      <c r="X15" s="168">
        <f>IF(COUNTIF('Model info'!$H$18:$H$24,'Ecotox data'!B15)=1,7,IF(COUNTIF('Model info'!$J$18:$J$24,'Ecotox data'!C15)=1,6,IF(COUNTIF('Model info'!$K$18:$K$24,'Ecotox data'!D15)=1,5,IF(COUNTIF('Model info'!$L$2:$L$24,'Ecotox data'!E15)=1,4,IF(COUNTIF('Model info'!$M$18:$M$24,'Ecotox data'!F15)=1,3,IF(COUNTIF('Model info'!$N$18:$N$24,'Ecotox data'!G15)=1,2,IF(COUNTIF('Model info'!$O$18:$O$24,'Ecotox data'!H15)=1,1,0)))))))</f>
        <v>4</v>
      </c>
      <c r="Y15" s="176">
        <f t="shared" si="4"/>
        <v>5</v>
      </c>
    </row>
    <row r="16" spans="1:25">
      <c r="A16" s="126" t="s">
        <v>198</v>
      </c>
      <c r="B16" s="136">
        <v>2</v>
      </c>
      <c r="E16" s="29">
        <v>12</v>
      </c>
      <c r="F16" s="262" t="s">
        <v>19</v>
      </c>
      <c r="G16" s="27">
        <f>IF(AND('Ecotox data'!P16&gt;='Model info'!$C$4,'Ecotox data'!P16&lt;='Model info'!$C$5),1,0)</f>
        <v>1</v>
      </c>
      <c r="H16" s="168">
        <f>IF(COUNTIF('Model info'!$H$4:$H$10,'Ecotox data'!B16)=1,7,IF(COUNTIF('Model info'!$J$4:$J$10,'Ecotox data'!C16)=1,6,IF(COUNTIF('Model info'!$K$4:$K$10,'Ecotox data'!D16)=1,5,IF(COUNTIF('Model info'!$L$4:$L$10,'Ecotox data'!E16)=1,4,IF(COUNTIF('Model info'!$M$4:$M$10,'Ecotox data'!F16)=1,3,IF(COUNTIF('Model info'!$N$4:$N$10,'Ecotox data'!G16)=1,2,IF(COUNTIF('Model info'!$O$4:$O$10,'Ecotox data'!H16)=1,1,0)))))))</f>
        <v>4</v>
      </c>
      <c r="I16" s="176">
        <f t="shared" si="0"/>
        <v>5</v>
      </c>
      <c r="J16" s="35"/>
      <c r="K16" s="27">
        <f>IF(AND('Ecotox data'!U16&gt;='Model info'!$D$8,'Ecotox data'!U16&lt;='Model info'!$D$9),1,0)</f>
        <v>1</v>
      </c>
      <c r="L16" s="163">
        <f>IF(COUNTIF('Model info'!$H$12,'Ecotox data'!B16)=1,7,IF(COUNTIF('Model info'!$J$12,'Ecotox data'!C16)=1,6,IF(COUNTIF('Model info'!$K$12,'Ecotox data'!D16)=1,5,IF(COUNTIF('Model info'!$L$12,'Ecotox data'!E16)=1,4,IF(COUNTIF('Model info'!$M$12,'Ecotox data'!F16)=1,3,IF(COUNTIF('Model info'!$N$12,'Ecotox data'!G16)=1,2,IF(COUNTIF('Model info'!$O$12,'Ecotox data'!H16)=1,1,0)))))))</f>
        <v>0</v>
      </c>
      <c r="M16" s="182">
        <f t="shared" si="1"/>
        <v>1</v>
      </c>
      <c r="N16" s="35"/>
      <c r="O16" s="27">
        <f>IF(AND('Ecotox data'!M16&gt;='Model info'!$E$12,'Ecotox data'!M16&lt;='Model info'!$E$13),1,0)</f>
        <v>1</v>
      </c>
      <c r="P16" s="165">
        <f>IF(COUNTIF('Model info'!$H$14,'Ecotox data'!B16)=1,7,IF(COUNTIF('Model info'!$J$14,'Ecotox data'!C16)=1,6,IF(COUNTIF('Model info'!$K$14,'Ecotox data'!D16)=1,5,IF(COUNTIF('Model info'!$L$14,'Ecotox data'!E16)=1,4,IF(COUNTIF('Model info'!$M$14,'Ecotox data'!F16)=1,3,IF(COUNTIF('Model info'!$N$14,'Ecotox data'!G16)=1,2,IF(COUNTIF('Model info'!$O$14,'Ecotox data'!H16)=1,1,0)))))))</f>
        <v>1</v>
      </c>
      <c r="Q16" s="182">
        <f t="shared" si="2"/>
        <v>2</v>
      </c>
      <c r="R16" s="35"/>
      <c r="S16" s="27">
        <f>IF(AND('Ecotox data'!P16&gt;='Model info'!$C$16,'Ecotox data'!P16&lt;='Model info'!$C$17,'Ecotox data'!U16&gt;='Model info'!$D$16,'Ecotox data'!U16&lt;='Model info'!$D$17,'Ecotox data'!M16&gt;='Model info'!$E$16,'Ecotox data'!M16&lt;='Model info'!$E$17),1,0)</f>
        <v>1</v>
      </c>
      <c r="T16" s="170">
        <f>IF(COUNTIF('Model info'!$H$16,'Ecotox data'!B16)=1,7,IF(COUNTIF('Model info'!$J$16,'Ecotox data'!C16)=1,6,IF(COUNTIF('Model info'!$K$16,'Ecotox data'!D16)=1,5,IF(COUNTIF('Model info'!$L$16,'Ecotox data'!E16)=1,4,IF(COUNTIF('Model info'!$M$16,'Ecotox data'!F16)=1,3,IF(COUNTIF('Model info'!$N$16,'Ecotox data'!G16)=1,2,IF(COUNTIF('Model info'!$O$16,'Ecotox data'!H16)=1,1,0)))))))</f>
        <v>3</v>
      </c>
      <c r="U16" s="176">
        <f t="shared" si="3"/>
        <v>4</v>
      </c>
      <c r="V16" s="35"/>
      <c r="W16" s="27">
        <f>IF(AND('Ecotox data'!P16&gt;='Model info'!$C$20,'Ecotox data'!P16&lt;='Model info'!$C$21,'Ecotox data'!U16&gt;='Model info'!$D$20,'Ecotox data'!U16&lt;='Model info'!$D$21,'Ecotox data'!M16&gt;='Model info'!$E$20,'Ecotox data'!M16&lt;='Model info'!$E$21),1,0)</f>
        <v>1</v>
      </c>
      <c r="X16" s="168">
        <f>IF(COUNTIF('Model info'!$H$18:$H$24,'Ecotox data'!B16)=1,7,IF(COUNTIF('Model info'!$J$18:$J$24,'Ecotox data'!C16)=1,6,IF(COUNTIF('Model info'!$K$18:$K$24,'Ecotox data'!D16)=1,5,IF(COUNTIF('Model info'!$L$2:$L$24,'Ecotox data'!E16)=1,4,IF(COUNTIF('Model info'!$M$18:$M$24,'Ecotox data'!F16)=1,3,IF(COUNTIF('Model info'!$N$18:$N$24,'Ecotox data'!G16)=1,2,IF(COUNTIF('Model info'!$O$18:$O$24,'Ecotox data'!H16)=1,1,0)))))))</f>
        <v>4</v>
      </c>
      <c r="Y16" s="176">
        <f t="shared" si="4"/>
        <v>5</v>
      </c>
    </row>
    <row r="17" spans="1:25">
      <c r="A17" s="126" t="s">
        <v>196</v>
      </c>
      <c r="B17" s="137">
        <v>1</v>
      </c>
      <c r="E17" s="29">
        <v>13</v>
      </c>
      <c r="F17" s="262" t="s">
        <v>26</v>
      </c>
      <c r="G17" s="27">
        <f>IF(AND('Ecotox data'!P17&gt;='Model info'!$C$4,'Ecotox data'!P17&lt;='Model info'!$C$5),1,0)</f>
        <v>1</v>
      </c>
      <c r="H17" s="171">
        <f>IF(COUNTIF('Model info'!$H$4:$H$10,'Ecotox data'!B17)=1,7,IF(COUNTIF('Model info'!$J$4:$J$10,'Ecotox data'!C17)=1,6,IF(COUNTIF('Model info'!$K$4:$K$10,'Ecotox data'!D17)=1,5,IF(COUNTIF('Model info'!$L$4:$L$10,'Ecotox data'!E17)=1,4,IF(COUNTIF('Model info'!$M$4:$M$10,'Ecotox data'!F17)=1,3,IF(COUNTIF('Model info'!$N$4:$N$10,'Ecotox data'!G17)=1,2,IF(COUNTIF('Model info'!$O$4:$O$10,'Ecotox data'!H17)=1,1,0)))))))</f>
        <v>7</v>
      </c>
      <c r="I17" s="177">
        <f t="shared" si="0"/>
        <v>8</v>
      </c>
      <c r="J17" s="35"/>
      <c r="K17" s="27">
        <f>IF(AND('Ecotox data'!U17&gt;='Model info'!$D$8,'Ecotox data'!U17&lt;='Model info'!$D$9),1,0)</f>
        <v>1</v>
      </c>
      <c r="L17" s="163">
        <f>IF(COUNTIF('Model info'!$H$12,'Ecotox data'!B17)=1,7,IF(COUNTIF('Model info'!$J$12,'Ecotox data'!C17)=1,6,IF(COUNTIF('Model info'!$K$12,'Ecotox data'!D17)=1,5,IF(COUNTIF('Model info'!$L$12,'Ecotox data'!E17)=1,4,IF(COUNTIF('Model info'!$M$12,'Ecotox data'!F17)=1,3,IF(COUNTIF('Model info'!$N$12,'Ecotox data'!G17)=1,2,IF(COUNTIF('Model info'!$O$12,'Ecotox data'!H17)=1,1,0)))))))</f>
        <v>0</v>
      </c>
      <c r="M17" s="182">
        <f t="shared" si="1"/>
        <v>1</v>
      </c>
      <c r="N17" s="35"/>
      <c r="O17" s="27">
        <f>IF(AND('Ecotox data'!M17&gt;='Model info'!$E$12,'Ecotox data'!M17&lt;='Model info'!$E$13),1,0)</f>
        <v>1</v>
      </c>
      <c r="P17" s="165">
        <f>IF(COUNTIF('Model info'!$H$14,'Ecotox data'!B17)=1,7,IF(COUNTIF('Model info'!$J$14,'Ecotox data'!C17)=1,6,IF(COUNTIF('Model info'!$K$14,'Ecotox data'!D17)=1,5,IF(COUNTIF('Model info'!$L$14,'Ecotox data'!E17)=1,4,IF(COUNTIF('Model info'!$M$14,'Ecotox data'!F17)=1,3,IF(COUNTIF('Model info'!$N$14,'Ecotox data'!G17)=1,2,IF(COUNTIF('Model info'!$O$14,'Ecotox data'!H17)=1,1,0)))))))</f>
        <v>1</v>
      </c>
      <c r="Q17" s="182">
        <f t="shared" si="2"/>
        <v>2</v>
      </c>
      <c r="R17" s="35"/>
      <c r="S17" s="27">
        <f>IF(AND('Ecotox data'!P17&gt;='Model info'!$C$16,'Ecotox data'!P17&lt;='Model info'!$C$17,'Ecotox data'!U17&gt;='Model info'!$D$16,'Ecotox data'!U17&lt;='Model info'!$D$17,'Ecotox data'!M17&gt;='Model info'!$E$16,'Ecotox data'!M17&lt;='Model info'!$E$17),1,0)</f>
        <v>1</v>
      </c>
      <c r="T17" s="172">
        <f>IF(COUNTIF('Model info'!$H$16,'Ecotox data'!B17)=1,7,IF(COUNTIF('Model info'!$J$16,'Ecotox data'!C17)=1,6,IF(COUNTIF('Model info'!$K$16,'Ecotox data'!D17)=1,5,IF(COUNTIF('Model info'!$L$16,'Ecotox data'!E17)=1,4,IF(COUNTIF('Model info'!$M$16,'Ecotox data'!F17)=1,3,IF(COUNTIF('Model info'!$N$16,'Ecotox data'!G17)=1,2,IF(COUNTIF('Model info'!$O$16,'Ecotox data'!H17)=1,1,0)))))))</f>
        <v>7</v>
      </c>
      <c r="U17" s="177">
        <f t="shared" si="3"/>
        <v>8</v>
      </c>
      <c r="V17" s="35"/>
      <c r="W17" s="27">
        <f>IF(AND('Ecotox data'!P17&gt;='Model info'!$C$20,'Ecotox data'!P17&lt;='Model info'!$C$21,'Ecotox data'!U17&gt;='Model info'!$D$20,'Ecotox data'!U17&lt;='Model info'!$D$21,'Ecotox data'!M17&gt;='Model info'!$E$20,'Ecotox data'!M17&lt;='Model info'!$E$21),1,0)</f>
        <v>1</v>
      </c>
      <c r="X17" s="171">
        <f>IF(COUNTIF('Model info'!$H$18:$H$24,'Ecotox data'!B17)=1,7,IF(COUNTIF('Model info'!$J$18:$J$24,'Ecotox data'!C17)=1,6,IF(COUNTIF('Model info'!$K$18:$K$24,'Ecotox data'!D17)=1,5,IF(COUNTIF('Model info'!$L$2:$L$24,'Ecotox data'!E17)=1,4,IF(COUNTIF('Model info'!$M$18:$M$24,'Ecotox data'!F17)=1,3,IF(COUNTIF('Model info'!$N$18:$N$24,'Ecotox data'!G17)=1,2,IF(COUNTIF('Model info'!$O$18:$O$24,'Ecotox data'!H17)=1,1,0)))))))</f>
        <v>7</v>
      </c>
      <c r="Y17" s="177">
        <f t="shared" si="4"/>
        <v>8</v>
      </c>
    </row>
    <row r="18" spans="1:25">
      <c r="A18" s="126" t="s">
        <v>197</v>
      </c>
      <c r="B18" s="138">
        <v>0</v>
      </c>
      <c r="E18" s="29">
        <v>14</v>
      </c>
      <c r="F18" s="262" t="s">
        <v>26</v>
      </c>
      <c r="G18" s="27">
        <f>IF(AND('Ecotox data'!P18&gt;='Model info'!$C$4,'Ecotox data'!P18&lt;='Model info'!$C$5),1,0)</f>
        <v>1</v>
      </c>
      <c r="H18" s="171">
        <f>IF(COUNTIF('Model info'!$H$4:$H$10,'Ecotox data'!B18)=1,7,IF(COUNTIF('Model info'!$J$4:$J$10,'Ecotox data'!C18)=1,6,IF(COUNTIF('Model info'!$K$4:$K$10,'Ecotox data'!D18)=1,5,IF(COUNTIF('Model info'!$L$4:$L$10,'Ecotox data'!E18)=1,4,IF(COUNTIF('Model info'!$M$4:$M$10,'Ecotox data'!F18)=1,3,IF(COUNTIF('Model info'!$N$4:$N$10,'Ecotox data'!G18)=1,2,IF(COUNTIF('Model info'!$O$4:$O$10,'Ecotox data'!H18)=1,1,0)))))))</f>
        <v>7</v>
      </c>
      <c r="I18" s="177">
        <f t="shared" si="0"/>
        <v>8</v>
      </c>
      <c r="J18" s="35"/>
      <c r="K18" s="27">
        <f>IF(AND('Ecotox data'!U18&gt;='Model info'!$D$8,'Ecotox data'!U18&lt;='Model info'!$D$9),1,0)</f>
        <v>1</v>
      </c>
      <c r="L18" s="163">
        <f>IF(COUNTIF('Model info'!$H$12,'Ecotox data'!B18)=1,7,IF(COUNTIF('Model info'!$J$12,'Ecotox data'!C18)=1,6,IF(COUNTIF('Model info'!$K$12,'Ecotox data'!D18)=1,5,IF(COUNTIF('Model info'!$L$12,'Ecotox data'!E18)=1,4,IF(COUNTIF('Model info'!$M$12,'Ecotox data'!F18)=1,3,IF(COUNTIF('Model info'!$N$12,'Ecotox data'!G18)=1,2,IF(COUNTIF('Model info'!$O$12,'Ecotox data'!H18)=1,1,0)))))))</f>
        <v>0</v>
      </c>
      <c r="M18" s="182">
        <f t="shared" si="1"/>
        <v>1</v>
      </c>
      <c r="N18" s="35"/>
      <c r="O18" s="27">
        <f>IF(AND('Ecotox data'!M18&gt;='Model info'!$E$12,'Ecotox data'!M18&lt;='Model info'!$E$13),1,0)</f>
        <v>1</v>
      </c>
      <c r="P18" s="165">
        <f>IF(COUNTIF('Model info'!$H$14,'Ecotox data'!B18)=1,7,IF(COUNTIF('Model info'!$J$14,'Ecotox data'!C18)=1,6,IF(COUNTIF('Model info'!$K$14,'Ecotox data'!D18)=1,5,IF(COUNTIF('Model info'!$L$14,'Ecotox data'!E18)=1,4,IF(COUNTIF('Model info'!$M$14,'Ecotox data'!F18)=1,3,IF(COUNTIF('Model info'!$N$14,'Ecotox data'!G18)=1,2,IF(COUNTIF('Model info'!$O$14,'Ecotox data'!H18)=1,1,0)))))))</f>
        <v>1</v>
      </c>
      <c r="Q18" s="182">
        <f t="shared" si="2"/>
        <v>2</v>
      </c>
      <c r="R18" s="35"/>
      <c r="S18" s="27">
        <f>IF(AND('Ecotox data'!P18&gt;='Model info'!$C$16,'Ecotox data'!P18&lt;='Model info'!$C$17,'Ecotox data'!U18&gt;='Model info'!$D$16,'Ecotox data'!U18&lt;='Model info'!$D$17,'Ecotox data'!M18&gt;='Model info'!$E$16,'Ecotox data'!M18&lt;='Model info'!$E$17),1,0)</f>
        <v>1</v>
      </c>
      <c r="T18" s="172">
        <f>IF(COUNTIF('Model info'!$H$16,'Ecotox data'!B18)=1,7,IF(COUNTIF('Model info'!$J$16,'Ecotox data'!C18)=1,6,IF(COUNTIF('Model info'!$K$16,'Ecotox data'!D18)=1,5,IF(COUNTIF('Model info'!$L$16,'Ecotox data'!E18)=1,4,IF(COUNTIF('Model info'!$M$16,'Ecotox data'!F18)=1,3,IF(COUNTIF('Model info'!$N$16,'Ecotox data'!G18)=1,2,IF(COUNTIF('Model info'!$O$16,'Ecotox data'!H18)=1,1,0)))))))</f>
        <v>7</v>
      </c>
      <c r="U18" s="177">
        <f t="shared" si="3"/>
        <v>8</v>
      </c>
      <c r="V18" s="35"/>
      <c r="W18" s="27">
        <f>IF(AND('Ecotox data'!P18&gt;='Model info'!$C$20,'Ecotox data'!P18&lt;='Model info'!$C$21,'Ecotox data'!U18&gt;='Model info'!$D$20,'Ecotox data'!U18&lt;='Model info'!$D$21,'Ecotox data'!M18&gt;='Model info'!$E$20,'Ecotox data'!M18&lt;='Model info'!$E$21),1,0)</f>
        <v>1</v>
      </c>
      <c r="X18" s="171">
        <f>IF(COUNTIF('Model info'!$H$18:$H$24,'Ecotox data'!B18)=1,7,IF(COUNTIF('Model info'!$J$18:$J$24,'Ecotox data'!C18)=1,6,IF(COUNTIF('Model info'!$K$18:$K$24,'Ecotox data'!D18)=1,5,IF(COUNTIF('Model info'!$L$2:$L$24,'Ecotox data'!E18)=1,4,IF(COUNTIF('Model info'!$M$18:$M$24,'Ecotox data'!F18)=1,3,IF(COUNTIF('Model info'!$N$18:$N$24,'Ecotox data'!G18)=1,2,IF(COUNTIF('Model info'!$O$18:$O$24,'Ecotox data'!H18)=1,1,0)))))))</f>
        <v>7</v>
      </c>
      <c r="Y18" s="177">
        <f t="shared" si="4"/>
        <v>8</v>
      </c>
    </row>
    <row r="19" spans="1:25">
      <c r="E19" s="29">
        <v>15</v>
      </c>
      <c r="F19" s="262" t="s">
        <v>26</v>
      </c>
      <c r="G19" s="27">
        <f>IF(AND('Ecotox data'!P19&gt;='Model info'!$C$4,'Ecotox data'!P19&lt;='Model info'!$C$5),1,0)</f>
        <v>1</v>
      </c>
      <c r="H19" s="171">
        <f>IF(COUNTIF('Model info'!$H$4:$H$10,'Ecotox data'!B19)=1,7,IF(COUNTIF('Model info'!$J$4:$J$10,'Ecotox data'!C19)=1,6,IF(COUNTIF('Model info'!$K$4:$K$10,'Ecotox data'!D19)=1,5,IF(COUNTIF('Model info'!$L$4:$L$10,'Ecotox data'!E19)=1,4,IF(COUNTIF('Model info'!$M$4:$M$10,'Ecotox data'!F19)=1,3,IF(COUNTIF('Model info'!$N$4:$N$10,'Ecotox data'!G19)=1,2,IF(COUNTIF('Model info'!$O$4:$O$10,'Ecotox data'!H19)=1,1,0)))))))</f>
        <v>7</v>
      </c>
      <c r="I19" s="177">
        <f t="shared" si="0"/>
        <v>8</v>
      </c>
      <c r="J19" s="35"/>
      <c r="K19" s="27">
        <f>IF(AND('Ecotox data'!U19&gt;='Model info'!$D$8,'Ecotox data'!U19&lt;='Model info'!$D$9),1,0)</f>
        <v>1</v>
      </c>
      <c r="L19" s="163">
        <f>IF(COUNTIF('Model info'!$H$12,'Ecotox data'!B19)=1,7,IF(COUNTIF('Model info'!$J$12,'Ecotox data'!C19)=1,6,IF(COUNTIF('Model info'!$K$12,'Ecotox data'!D19)=1,5,IF(COUNTIF('Model info'!$L$12,'Ecotox data'!E19)=1,4,IF(COUNTIF('Model info'!$M$12,'Ecotox data'!F19)=1,3,IF(COUNTIF('Model info'!$N$12,'Ecotox data'!G19)=1,2,IF(COUNTIF('Model info'!$O$12,'Ecotox data'!H19)=1,1,0)))))))</f>
        <v>0</v>
      </c>
      <c r="M19" s="182">
        <f t="shared" si="1"/>
        <v>1</v>
      </c>
      <c r="N19" s="35"/>
      <c r="O19" s="27">
        <f>IF(AND('Ecotox data'!M19&gt;='Model info'!$E$12,'Ecotox data'!M19&lt;='Model info'!$E$13),1,0)</f>
        <v>1</v>
      </c>
      <c r="P19" s="165">
        <f>IF(COUNTIF('Model info'!$H$14,'Ecotox data'!B19)=1,7,IF(COUNTIF('Model info'!$J$14,'Ecotox data'!C19)=1,6,IF(COUNTIF('Model info'!$K$14,'Ecotox data'!D19)=1,5,IF(COUNTIF('Model info'!$L$14,'Ecotox data'!E19)=1,4,IF(COUNTIF('Model info'!$M$14,'Ecotox data'!F19)=1,3,IF(COUNTIF('Model info'!$N$14,'Ecotox data'!G19)=1,2,IF(COUNTIF('Model info'!$O$14,'Ecotox data'!H19)=1,1,0)))))))</f>
        <v>1</v>
      </c>
      <c r="Q19" s="182">
        <f t="shared" si="2"/>
        <v>2</v>
      </c>
      <c r="R19" s="35"/>
      <c r="S19" s="27">
        <f>IF(AND('Ecotox data'!P19&gt;='Model info'!$C$16,'Ecotox data'!P19&lt;='Model info'!$C$17,'Ecotox data'!U19&gt;='Model info'!$D$16,'Ecotox data'!U19&lt;='Model info'!$D$17,'Ecotox data'!M19&gt;='Model info'!$E$16,'Ecotox data'!M19&lt;='Model info'!$E$17),1,0)</f>
        <v>1</v>
      </c>
      <c r="T19" s="172">
        <f>IF(COUNTIF('Model info'!$H$16,'Ecotox data'!B19)=1,7,IF(COUNTIF('Model info'!$J$16,'Ecotox data'!C19)=1,6,IF(COUNTIF('Model info'!$K$16,'Ecotox data'!D19)=1,5,IF(COUNTIF('Model info'!$L$16,'Ecotox data'!E19)=1,4,IF(COUNTIF('Model info'!$M$16,'Ecotox data'!F19)=1,3,IF(COUNTIF('Model info'!$N$16,'Ecotox data'!G19)=1,2,IF(COUNTIF('Model info'!$O$16,'Ecotox data'!H19)=1,1,0)))))))</f>
        <v>7</v>
      </c>
      <c r="U19" s="177">
        <f t="shared" si="3"/>
        <v>8</v>
      </c>
      <c r="V19" s="35"/>
      <c r="W19" s="27">
        <f>IF(AND('Ecotox data'!P19&gt;='Model info'!$C$20,'Ecotox data'!P19&lt;='Model info'!$C$21,'Ecotox data'!U19&gt;='Model info'!$D$20,'Ecotox data'!U19&lt;='Model info'!$D$21,'Ecotox data'!M19&gt;='Model info'!$E$20,'Ecotox data'!M19&lt;='Model info'!$E$21),1,0)</f>
        <v>1</v>
      </c>
      <c r="X19" s="171">
        <f>IF(COUNTIF('Model info'!$H$18:$H$24,'Ecotox data'!B19)=1,7,IF(COUNTIF('Model info'!$J$18:$J$24,'Ecotox data'!C19)=1,6,IF(COUNTIF('Model info'!$K$18:$K$24,'Ecotox data'!D19)=1,5,IF(COUNTIF('Model info'!$L$2:$L$24,'Ecotox data'!E19)=1,4,IF(COUNTIF('Model info'!$M$18:$M$24,'Ecotox data'!F19)=1,3,IF(COUNTIF('Model info'!$N$18:$N$24,'Ecotox data'!G19)=1,2,IF(COUNTIF('Model info'!$O$18:$O$24,'Ecotox data'!H19)=1,1,0)))))))</f>
        <v>7</v>
      </c>
      <c r="Y19" s="177">
        <f t="shared" si="4"/>
        <v>8</v>
      </c>
    </row>
    <row r="20" spans="1:25">
      <c r="A20" s="128" t="s">
        <v>201</v>
      </c>
      <c r="E20" s="29">
        <v>16</v>
      </c>
      <c r="F20" s="262" t="s">
        <v>26</v>
      </c>
      <c r="G20" s="27">
        <f>IF(AND('Ecotox data'!P20&gt;='Model info'!$C$4,'Ecotox data'!P20&lt;='Model info'!$C$5),1,0)</f>
        <v>1</v>
      </c>
      <c r="H20" s="171">
        <f>IF(COUNTIF('Model info'!$H$4:$H$10,'Ecotox data'!B20)=1,7,IF(COUNTIF('Model info'!$J$4:$J$10,'Ecotox data'!C20)=1,6,IF(COUNTIF('Model info'!$K$4:$K$10,'Ecotox data'!D20)=1,5,IF(COUNTIF('Model info'!$L$4:$L$10,'Ecotox data'!E20)=1,4,IF(COUNTIF('Model info'!$M$4:$M$10,'Ecotox data'!F20)=1,3,IF(COUNTIF('Model info'!$N$4:$N$10,'Ecotox data'!G20)=1,2,IF(COUNTIF('Model info'!$O$4:$O$10,'Ecotox data'!H20)=1,1,0)))))))</f>
        <v>7</v>
      </c>
      <c r="I20" s="177">
        <f t="shared" si="0"/>
        <v>8</v>
      </c>
      <c r="J20" s="35"/>
      <c r="K20" s="27">
        <f>IF(AND('Ecotox data'!U20&gt;='Model info'!$D$8,'Ecotox data'!U20&lt;='Model info'!$D$9),1,0)</f>
        <v>1</v>
      </c>
      <c r="L20" s="163">
        <f>IF(COUNTIF('Model info'!$H$12,'Ecotox data'!B20)=1,7,IF(COUNTIF('Model info'!$J$12,'Ecotox data'!C20)=1,6,IF(COUNTIF('Model info'!$K$12,'Ecotox data'!D20)=1,5,IF(COUNTIF('Model info'!$L$12,'Ecotox data'!E20)=1,4,IF(COUNTIF('Model info'!$M$12,'Ecotox data'!F20)=1,3,IF(COUNTIF('Model info'!$N$12,'Ecotox data'!G20)=1,2,IF(COUNTIF('Model info'!$O$12,'Ecotox data'!H20)=1,1,0)))))))</f>
        <v>0</v>
      </c>
      <c r="M20" s="182">
        <f t="shared" si="1"/>
        <v>1</v>
      </c>
      <c r="N20" s="35"/>
      <c r="O20" s="27">
        <f>IF(AND('Ecotox data'!M20&gt;='Model info'!$E$12,'Ecotox data'!M20&lt;='Model info'!$E$13),1,0)</f>
        <v>1</v>
      </c>
      <c r="P20" s="165">
        <f>IF(COUNTIF('Model info'!$H$14,'Ecotox data'!B20)=1,7,IF(COUNTIF('Model info'!$J$14,'Ecotox data'!C20)=1,6,IF(COUNTIF('Model info'!$K$14,'Ecotox data'!D20)=1,5,IF(COUNTIF('Model info'!$L$14,'Ecotox data'!E20)=1,4,IF(COUNTIF('Model info'!$M$14,'Ecotox data'!F20)=1,3,IF(COUNTIF('Model info'!$N$14,'Ecotox data'!G20)=1,2,IF(COUNTIF('Model info'!$O$14,'Ecotox data'!H20)=1,1,0)))))))</f>
        <v>1</v>
      </c>
      <c r="Q20" s="182">
        <f t="shared" si="2"/>
        <v>2</v>
      </c>
      <c r="R20" s="35"/>
      <c r="S20" s="27">
        <f>IF(AND('Ecotox data'!P20&gt;='Model info'!$C$16,'Ecotox data'!P20&lt;='Model info'!$C$17,'Ecotox data'!U20&gt;='Model info'!$D$16,'Ecotox data'!U20&lt;='Model info'!$D$17,'Ecotox data'!M20&gt;='Model info'!$E$16,'Ecotox data'!M20&lt;='Model info'!$E$17),1,0)</f>
        <v>1</v>
      </c>
      <c r="T20" s="172">
        <f>IF(COUNTIF('Model info'!$H$16,'Ecotox data'!B20)=1,7,IF(COUNTIF('Model info'!$J$16,'Ecotox data'!C20)=1,6,IF(COUNTIF('Model info'!$K$16,'Ecotox data'!D20)=1,5,IF(COUNTIF('Model info'!$L$16,'Ecotox data'!E20)=1,4,IF(COUNTIF('Model info'!$M$16,'Ecotox data'!F20)=1,3,IF(COUNTIF('Model info'!$N$16,'Ecotox data'!G20)=1,2,IF(COUNTIF('Model info'!$O$16,'Ecotox data'!H20)=1,1,0)))))))</f>
        <v>7</v>
      </c>
      <c r="U20" s="177">
        <f t="shared" si="3"/>
        <v>8</v>
      </c>
      <c r="V20" s="35"/>
      <c r="W20" s="27">
        <f>IF(AND('Ecotox data'!P20&gt;='Model info'!$C$20,'Ecotox data'!P20&lt;='Model info'!$C$21,'Ecotox data'!U20&gt;='Model info'!$D$20,'Ecotox data'!U20&lt;='Model info'!$D$21,'Ecotox data'!M20&gt;='Model info'!$E$20,'Ecotox data'!M20&lt;='Model info'!$E$21),1,0)</f>
        <v>1</v>
      </c>
      <c r="X20" s="171">
        <f>IF(COUNTIF('Model info'!$H$18:$H$24,'Ecotox data'!B20)=1,7,IF(COUNTIF('Model info'!$J$18:$J$24,'Ecotox data'!C20)=1,6,IF(COUNTIF('Model info'!$K$18:$K$24,'Ecotox data'!D20)=1,5,IF(COUNTIF('Model info'!$L$2:$L$24,'Ecotox data'!E20)=1,4,IF(COUNTIF('Model info'!$M$18:$M$24,'Ecotox data'!F20)=1,3,IF(COUNTIF('Model info'!$N$18:$N$24,'Ecotox data'!G20)=1,2,IF(COUNTIF('Model info'!$O$18:$O$24,'Ecotox data'!H20)=1,1,0)))))))</f>
        <v>7</v>
      </c>
      <c r="Y20" s="177">
        <f t="shared" si="4"/>
        <v>8</v>
      </c>
    </row>
    <row r="21" spans="1:25">
      <c r="A21" s="305" t="s">
        <v>211</v>
      </c>
      <c r="B21" s="139">
        <v>8</v>
      </c>
      <c r="E21" s="29">
        <v>17</v>
      </c>
      <c r="F21" s="262" t="s">
        <v>26</v>
      </c>
      <c r="G21" s="27">
        <f>IF(AND('Ecotox data'!P21&gt;='Model info'!$C$4,'Ecotox data'!P21&lt;='Model info'!$C$5),1,0)</f>
        <v>1</v>
      </c>
      <c r="H21" s="171">
        <f>IF(COUNTIF('Model info'!$H$4:$H$10,'Ecotox data'!B21)=1,7,IF(COUNTIF('Model info'!$J$4:$J$10,'Ecotox data'!C21)=1,6,IF(COUNTIF('Model info'!$K$4:$K$10,'Ecotox data'!D21)=1,5,IF(COUNTIF('Model info'!$L$4:$L$10,'Ecotox data'!E21)=1,4,IF(COUNTIF('Model info'!$M$4:$M$10,'Ecotox data'!F21)=1,3,IF(COUNTIF('Model info'!$N$4:$N$10,'Ecotox data'!G21)=1,2,IF(COUNTIF('Model info'!$O$4:$O$10,'Ecotox data'!H21)=1,1,0)))))))</f>
        <v>7</v>
      </c>
      <c r="I21" s="177">
        <f t="shared" si="0"/>
        <v>8</v>
      </c>
      <c r="J21" s="35"/>
      <c r="K21" s="27">
        <f>IF(AND('Ecotox data'!U21&gt;='Model info'!$D$8,'Ecotox data'!U21&lt;='Model info'!$D$9),1,0)</f>
        <v>1</v>
      </c>
      <c r="L21" s="163">
        <f>IF(COUNTIF('Model info'!$H$12,'Ecotox data'!B21)=1,7,IF(COUNTIF('Model info'!$J$12,'Ecotox data'!C21)=1,6,IF(COUNTIF('Model info'!$K$12,'Ecotox data'!D21)=1,5,IF(COUNTIF('Model info'!$L$12,'Ecotox data'!E21)=1,4,IF(COUNTIF('Model info'!$M$12,'Ecotox data'!F21)=1,3,IF(COUNTIF('Model info'!$N$12,'Ecotox data'!G21)=1,2,IF(COUNTIF('Model info'!$O$12,'Ecotox data'!H21)=1,1,0)))))))</f>
        <v>0</v>
      </c>
      <c r="M21" s="182">
        <f t="shared" si="1"/>
        <v>1</v>
      </c>
      <c r="N21" s="35"/>
      <c r="O21" s="27">
        <f>IF(AND('Ecotox data'!M21&gt;='Model info'!$E$12,'Ecotox data'!M21&lt;='Model info'!$E$13),1,0)</f>
        <v>1</v>
      </c>
      <c r="P21" s="165">
        <f>IF(COUNTIF('Model info'!$H$14,'Ecotox data'!B21)=1,7,IF(COUNTIF('Model info'!$J$14,'Ecotox data'!C21)=1,6,IF(COUNTIF('Model info'!$K$14,'Ecotox data'!D21)=1,5,IF(COUNTIF('Model info'!$L$14,'Ecotox data'!E21)=1,4,IF(COUNTIF('Model info'!$M$14,'Ecotox data'!F21)=1,3,IF(COUNTIF('Model info'!$N$14,'Ecotox data'!G21)=1,2,IF(COUNTIF('Model info'!$O$14,'Ecotox data'!H21)=1,1,0)))))))</f>
        <v>1</v>
      </c>
      <c r="Q21" s="182">
        <f t="shared" si="2"/>
        <v>2</v>
      </c>
      <c r="R21" s="35"/>
      <c r="S21" s="27">
        <f>IF(AND('Ecotox data'!P21&gt;='Model info'!$C$16,'Ecotox data'!P21&lt;='Model info'!$C$17,'Ecotox data'!U21&gt;='Model info'!$D$16,'Ecotox data'!U21&lt;='Model info'!$D$17,'Ecotox data'!M21&gt;='Model info'!$E$16,'Ecotox data'!M21&lt;='Model info'!$E$17),1,0)</f>
        <v>1</v>
      </c>
      <c r="T21" s="172">
        <f>IF(COUNTIF('Model info'!$H$16,'Ecotox data'!B21)=1,7,IF(COUNTIF('Model info'!$J$16,'Ecotox data'!C21)=1,6,IF(COUNTIF('Model info'!$K$16,'Ecotox data'!D21)=1,5,IF(COUNTIF('Model info'!$L$16,'Ecotox data'!E21)=1,4,IF(COUNTIF('Model info'!$M$16,'Ecotox data'!F21)=1,3,IF(COUNTIF('Model info'!$N$16,'Ecotox data'!G21)=1,2,IF(COUNTIF('Model info'!$O$16,'Ecotox data'!H21)=1,1,0)))))))</f>
        <v>7</v>
      </c>
      <c r="U21" s="177">
        <f t="shared" si="3"/>
        <v>8</v>
      </c>
      <c r="V21" s="35"/>
      <c r="W21" s="27">
        <f>IF(AND('Ecotox data'!P21&gt;='Model info'!$C$20,'Ecotox data'!P21&lt;='Model info'!$C$21,'Ecotox data'!U21&gt;='Model info'!$D$20,'Ecotox data'!U21&lt;='Model info'!$D$21,'Ecotox data'!M21&gt;='Model info'!$E$20,'Ecotox data'!M21&lt;='Model info'!$E$21),1,0)</f>
        <v>1</v>
      </c>
      <c r="X21" s="171">
        <f>IF(COUNTIF('Model info'!$H$18:$H$24,'Ecotox data'!B21)=1,7,IF(COUNTIF('Model info'!$J$18:$J$24,'Ecotox data'!C21)=1,6,IF(COUNTIF('Model info'!$K$18:$K$24,'Ecotox data'!D21)=1,5,IF(COUNTIF('Model info'!$L$2:$L$24,'Ecotox data'!E21)=1,4,IF(COUNTIF('Model info'!$M$18:$M$24,'Ecotox data'!F21)=1,3,IF(COUNTIF('Model info'!$N$18:$N$24,'Ecotox data'!G21)=1,2,IF(COUNTIF('Model info'!$O$18:$O$24,'Ecotox data'!H21)=1,1,0)))))))</f>
        <v>7</v>
      </c>
      <c r="Y21" s="177">
        <f t="shared" si="4"/>
        <v>8</v>
      </c>
    </row>
    <row r="22" spans="1:25">
      <c r="A22" s="305"/>
      <c r="B22" s="140">
        <v>7</v>
      </c>
      <c r="E22" s="29">
        <v>18</v>
      </c>
      <c r="F22" s="262" t="s">
        <v>26</v>
      </c>
      <c r="G22" s="27">
        <f>IF(AND('Ecotox data'!P22&gt;='Model info'!$C$4,'Ecotox data'!P22&lt;='Model info'!$C$5),1,0)</f>
        <v>1</v>
      </c>
      <c r="H22" s="171">
        <f>IF(COUNTIF('Model info'!$H$4:$H$10,'Ecotox data'!B22)=1,7,IF(COUNTIF('Model info'!$J$4:$J$10,'Ecotox data'!C22)=1,6,IF(COUNTIF('Model info'!$K$4:$K$10,'Ecotox data'!D22)=1,5,IF(COUNTIF('Model info'!$L$4:$L$10,'Ecotox data'!E22)=1,4,IF(COUNTIF('Model info'!$M$4:$M$10,'Ecotox data'!F22)=1,3,IF(COUNTIF('Model info'!$N$4:$N$10,'Ecotox data'!G22)=1,2,IF(COUNTIF('Model info'!$O$4:$O$10,'Ecotox data'!H22)=1,1,0)))))))</f>
        <v>7</v>
      </c>
      <c r="I22" s="177">
        <f t="shared" si="0"/>
        <v>8</v>
      </c>
      <c r="J22" s="35"/>
      <c r="K22" s="27">
        <f>IF(AND('Ecotox data'!U22&gt;='Model info'!$D$8,'Ecotox data'!U22&lt;='Model info'!$D$9),1,0)</f>
        <v>1</v>
      </c>
      <c r="L22" s="163">
        <f>IF(COUNTIF('Model info'!$H$12,'Ecotox data'!B22)=1,7,IF(COUNTIF('Model info'!$J$12,'Ecotox data'!C22)=1,6,IF(COUNTIF('Model info'!$K$12,'Ecotox data'!D22)=1,5,IF(COUNTIF('Model info'!$L$12,'Ecotox data'!E22)=1,4,IF(COUNTIF('Model info'!$M$12,'Ecotox data'!F22)=1,3,IF(COUNTIF('Model info'!$N$12,'Ecotox data'!G22)=1,2,IF(COUNTIF('Model info'!$O$12,'Ecotox data'!H22)=1,1,0)))))))</f>
        <v>0</v>
      </c>
      <c r="M22" s="182">
        <f t="shared" si="1"/>
        <v>1</v>
      </c>
      <c r="N22" s="35"/>
      <c r="O22" s="27">
        <f>IF(AND('Ecotox data'!M22&gt;='Model info'!$E$12,'Ecotox data'!M22&lt;='Model info'!$E$13),1,0)</f>
        <v>1</v>
      </c>
      <c r="P22" s="165">
        <f>IF(COUNTIF('Model info'!$H$14,'Ecotox data'!B22)=1,7,IF(COUNTIF('Model info'!$J$14,'Ecotox data'!C22)=1,6,IF(COUNTIF('Model info'!$K$14,'Ecotox data'!D22)=1,5,IF(COUNTIF('Model info'!$L$14,'Ecotox data'!E22)=1,4,IF(COUNTIF('Model info'!$M$14,'Ecotox data'!F22)=1,3,IF(COUNTIF('Model info'!$N$14,'Ecotox data'!G22)=1,2,IF(COUNTIF('Model info'!$O$14,'Ecotox data'!H22)=1,1,0)))))))</f>
        <v>1</v>
      </c>
      <c r="Q22" s="182">
        <f t="shared" si="2"/>
        <v>2</v>
      </c>
      <c r="R22" s="35"/>
      <c r="S22" s="27">
        <f>IF(AND('Ecotox data'!P22&gt;='Model info'!$C$16,'Ecotox data'!P22&lt;='Model info'!$C$17,'Ecotox data'!U22&gt;='Model info'!$D$16,'Ecotox data'!U22&lt;='Model info'!$D$17,'Ecotox data'!M22&gt;='Model info'!$E$16,'Ecotox data'!M22&lt;='Model info'!$E$17),1,0)</f>
        <v>1</v>
      </c>
      <c r="T22" s="172">
        <f>IF(COUNTIF('Model info'!$H$16,'Ecotox data'!B22)=1,7,IF(COUNTIF('Model info'!$J$16,'Ecotox data'!C22)=1,6,IF(COUNTIF('Model info'!$K$16,'Ecotox data'!D22)=1,5,IF(COUNTIF('Model info'!$L$16,'Ecotox data'!E22)=1,4,IF(COUNTIF('Model info'!$M$16,'Ecotox data'!F22)=1,3,IF(COUNTIF('Model info'!$N$16,'Ecotox data'!G22)=1,2,IF(COUNTIF('Model info'!$O$16,'Ecotox data'!H22)=1,1,0)))))))</f>
        <v>7</v>
      </c>
      <c r="U22" s="177">
        <f t="shared" si="3"/>
        <v>8</v>
      </c>
      <c r="V22" s="35"/>
      <c r="W22" s="27">
        <f>IF(AND('Ecotox data'!P22&gt;='Model info'!$C$20,'Ecotox data'!P22&lt;='Model info'!$C$21,'Ecotox data'!U22&gt;='Model info'!$D$20,'Ecotox data'!U22&lt;='Model info'!$D$21,'Ecotox data'!M22&gt;='Model info'!$E$20,'Ecotox data'!M22&lt;='Model info'!$E$21),1,0)</f>
        <v>1</v>
      </c>
      <c r="X22" s="171">
        <f>IF(COUNTIF('Model info'!$H$18:$H$24,'Ecotox data'!B22)=1,7,IF(COUNTIF('Model info'!$J$18:$J$24,'Ecotox data'!C22)=1,6,IF(COUNTIF('Model info'!$K$18:$K$24,'Ecotox data'!D22)=1,5,IF(COUNTIF('Model info'!$L$2:$L$24,'Ecotox data'!E22)=1,4,IF(COUNTIF('Model info'!$M$18:$M$24,'Ecotox data'!F22)=1,3,IF(COUNTIF('Model info'!$N$18:$N$24,'Ecotox data'!G22)=1,2,IF(COUNTIF('Model info'!$O$18:$O$24,'Ecotox data'!H22)=1,1,0)))))))</f>
        <v>7</v>
      </c>
      <c r="Y22" s="177">
        <f t="shared" si="4"/>
        <v>8</v>
      </c>
    </row>
    <row r="23" spans="1:25">
      <c r="A23" s="305"/>
      <c r="B23" s="140">
        <v>6</v>
      </c>
      <c r="E23" s="29">
        <v>19</v>
      </c>
      <c r="F23" s="262" t="s">
        <v>26</v>
      </c>
      <c r="G23" s="27">
        <f>IF(AND('Ecotox data'!P23&gt;='Model info'!$C$4,'Ecotox data'!P23&lt;='Model info'!$C$5),1,0)</f>
        <v>1</v>
      </c>
      <c r="H23" s="171">
        <f>IF(COUNTIF('Model info'!$H$4:$H$10,'Ecotox data'!B23)=1,7,IF(COUNTIF('Model info'!$J$4:$J$10,'Ecotox data'!C23)=1,6,IF(COUNTIF('Model info'!$K$4:$K$10,'Ecotox data'!D23)=1,5,IF(COUNTIF('Model info'!$L$4:$L$10,'Ecotox data'!E23)=1,4,IF(COUNTIF('Model info'!$M$4:$M$10,'Ecotox data'!F23)=1,3,IF(COUNTIF('Model info'!$N$4:$N$10,'Ecotox data'!G23)=1,2,IF(COUNTIF('Model info'!$O$4:$O$10,'Ecotox data'!H23)=1,1,0)))))))</f>
        <v>7</v>
      </c>
      <c r="I23" s="177">
        <f t="shared" si="0"/>
        <v>8</v>
      </c>
      <c r="J23" s="35"/>
      <c r="K23" s="27">
        <f>IF(AND('Ecotox data'!U23&gt;='Model info'!$D$8,'Ecotox data'!U23&lt;='Model info'!$D$9),1,0)</f>
        <v>1</v>
      </c>
      <c r="L23" s="163">
        <f>IF(COUNTIF('Model info'!$H$12,'Ecotox data'!B23)=1,7,IF(COUNTIF('Model info'!$J$12,'Ecotox data'!C23)=1,6,IF(COUNTIF('Model info'!$K$12,'Ecotox data'!D23)=1,5,IF(COUNTIF('Model info'!$L$12,'Ecotox data'!E23)=1,4,IF(COUNTIF('Model info'!$M$12,'Ecotox data'!F23)=1,3,IF(COUNTIF('Model info'!$N$12,'Ecotox data'!G23)=1,2,IF(COUNTIF('Model info'!$O$12,'Ecotox data'!H23)=1,1,0)))))))</f>
        <v>0</v>
      </c>
      <c r="M23" s="182">
        <f t="shared" si="1"/>
        <v>1</v>
      </c>
      <c r="N23" s="35"/>
      <c r="O23" s="27">
        <f>IF(AND('Ecotox data'!M23&gt;='Model info'!$E$12,'Ecotox data'!M23&lt;='Model info'!$E$13),1,0)</f>
        <v>1</v>
      </c>
      <c r="P23" s="165">
        <f>IF(COUNTIF('Model info'!$H$14,'Ecotox data'!B23)=1,7,IF(COUNTIF('Model info'!$J$14,'Ecotox data'!C23)=1,6,IF(COUNTIF('Model info'!$K$14,'Ecotox data'!D23)=1,5,IF(COUNTIF('Model info'!$L$14,'Ecotox data'!E23)=1,4,IF(COUNTIF('Model info'!$M$14,'Ecotox data'!F23)=1,3,IF(COUNTIF('Model info'!$N$14,'Ecotox data'!G23)=1,2,IF(COUNTIF('Model info'!$O$14,'Ecotox data'!H23)=1,1,0)))))))</f>
        <v>1</v>
      </c>
      <c r="Q23" s="182">
        <f t="shared" si="2"/>
        <v>2</v>
      </c>
      <c r="R23" s="35"/>
      <c r="S23" s="27">
        <f>IF(AND('Ecotox data'!P23&gt;='Model info'!$C$16,'Ecotox data'!P23&lt;='Model info'!$C$17,'Ecotox data'!U23&gt;='Model info'!$D$16,'Ecotox data'!U23&lt;='Model info'!$D$17,'Ecotox data'!M23&gt;='Model info'!$E$16,'Ecotox data'!M23&lt;='Model info'!$E$17),1,0)</f>
        <v>1</v>
      </c>
      <c r="T23" s="172">
        <f>IF(COUNTIF('Model info'!$H$16,'Ecotox data'!B23)=1,7,IF(COUNTIF('Model info'!$J$16,'Ecotox data'!C23)=1,6,IF(COUNTIF('Model info'!$K$16,'Ecotox data'!D23)=1,5,IF(COUNTIF('Model info'!$L$16,'Ecotox data'!E23)=1,4,IF(COUNTIF('Model info'!$M$16,'Ecotox data'!F23)=1,3,IF(COUNTIF('Model info'!$N$16,'Ecotox data'!G23)=1,2,IF(COUNTIF('Model info'!$O$16,'Ecotox data'!H23)=1,1,0)))))))</f>
        <v>7</v>
      </c>
      <c r="U23" s="177">
        <f t="shared" si="3"/>
        <v>8</v>
      </c>
      <c r="V23" s="35"/>
      <c r="W23" s="27">
        <f>IF(AND('Ecotox data'!P23&gt;='Model info'!$C$20,'Ecotox data'!P23&lt;='Model info'!$C$21,'Ecotox data'!U23&gt;='Model info'!$D$20,'Ecotox data'!U23&lt;='Model info'!$D$21,'Ecotox data'!M23&gt;='Model info'!$E$20,'Ecotox data'!M23&lt;='Model info'!$E$21),1,0)</f>
        <v>1</v>
      </c>
      <c r="X23" s="171">
        <f>IF(COUNTIF('Model info'!$H$18:$H$24,'Ecotox data'!B23)=1,7,IF(COUNTIF('Model info'!$J$18:$J$24,'Ecotox data'!C23)=1,6,IF(COUNTIF('Model info'!$K$18:$K$24,'Ecotox data'!D23)=1,5,IF(COUNTIF('Model info'!$L$2:$L$24,'Ecotox data'!E23)=1,4,IF(COUNTIF('Model info'!$M$18:$M$24,'Ecotox data'!F23)=1,3,IF(COUNTIF('Model info'!$N$18:$N$24,'Ecotox data'!G23)=1,2,IF(COUNTIF('Model info'!$O$18:$O$24,'Ecotox data'!H23)=1,1,0)))))))</f>
        <v>7</v>
      </c>
      <c r="Y23" s="177">
        <f t="shared" si="4"/>
        <v>8</v>
      </c>
    </row>
    <row r="24" spans="1:25">
      <c r="A24" s="305" t="s">
        <v>210</v>
      </c>
      <c r="B24" s="141">
        <v>5</v>
      </c>
      <c r="E24" s="29">
        <v>20</v>
      </c>
      <c r="F24" s="262" t="s">
        <v>26</v>
      </c>
      <c r="G24" s="129">
        <f>IF(AND('Ecotox data'!P24&gt;='Model info'!$C$4,'Ecotox data'!P24&lt;='Model info'!$C$5),1,0)</f>
        <v>0</v>
      </c>
      <c r="H24" s="171">
        <f>IF(COUNTIF('Model info'!$H$4:$H$10,'Ecotox data'!B24)=1,7,IF(COUNTIF('Model info'!$J$4:$J$10,'Ecotox data'!C24)=1,6,IF(COUNTIF('Model info'!$K$4:$K$10,'Ecotox data'!D24)=1,5,IF(COUNTIF('Model info'!$L$4:$L$10,'Ecotox data'!E24)=1,4,IF(COUNTIF('Model info'!$M$4:$M$10,'Ecotox data'!F24)=1,3,IF(COUNTIF('Model info'!$N$4:$N$10,'Ecotox data'!G24)=1,2,IF(COUNTIF('Model info'!$O$4:$O$10,'Ecotox data'!H24)=1,1,0)))))))</f>
        <v>7</v>
      </c>
      <c r="I24" s="177">
        <f t="shared" si="0"/>
        <v>7</v>
      </c>
      <c r="J24" s="35"/>
      <c r="K24" s="27">
        <f>IF(AND('Ecotox data'!U24&gt;='Model info'!$D$8,'Ecotox data'!U24&lt;='Model info'!$D$9),1,0)</f>
        <v>1</v>
      </c>
      <c r="L24" s="163">
        <f>IF(COUNTIF('Model info'!$H$12,'Ecotox data'!B24)=1,7,IF(COUNTIF('Model info'!$J$12,'Ecotox data'!C24)=1,6,IF(COUNTIF('Model info'!$K$12,'Ecotox data'!D24)=1,5,IF(COUNTIF('Model info'!$L$12,'Ecotox data'!E24)=1,4,IF(COUNTIF('Model info'!$M$12,'Ecotox data'!F24)=1,3,IF(COUNTIF('Model info'!$N$12,'Ecotox data'!G24)=1,2,IF(COUNTIF('Model info'!$O$12,'Ecotox data'!H24)=1,1,0)))))))</f>
        <v>0</v>
      </c>
      <c r="M24" s="182">
        <f t="shared" si="1"/>
        <v>1</v>
      </c>
      <c r="N24" s="35"/>
      <c r="O24" s="27">
        <f>IF(AND('Ecotox data'!M24&gt;='Model info'!$E$12,'Ecotox data'!M24&lt;='Model info'!$E$13),1,0)</f>
        <v>1</v>
      </c>
      <c r="P24" s="165">
        <f>IF(COUNTIF('Model info'!$H$14,'Ecotox data'!B24)=1,7,IF(COUNTIF('Model info'!$J$14,'Ecotox data'!C24)=1,6,IF(COUNTIF('Model info'!$K$14,'Ecotox data'!D24)=1,5,IF(COUNTIF('Model info'!$L$14,'Ecotox data'!E24)=1,4,IF(COUNTIF('Model info'!$M$14,'Ecotox data'!F24)=1,3,IF(COUNTIF('Model info'!$N$14,'Ecotox data'!G24)=1,2,IF(COUNTIF('Model info'!$O$14,'Ecotox data'!H24)=1,1,0)))))))</f>
        <v>1</v>
      </c>
      <c r="Q24" s="182">
        <f t="shared" si="2"/>
        <v>2</v>
      </c>
      <c r="R24" s="35"/>
      <c r="S24" s="27">
        <f>IF(AND('Ecotox data'!P24&gt;='Model info'!$C$16,'Ecotox data'!P24&lt;='Model info'!$C$17,'Ecotox data'!U24&gt;='Model info'!$D$16,'Ecotox data'!U24&lt;='Model info'!$D$17,'Ecotox data'!M24&gt;='Model info'!$E$16,'Ecotox data'!M24&lt;='Model info'!$E$17),1,0)</f>
        <v>1</v>
      </c>
      <c r="T24" s="172">
        <f>IF(COUNTIF('Model info'!$H$16,'Ecotox data'!B24)=1,7,IF(COUNTIF('Model info'!$J$16,'Ecotox data'!C24)=1,6,IF(COUNTIF('Model info'!$K$16,'Ecotox data'!D24)=1,5,IF(COUNTIF('Model info'!$L$16,'Ecotox data'!E24)=1,4,IF(COUNTIF('Model info'!$M$16,'Ecotox data'!F24)=1,3,IF(COUNTIF('Model info'!$N$16,'Ecotox data'!G24)=1,2,IF(COUNTIF('Model info'!$O$16,'Ecotox data'!H24)=1,1,0)))))))</f>
        <v>7</v>
      </c>
      <c r="U24" s="177">
        <f t="shared" si="3"/>
        <v>8</v>
      </c>
      <c r="V24" s="35"/>
      <c r="W24" s="27">
        <f>IF(AND('Ecotox data'!P24&gt;='Model info'!$C$20,'Ecotox data'!P24&lt;='Model info'!$C$21,'Ecotox data'!U24&gt;='Model info'!$D$20,'Ecotox data'!U24&lt;='Model info'!$D$21,'Ecotox data'!M24&gt;='Model info'!$E$20,'Ecotox data'!M24&lt;='Model info'!$E$21),1,0)</f>
        <v>1</v>
      </c>
      <c r="X24" s="171">
        <f>IF(COUNTIF('Model info'!$H$18:$H$24,'Ecotox data'!B24)=1,7,IF(COUNTIF('Model info'!$J$18:$J$24,'Ecotox data'!C24)=1,6,IF(COUNTIF('Model info'!$K$18:$K$24,'Ecotox data'!D24)=1,5,IF(COUNTIF('Model info'!$L$2:$L$24,'Ecotox data'!E24)=1,4,IF(COUNTIF('Model info'!$M$18:$M$24,'Ecotox data'!F24)=1,3,IF(COUNTIF('Model info'!$N$18:$N$24,'Ecotox data'!G24)=1,2,IF(COUNTIF('Model info'!$O$18:$O$24,'Ecotox data'!H24)=1,1,0)))))))</f>
        <v>7</v>
      </c>
      <c r="Y24" s="177">
        <f t="shared" si="4"/>
        <v>8</v>
      </c>
    </row>
    <row r="25" spans="1:25">
      <c r="A25" s="305"/>
      <c r="B25" s="141">
        <v>4</v>
      </c>
      <c r="E25" s="29">
        <v>21</v>
      </c>
      <c r="F25" s="262" t="s">
        <v>26</v>
      </c>
      <c r="G25" s="27">
        <f>IF(AND('Ecotox data'!P25&gt;='Model info'!$C$4,'Ecotox data'!P25&lt;='Model info'!$C$5),1,0)</f>
        <v>1</v>
      </c>
      <c r="H25" s="171">
        <f>IF(COUNTIF('Model info'!$H$4:$H$10,'Ecotox data'!B25)=1,7,IF(COUNTIF('Model info'!$J$4:$J$10,'Ecotox data'!C25)=1,6,IF(COUNTIF('Model info'!$K$4:$K$10,'Ecotox data'!D25)=1,5,IF(COUNTIF('Model info'!$L$4:$L$10,'Ecotox data'!E25)=1,4,IF(COUNTIF('Model info'!$M$4:$M$10,'Ecotox data'!F25)=1,3,IF(COUNTIF('Model info'!$N$4:$N$10,'Ecotox data'!G25)=1,2,IF(COUNTIF('Model info'!$O$4:$O$10,'Ecotox data'!H25)=1,1,0)))))))</f>
        <v>7</v>
      </c>
      <c r="I25" s="177">
        <f t="shared" si="0"/>
        <v>8</v>
      </c>
      <c r="J25" s="35"/>
      <c r="K25" s="27">
        <f>IF(AND('Ecotox data'!U25&gt;='Model info'!$D$8,'Ecotox data'!U25&lt;='Model info'!$D$9),1,0)</f>
        <v>1</v>
      </c>
      <c r="L25" s="163">
        <f>IF(COUNTIF('Model info'!$H$12,'Ecotox data'!B25)=1,7,IF(COUNTIF('Model info'!$J$12,'Ecotox data'!C25)=1,6,IF(COUNTIF('Model info'!$K$12,'Ecotox data'!D25)=1,5,IF(COUNTIF('Model info'!$L$12,'Ecotox data'!E25)=1,4,IF(COUNTIF('Model info'!$M$12,'Ecotox data'!F25)=1,3,IF(COUNTIF('Model info'!$N$12,'Ecotox data'!G25)=1,2,IF(COUNTIF('Model info'!$O$12,'Ecotox data'!H25)=1,1,0)))))))</f>
        <v>0</v>
      </c>
      <c r="M25" s="182">
        <f t="shared" si="1"/>
        <v>1</v>
      </c>
      <c r="N25" s="35"/>
      <c r="O25" s="27">
        <f>IF(AND('Ecotox data'!M25&gt;='Model info'!$E$12,'Ecotox data'!M25&lt;='Model info'!$E$13),1,0)</f>
        <v>1</v>
      </c>
      <c r="P25" s="165">
        <f>IF(COUNTIF('Model info'!$H$14,'Ecotox data'!B25)=1,7,IF(COUNTIF('Model info'!$J$14,'Ecotox data'!C25)=1,6,IF(COUNTIF('Model info'!$K$14,'Ecotox data'!D25)=1,5,IF(COUNTIF('Model info'!$L$14,'Ecotox data'!E25)=1,4,IF(COUNTIF('Model info'!$M$14,'Ecotox data'!F25)=1,3,IF(COUNTIF('Model info'!$N$14,'Ecotox data'!G25)=1,2,IF(COUNTIF('Model info'!$O$14,'Ecotox data'!H25)=1,1,0)))))))</f>
        <v>1</v>
      </c>
      <c r="Q25" s="182">
        <f t="shared" si="2"/>
        <v>2</v>
      </c>
      <c r="R25" s="35"/>
      <c r="S25" s="27">
        <f>IF(AND('Ecotox data'!P25&gt;='Model info'!$C$16,'Ecotox data'!P25&lt;='Model info'!$C$17,'Ecotox data'!U25&gt;='Model info'!$D$16,'Ecotox data'!U25&lt;='Model info'!$D$17,'Ecotox data'!M25&gt;='Model info'!$E$16,'Ecotox data'!M25&lt;='Model info'!$E$17),1,0)</f>
        <v>1</v>
      </c>
      <c r="T25" s="172">
        <f>IF(COUNTIF('Model info'!$H$16,'Ecotox data'!B25)=1,7,IF(COUNTIF('Model info'!$J$16,'Ecotox data'!C25)=1,6,IF(COUNTIF('Model info'!$K$16,'Ecotox data'!D25)=1,5,IF(COUNTIF('Model info'!$L$16,'Ecotox data'!E25)=1,4,IF(COUNTIF('Model info'!$M$16,'Ecotox data'!F25)=1,3,IF(COUNTIF('Model info'!$N$16,'Ecotox data'!G25)=1,2,IF(COUNTIF('Model info'!$O$16,'Ecotox data'!H25)=1,1,0)))))))</f>
        <v>7</v>
      </c>
      <c r="U25" s="177">
        <f t="shared" si="3"/>
        <v>8</v>
      </c>
      <c r="V25" s="35"/>
      <c r="W25" s="27">
        <f>IF(AND('Ecotox data'!P25&gt;='Model info'!$C$20,'Ecotox data'!P25&lt;='Model info'!$C$21,'Ecotox data'!U25&gt;='Model info'!$D$20,'Ecotox data'!U25&lt;='Model info'!$D$21,'Ecotox data'!M25&gt;='Model info'!$E$20,'Ecotox data'!M25&lt;='Model info'!$E$21),1,0)</f>
        <v>1</v>
      </c>
      <c r="X25" s="171">
        <f>IF(COUNTIF('Model info'!$H$18:$H$24,'Ecotox data'!B25)=1,7,IF(COUNTIF('Model info'!$J$18:$J$24,'Ecotox data'!C25)=1,6,IF(COUNTIF('Model info'!$K$18:$K$24,'Ecotox data'!D25)=1,5,IF(COUNTIF('Model info'!$L$2:$L$24,'Ecotox data'!E25)=1,4,IF(COUNTIF('Model info'!$M$18:$M$24,'Ecotox data'!F25)=1,3,IF(COUNTIF('Model info'!$N$18:$N$24,'Ecotox data'!G25)=1,2,IF(COUNTIF('Model info'!$O$18:$O$24,'Ecotox data'!H25)=1,1,0)))))))</f>
        <v>7</v>
      </c>
      <c r="Y25" s="177">
        <f t="shared" si="4"/>
        <v>8</v>
      </c>
    </row>
    <row r="26" spans="1:25">
      <c r="A26" s="305"/>
      <c r="B26" s="141">
        <v>3</v>
      </c>
      <c r="E26" s="29">
        <v>22</v>
      </c>
      <c r="F26" s="262" t="s">
        <v>26</v>
      </c>
      <c r="G26" s="27">
        <f>IF(AND('Ecotox data'!P26&gt;='Model info'!$C$4,'Ecotox data'!P26&lt;='Model info'!$C$5),1,0)</f>
        <v>1</v>
      </c>
      <c r="H26" s="171">
        <f>IF(COUNTIF('Model info'!$H$4:$H$10,'Ecotox data'!B26)=1,7,IF(COUNTIF('Model info'!$J$4:$J$10,'Ecotox data'!C26)=1,6,IF(COUNTIF('Model info'!$K$4:$K$10,'Ecotox data'!D26)=1,5,IF(COUNTIF('Model info'!$L$4:$L$10,'Ecotox data'!E26)=1,4,IF(COUNTIF('Model info'!$M$4:$M$10,'Ecotox data'!F26)=1,3,IF(COUNTIF('Model info'!$N$4:$N$10,'Ecotox data'!G26)=1,2,IF(COUNTIF('Model info'!$O$4:$O$10,'Ecotox data'!H26)=1,1,0)))))))</f>
        <v>7</v>
      </c>
      <c r="I26" s="177">
        <f t="shared" si="0"/>
        <v>8</v>
      </c>
      <c r="J26" s="35"/>
      <c r="K26" s="27">
        <f>IF(AND('Ecotox data'!U26&gt;='Model info'!$D$8,'Ecotox data'!U26&lt;='Model info'!$D$9),1,0)</f>
        <v>1</v>
      </c>
      <c r="L26" s="163">
        <f>IF(COUNTIF('Model info'!$H$12,'Ecotox data'!B26)=1,7,IF(COUNTIF('Model info'!$J$12,'Ecotox data'!C26)=1,6,IF(COUNTIF('Model info'!$K$12,'Ecotox data'!D26)=1,5,IF(COUNTIF('Model info'!$L$12,'Ecotox data'!E26)=1,4,IF(COUNTIF('Model info'!$M$12,'Ecotox data'!F26)=1,3,IF(COUNTIF('Model info'!$N$12,'Ecotox data'!G26)=1,2,IF(COUNTIF('Model info'!$O$12,'Ecotox data'!H26)=1,1,0)))))))</f>
        <v>0</v>
      </c>
      <c r="M26" s="182">
        <f t="shared" si="1"/>
        <v>1</v>
      </c>
      <c r="N26" s="35"/>
      <c r="O26" s="27">
        <f>IF(AND('Ecotox data'!M26&gt;='Model info'!$E$12,'Ecotox data'!M26&lt;='Model info'!$E$13),1,0)</f>
        <v>1</v>
      </c>
      <c r="P26" s="165">
        <f>IF(COUNTIF('Model info'!$H$14,'Ecotox data'!B26)=1,7,IF(COUNTIF('Model info'!$J$14,'Ecotox data'!C26)=1,6,IF(COUNTIF('Model info'!$K$14,'Ecotox data'!D26)=1,5,IF(COUNTIF('Model info'!$L$14,'Ecotox data'!E26)=1,4,IF(COUNTIF('Model info'!$M$14,'Ecotox data'!F26)=1,3,IF(COUNTIF('Model info'!$N$14,'Ecotox data'!G26)=1,2,IF(COUNTIF('Model info'!$O$14,'Ecotox data'!H26)=1,1,0)))))))</f>
        <v>1</v>
      </c>
      <c r="Q26" s="182">
        <f t="shared" si="2"/>
        <v>2</v>
      </c>
      <c r="R26" s="35"/>
      <c r="S26" s="27">
        <f>IF(AND('Ecotox data'!P26&gt;='Model info'!$C$16,'Ecotox data'!P26&lt;='Model info'!$C$17,'Ecotox data'!U26&gt;='Model info'!$D$16,'Ecotox data'!U26&lt;='Model info'!$D$17,'Ecotox data'!M26&gt;='Model info'!$E$16,'Ecotox data'!M26&lt;='Model info'!$E$17),1,0)</f>
        <v>1</v>
      </c>
      <c r="T26" s="172">
        <f>IF(COUNTIF('Model info'!$H$16,'Ecotox data'!B26)=1,7,IF(COUNTIF('Model info'!$J$16,'Ecotox data'!C26)=1,6,IF(COUNTIF('Model info'!$K$16,'Ecotox data'!D26)=1,5,IF(COUNTIF('Model info'!$L$16,'Ecotox data'!E26)=1,4,IF(COUNTIF('Model info'!$M$16,'Ecotox data'!F26)=1,3,IF(COUNTIF('Model info'!$N$16,'Ecotox data'!G26)=1,2,IF(COUNTIF('Model info'!$O$16,'Ecotox data'!H26)=1,1,0)))))))</f>
        <v>7</v>
      </c>
      <c r="U26" s="177">
        <f t="shared" si="3"/>
        <v>8</v>
      </c>
      <c r="V26" s="35"/>
      <c r="W26" s="27">
        <f>IF(AND('Ecotox data'!P26&gt;='Model info'!$C$20,'Ecotox data'!P26&lt;='Model info'!$C$21,'Ecotox data'!U26&gt;='Model info'!$D$20,'Ecotox data'!U26&lt;='Model info'!$D$21,'Ecotox data'!M26&gt;='Model info'!$E$20,'Ecotox data'!M26&lt;='Model info'!$E$21),1,0)</f>
        <v>1</v>
      </c>
      <c r="X26" s="171">
        <f>IF(COUNTIF('Model info'!$H$18:$H$24,'Ecotox data'!B26)=1,7,IF(COUNTIF('Model info'!$J$18:$J$24,'Ecotox data'!C26)=1,6,IF(COUNTIF('Model info'!$K$18:$K$24,'Ecotox data'!D26)=1,5,IF(COUNTIF('Model info'!$L$2:$L$24,'Ecotox data'!E26)=1,4,IF(COUNTIF('Model info'!$M$18:$M$24,'Ecotox data'!F26)=1,3,IF(COUNTIF('Model info'!$N$18:$N$24,'Ecotox data'!G26)=1,2,IF(COUNTIF('Model info'!$O$18:$O$24,'Ecotox data'!H26)=1,1,0)))))))</f>
        <v>7</v>
      </c>
      <c r="Y26" s="177">
        <f t="shared" si="4"/>
        <v>8</v>
      </c>
    </row>
    <row r="27" spans="1:25">
      <c r="A27" s="305" t="s">
        <v>209</v>
      </c>
      <c r="B27" s="179">
        <v>2</v>
      </c>
      <c r="E27" s="29">
        <v>23</v>
      </c>
      <c r="F27" s="262" t="s">
        <v>26</v>
      </c>
      <c r="G27" s="27">
        <f>IF(AND('Ecotox data'!P27&gt;='Model info'!$C$4,'Ecotox data'!P27&lt;='Model info'!$C$5),1,0)</f>
        <v>1</v>
      </c>
      <c r="H27" s="171">
        <f>IF(COUNTIF('Model info'!$H$4:$H$10,'Ecotox data'!B27)=1,7,IF(COUNTIF('Model info'!$J$4:$J$10,'Ecotox data'!C27)=1,6,IF(COUNTIF('Model info'!$K$4:$K$10,'Ecotox data'!D27)=1,5,IF(COUNTIF('Model info'!$L$4:$L$10,'Ecotox data'!E27)=1,4,IF(COUNTIF('Model info'!$M$4:$M$10,'Ecotox data'!F27)=1,3,IF(COUNTIF('Model info'!$N$4:$N$10,'Ecotox data'!G27)=1,2,IF(COUNTIF('Model info'!$O$4:$O$10,'Ecotox data'!H27)=1,1,0)))))))</f>
        <v>7</v>
      </c>
      <c r="I27" s="177">
        <f t="shared" si="0"/>
        <v>8</v>
      </c>
      <c r="J27" s="35"/>
      <c r="K27" s="27">
        <f>IF(AND('Ecotox data'!U27&gt;='Model info'!$D$8,'Ecotox data'!U27&lt;='Model info'!$D$9),1,0)</f>
        <v>1</v>
      </c>
      <c r="L27" s="163">
        <f>IF(COUNTIF('Model info'!$H$12,'Ecotox data'!B27)=1,7,IF(COUNTIF('Model info'!$J$12,'Ecotox data'!C27)=1,6,IF(COUNTIF('Model info'!$K$12,'Ecotox data'!D27)=1,5,IF(COUNTIF('Model info'!$L$12,'Ecotox data'!E27)=1,4,IF(COUNTIF('Model info'!$M$12,'Ecotox data'!F27)=1,3,IF(COUNTIF('Model info'!$N$12,'Ecotox data'!G27)=1,2,IF(COUNTIF('Model info'!$O$12,'Ecotox data'!H27)=1,1,0)))))))</f>
        <v>0</v>
      </c>
      <c r="M27" s="182">
        <f t="shared" si="1"/>
        <v>1</v>
      </c>
      <c r="N27" s="35"/>
      <c r="O27" s="27">
        <f>IF(AND('Ecotox data'!M27&gt;='Model info'!$E$12,'Ecotox data'!M27&lt;='Model info'!$E$13),1,0)</f>
        <v>1</v>
      </c>
      <c r="P27" s="165">
        <f>IF(COUNTIF('Model info'!$H$14,'Ecotox data'!B27)=1,7,IF(COUNTIF('Model info'!$J$14,'Ecotox data'!C27)=1,6,IF(COUNTIF('Model info'!$K$14,'Ecotox data'!D27)=1,5,IF(COUNTIF('Model info'!$L$14,'Ecotox data'!E27)=1,4,IF(COUNTIF('Model info'!$M$14,'Ecotox data'!F27)=1,3,IF(COUNTIF('Model info'!$N$14,'Ecotox data'!G27)=1,2,IF(COUNTIF('Model info'!$O$14,'Ecotox data'!H27)=1,1,0)))))))</f>
        <v>1</v>
      </c>
      <c r="Q27" s="182">
        <f t="shared" si="2"/>
        <v>2</v>
      </c>
      <c r="R27" s="35"/>
      <c r="S27" s="27">
        <f>IF(AND('Ecotox data'!P27&gt;='Model info'!$C$16,'Ecotox data'!P27&lt;='Model info'!$C$17,'Ecotox data'!U27&gt;='Model info'!$D$16,'Ecotox data'!U27&lt;='Model info'!$D$17,'Ecotox data'!M27&gt;='Model info'!$E$16,'Ecotox data'!M27&lt;='Model info'!$E$17),1,0)</f>
        <v>1</v>
      </c>
      <c r="T27" s="172">
        <f>IF(COUNTIF('Model info'!$H$16,'Ecotox data'!B27)=1,7,IF(COUNTIF('Model info'!$J$16,'Ecotox data'!C27)=1,6,IF(COUNTIF('Model info'!$K$16,'Ecotox data'!D27)=1,5,IF(COUNTIF('Model info'!$L$16,'Ecotox data'!E27)=1,4,IF(COUNTIF('Model info'!$M$16,'Ecotox data'!F27)=1,3,IF(COUNTIF('Model info'!$N$16,'Ecotox data'!G27)=1,2,IF(COUNTIF('Model info'!$O$16,'Ecotox data'!H27)=1,1,0)))))))</f>
        <v>7</v>
      </c>
      <c r="U27" s="177">
        <f t="shared" si="3"/>
        <v>8</v>
      </c>
      <c r="V27" s="35"/>
      <c r="W27" s="27">
        <f>IF(AND('Ecotox data'!P27&gt;='Model info'!$C$20,'Ecotox data'!P27&lt;='Model info'!$C$21,'Ecotox data'!U27&gt;='Model info'!$D$20,'Ecotox data'!U27&lt;='Model info'!$D$21,'Ecotox data'!M27&gt;='Model info'!$E$20,'Ecotox data'!M27&lt;='Model info'!$E$21),1,0)</f>
        <v>1</v>
      </c>
      <c r="X27" s="171">
        <f>IF(COUNTIF('Model info'!$H$18:$H$24,'Ecotox data'!B27)=1,7,IF(COUNTIF('Model info'!$J$18:$J$24,'Ecotox data'!C27)=1,6,IF(COUNTIF('Model info'!$K$18:$K$24,'Ecotox data'!D27)=1,5,IF(COUNTIF('Model info'!$L$2:$L$24,'Ecotox data'!E27)=1,4,IF(COUNTIF('Model info'!$M$18:$M$24,'Ecotox data'!F27)=1,3,IF(COUNTIF('Model info'!$N$18:$N$24,'Ecotox data'!G27)=1,2,IF(COUNTIF('Model info'!$O$18:$O$24,'Ecotox data'!H27)=1,1,0)))))))</f>
        <v>7</v>
      </c>
      <c r="Y27" s="177">
        <f t="shared" si="4"/>
        <v>8</v>
      </c>
    </row>
    <row r="28" spans="1:25">
      <c r="A28" s="305"/>
      <c r="B28" s="179">
        <v>1</v>
      </c>
      <c r="E28" s="29">
        <v>24</v>
      </c>
      <c r="F28" s="262" t="s">
        <v>26</v>
      </c>
      <c r="G28" s="27">
        <f>IF(AND('Ecotox data'!P28&gt;='Model info'!$C$4,'Ecotox data'!P28&lt;='Model info'!$C$5),1,0)</f>
        <v>1</v>
      </c>
      <c r="H28" s="171">
        <f>IF(COUNTIF('Model info'!$H$4:$H$10,'Ecotox data'!B28)=1,7,IF(COUNTIF('Model info'!$J$4:$J$10,'Ecotox data'!C28)=1,6,IF(COUNTIF('Model info'!$K$4:$K$10,'Ecotox data'!D28)=1,5,IF(COUNTIF('Model info'!$L$4:$L$10,'Ecotox data'!E28)=1,4,IF(COUNTIF('Model info'!$M$4:$M$10,'Ecotox data'!F28)=1,3,IF(COUNTIF('Model info'!$N$4:$N$10,'Ecotox data'!G28)=1,2,IF(COUNTIF('Model info'!$O$4:$O$10,'Ecotox data'!H28)=1,1,0)))))))</f>
        <v>7</v>
      </c>
      <c r="I28" s="177">
        <f t="shared" si="0"/>
        <v>8</v>
      </c>
      <c r="J28" s="35"/>
      <c r="K28" s="27">
        <f>IF(AND('Ecotox data'!U28&gt;='Model info'!$D$8,'Ecotox data'!U28&lt;='Model info'!$D$9),1,0)</f>
        <v>1</v>
      </c>
      <c r="L28" s="163">
        <f>IF(COUNTIF('Model info'!$H$12,'Ecotox data'!B28)=1,7,IF(COUNTIF('Model info'!$J$12,'Ecotox data'!C28)=1,6,IF(COUNTIF('Model info'!$K$12,'Ecotox data'!D28)=1,5,IF(COUNTIF('Model info'!$L$12,'Ecotox data'!E28)=1,4,IF(COUNTIF('Model info'!$M$12,'Ecotox data'!F28)=1,3,IF(COUNTIF('Model info'!$N$12,'Ecotox data'!G28)=1,2,IF(COUNTIF('Model info'!$O$12,'Ecotox data'!H28)=1,1,0)))))))</f>
        <v>0</v>
      </c>
      <c r="M28" s="182">
        <f t="shared" si="1"/>
        <v>1</v>
      </c>
      <c r="N28" s="35"/>
      <c r="O28" s="27">
        <f>IF(AND('Ecotox data'!M28&gt;='Model info'!$E$12,'Ecotox data'!M28&lt;='Model info'!$E$13),1,0)</f>
        <v>1</v>
      </c>
      <c r="P28" s="165">
        <f>IF(COUNTIF('Model info'!$H$14,'Ecotox data'!B28)=1,7,IF(COUNTIF('Model info'!$J$14,'Ecotox data'!C28)=1,6,IF(COUNTIF('Model info'!$K$14,'Ecotox data'!D28)=1,5,IF(COUNTIF('Model info'!$L$14,'Ecotox data'!E28)=1,4,IF(COUNTIF('Model info'!$M$14,'Ecotox data'!F28)=1,3,IF(COUNTIF('Model info'!$N$14,'Ecotox data'!G28)=1,2,IF(COUNTIF('Model info'!$O$14,'Ecotox data'!H28)=1,1,0)))))))</f>
        <v>1</v>
      </c>
      <c r="Q28" s="182">
        <f t="shared" si="2"/>
        <v>2</v>
      </c>
      <c r="R28" s="35"/>
      <c r="S28" s="27">
        <f>IF(AND('Ecotox data'!P28&gt;='Model info'!$C$16,'Ecotox data'!P28&lt;='Model info'!$C$17,'Ecotox data'!U28&gt;='Model info'!$D$16,'Ecotox data'!U28&lt;='Model info'!$D$17,'Ecotox data'!M28&gt;='Model info'!$E$16,'Ecotox data'!M28&lt;='Model info'!$E$17),1,0)</f>
        <v>1</v>
      </c>
      <c r="T28" s="172">
        <f>IF(COUNTIF('Model info'!$H$16,'Ecotox data'!B28)=1,7,IF(COUNTIF('Model info'!$J$16,'Ecotox data'!C28)=1,6,IF(COUNTIF('Model info'!$K$16,'Ecotox data'!D28)=1,5,IF(COUNTIF('Model info'!$L$16,'Ecotox data'!E28)=1,4,IF(COUNTIF('Model info'!$M$16,'Ecotox data'!F28)=1,3,IF(COUNTIF('Model info'!$N$16,'Ecotox data'!G28)=1,2,IF(COUNTIF('Model info'!$O$16,'Ecotox data'!H28)=1,1,0)))))))</f>
        <v>7</v>
      </c>
      <c r="U28" s="177">
        <f t="shared" si="3"/>
        <v>8</v>
      </c>
      <c r="V28" s="35"/>
      <c r="W28" s="27">
        <f>IF(AND('Ecotox data'!P28&gt;='Model info'!$C$20,'Ecotox data'!P28&lt;='Model info'!$C$21,'Ecotox data'!U28&gt;='Model info'!$D$20,'Ecotox data'!U28&lt;='Model info'!$D$21,'Ecotox data'!M28&gt;='Model info'!$E$20,'Ecotox data'!M28&lt;='Model info'!$E$21),1,0)</f>
        <v>1</v>
      </c>
      <c r="X28" s="171">
        <f>IF(COUNTIF('Model info'!$H$18:$H$24,'Ecotox data'!B28)=1,7,IF(COUNTIF('Model info'!$J$18:$J$24,'Ecotox data'!C28)=1,6,IF(COUNTIF('Model info'!$K$18:$K$24,'Ecotox data'!D28)=1,5,IF(COUNTIF('Model info'!$L$2:$L$24,'Ecotox data'!E28)=1,4,IF(COUNTIF('Model info'!$M$18:$M$24,'Ecotox data'!F28)=1,3,IF(COUNTIF('Model info'!$N$18:$N$24,'Ecotox data'!G28)=1,2,IF(COUNTIF('Model info'!$O$18:$O$24,'Ecotox data'!H28)=1,1,0)))))))</f>
        <v>7</v>
      </c>
      <c r="Y28" s="177">
        <f t="shared" si="4"/>
        <v>8</v>
      </c>
    </row>
    <row r="29" spans="1:25">
      <c r="A29" s="305"/>
      <c r="B29" s="180">
        <v>0</v>
      </c>
      <c r="E29" s="29">
        <v>25</v>
      </c>
      <c r="F29" s="262" t="s">
        <v>26</v>
      </c>
      <c r="G29" s="27">
        <f>IF(AND('Ecotox data'!P29&gt;='Model info'!$C$4,'Ecotox data'!P29&lt;='Model info'!$C$5),1,0)</f>
        <v>1</v>
      </c>
      <c r="H29" s="171">
        <f>IF(COUNTIF('Model info'!$H$4:$H$10,'Ecotox data'!B29)=1,7,IF(COUNTIF('Model info'!$J$4:$J$10,'Ecotox data'!C29)=1,6,IF(COUNTIF('Model info'!$K$4:$K$10,'Ecotox data'!D29)=1,5,IF(COUNTIF('Model info'!$L$4:$L$10,'Ecotox data'!E29)=1,4,IF(COUNTIF('Model info'!$M$4:$M$10,'Ecotox data'!F29)=1,3,IF(COUNTIF('Model info'!$N$4:$N$10,'Ecotox data'!G29)=1,2,IF(COUNTIF('Model info'!$O$4:$O$10,'Ecotox data'!H29)=1,1,0)))))))</f>
        <v>7</v>
      </c>
      <c r="I29" s="177">
        <f t="shared" si="0"/>
        <v>8</v>
      </c>
      <c r="J29" s="35"/>
      <c r="K29" s="27">
        <f>IF(AND('Ecotox data'!U29&gt;='Model info'!$D$8,'Ecotox data'!U29&lt;='Model info'!$D$9),1,0)</f>
        <v>1</v>
      </c>
      <c r="L29" s="163">
        <f>IF(COUNTIF('Model info'!$H$12,'Ecotox data'!B29)=1,7,IF(COUNTIF('Model info'!$J$12,'Ecotox data'!C29)=1,6,IF(COUNTIF('Model info'!$K$12,'Ecotox data'!D29)=1,5,IF(COUNTIF('Model info'!$L$12,'Ecotox data'!E29)=1,4,IF(COUNTIF('Model info'!$M$12,'Ecotox data'!F29)=1,3,IF(COUNTIF('Model info'!$N$12,'Ecotox data'!G29)=1,2,IF(COUNTIF('Model info'!$O$12,'Ecotox data'!H29)=1,1,0)))))))</f>
        <v>0</v>
      </c>
      <c r="M29" s="182">
        <f t="shared" si="1"/>
        <v>1</v>
      </c>
      <c r="N29" s="35"/>
      <c r="O29" s="27">
        <f>IF(AND('Ecotox data'!M29&gt;='Model info'!$E$12,'Ecotox data'!M29&lt;='Model info'!$E$13),1,0)</f>
        <v>1</v>
      </c>
      <c r="P29" s="165">
        <f>IF(COUNTIF('Model info'!$H$14,'Ecotox data'!B29)=1,7,IF(COUNTIF('Model info'!$J$14,'Ecotox data'!C29)=1,6,IF(COUNTIF('Model info'!$K$14,'Ecotox data'!D29)=1,5,IF(COUNTIF('Model info'!$L$14,'Ecotox data'!E29)=1,4,IF(COUNTIF('Model info'!$M$14,'Ecotox data'!F29)=1,3,IF(COUNTIF('Model info'!$N$14,'Ecotox data'!G29)=1,2,IF(COUNTIF('Model info'!$O$14,'Ecotox data'!H29)=1,1,0)))))))</f>
        <v>1</v>
      </c>
      <c r="Q29" s="182">
        <f t="shared" si="2"/>
        <v>2</v>
      </c>
      <c r="R29" s="35"/>
      <c r="S29" s="27">
        <f>IF(AND('Ecotox data'!P29&gt;='Model info'!$C$16,'Ecotox data'!P29&lt;='Model info'!$C$17,'Ecotox data'!U29&gt;='Model info'!$D$16,'Ecotox data'!U29&lt;='Model info'!$D$17,'Ecotox data'!M29&gt;='Model info'!$E$16,'Ecotox data'!M29&lt;='Model info'!$E$17),1,0)</f>
        <v>1</v>
      </c>
      <c r="T29" s="172">
        <f>IF(COUNTIF('Model info'!$H$16,'Ecotox data'!B29)=1,7,IF(COUNTIF('Model info'!$J$16,'Ecotox data'!C29)=1,6,IF(COUNTIF('Model info'!$K$16,'Ecotox data'!D29)=1,5,IF(COUNTIF('Model info'!$L$16,'Ecotox data'!E29)=1,4,IF(COUNTIF('Model info'!$M$16,'Ecotox data'!F29)=1,3,IF(COUNTIF('Model info'!$N$16,'Ecotox data'!G29)=1,2,IF(COUNTIF('Model info'!$O$16,'Ecotox data'!H29)=1,1,0)))))))</f>
        <v>7</v>
      </c>
      <c r="U29" s="177">
        <f t="shared" si="3"/>
        <v>8</v>
      </c>
      <c r="V29" s="35"/>
      <c r="W29" s="27">
        <f>IF(AND('Ecotox data'!P29&gt;='Model info'!$C$20,'Ecotox data'!P29&lt;='Model info'!$C$21,'Ecotox data'!U29&gt;='Model info'!$D$20,'Ecotox data'!U29&lt;='Model info'!$D$21,'Ecotox data'!M29&gt;='Model info'!$E$20,'Ecotox data'!M29&lt;='Model info'!$E$21),1,0)</f>
        <v>1</v>
      </c>
      <c r="X29" s="171">
        <f>IF(COUNTIF('Model info'!$H$18:$H$24,'Ecotox data'!B29)=1,7,IF(COUNTIF('Model info'!$J$18:$J$24,'Ecotox data'!C29)=1,6,IF(COUNTIF('Model info'!$K$18:$K$24,'Ecotox data'!D29)=1,5,IF(COUNTIF('Model info'!$L$2:$L$24,'Ecotox data'!E29)=1,4,IF(COUNTIF('Model info'!$M$18:$M$24,'Ecotox data'!F29)=1,3,IF(COUNTIF('Model info'!$N$18:$N$24,'Ecotox data'!G29)=1,2,IF(COUNTIF('Model info'!$O$18:$O$24,'Ecotox data'!H29)=1,1,0)))))))</f>
        <v>7</v>
      </c>
      <c r="Y29" s="177">
        <f t="shared" si="4"/>
        <v>8</v>
      </c>
    </row>
    <row r="30" spans="1:25">
      <c r="E30" s="29">
        <v>26</v>
      </c>
      <c r="F30" s="262" t="s">
        <v>26</v>
      </c>
      <c r="G30" s="27">
        <f>IF(AND('Ecotox data'!P30&gt;='Model info'!$C$4,'Ecotox data'!P30&lt;='Model info'!$C$5),1,0)</f>
        <v>1</v>
      </c>
      <c r="H30" s="171">
        <f>IF(COUNTIF('Model info'!$H$4:$H$10,'Ecotox data'!B30)=1,7,IF(COUNTIF('Model info'!$J$4:$J$10,'Ecotox data'!C30)=1,6,IF(COUNTIF('Model info'!$K$4:$K$10,'Ecotox data'!D30)=1,5,IF(COUNTIF('Model info'!$L$4:$L$10,'Ecotox data'!E30)=1,4,IF(COUNTIF('Model info'!$M$4:$M$10,'Ecotox data'!F30)=1,3,IF(COUNTIF('Model info'!$N$4:$N$10,'Ecotox data'!G30)=1,2,IF(COUNTIF('Model info'!$O$4:$O$10,'Ecotox data'!H30)=1,1,0)))))))</f>
        <v>7</v>
      </c>
      <c r="I30" s="177">
        <f t="shared" si="0"/>
        <v>8</v>
      </c>
      <c r="J30" s="35"/>
      <c r="K30" s="27">
        <f>IF(AND('Ecotox data'!U30&gt;='Model info'!$D$8,'Ecotox data'!U30&lt;='Model info'!$D$9),1,0)</f>
        <v>1</v>
      </c>
      <c r="L30" s="163">
        <f>IF(COUNTIF('Model info'!$H$12,'Ecotox data'!B30)=1,7,IF(COUNTIF('Model info'!$J$12,'Ecotox data'!C30)=1,6,IF(COUNTIF('Model info'!$K$12,'Ecotox data'!D30)=1,5,IF(COUNTIF('Model info'!$L$12,'Ecotox data'!E30)=1,4,IF(COUNTIF('Model info'!$M$12,'Ecotox data'!F30)=1,3,IF(COUNTIF('Model info'!$N$12,'Ecotox data'!G30)=1,2,IF(COUNTIF('Model info'!$O$12,'Ecotox data'!H30)=1,1,0)))))))</f>
        <v>0</v>
      </c>
      <c r="M30" s="182">
        <f t="shared" si="1"/>
        <v>1</v>
      </c>
      <c r="N30" s="35"/>
      <c r="O30" s="27">
        <f>IF(AND('Ecotox data'!M30&gt;='Model info'!$E$12,'Ecotox data'!M30&lt;='Model info'!$E$13),1,0)</f>
        <v>1</v>
      </c>
      <c r="P30" s="165">
        <f>IF(COUNTIF('Model info'!$H$14,'Ecotox data'!B30)=1,7,IF(COUNTIF('Model info'!$J$14,'Ecotox data'!C30)=1,6,IF(COUNTIF('Model info'!$K$14,'Ecotox data'!D30)=1,5,IF(COUNTIF('Model info'!$L$14,'Ecotox data'!E30)=1,4,IF(COUNTIF('Model info'!$M$14,'Ecotox data'!F30)=1,3,IF(COUNTIF('Model info'!$N$14,'Ecotox data'!G30)=1,2,IF(COUNTIF('Model info'!$O$14,'Ecotox data'!H30)=1,1,0)))))))</f>
        <v>1</v>
      </c>
      <c r="Q30" s="182">
        <f t="shared" si="2"/>
        <v>2</v>
      </c>
      <c r="R30" s="35"/>
      <c r="S30" s="27">
        <f>IF(AND('Ecotox data'!P30&gt;='Model info'!$C$16,'Ecotox data'!P30&lt;='Model info'!$C$17,'Ecotox data'!U30&gt;='Model info'!$D$16,'Ecotox data'!U30&lt;='Model info'!$D$17,'Ecotox data'!M30&gt;='Model info'!$E$16,'Ecotox data'!M30&lt;='Model info'!$E$17),1,0)</f>
        <v>1</v>
      </c>
      <c r="T30" s="172">
        <f>IF(COUNTIF('Model info'!$H$16,'Ecotox data'!B30)=1,7,IF(COUNTIF('Model info'!$J$16,'Ecotox data'!C30)=1,6,IF(COUNTIF('Model info'!$K$16,'Ecotox data'!D30)=1,5,IF(COUNTIF('Model info'!$L$16,'Ecotox data'!E30)=1,4,IF(COUNTIF('Model info'!$M$16,'Ecotox data'!F30)=1,3,IF(COUNTIF('Model info'!$N$16,'Ecotox data'!G30)=1,2,IF(COUNTIF('Model info'!$O$16,'Ecotox data'!H30)=1,1,0)))))))</f>
        <v>7</v>
      </c>
      <c r="U30" s="177">
        <f t="shared" si="3"/>
        <v>8</v>
      </c>
      <c r="V30" s="35"/>
      <c r="W30" s="27">
        <f>IF(AND('Ecotox data'!P30&gt;='Model info'!$C$20,'Ecotox data'!P30&lt;='Model info'!$C$21,'Ecotox data'!U30&gt;='Model info'!$D$20,'Ecotox data'!U30&lt;='Model info'!$D$21,'Ecotox data'!M30&gt;='Model info'!$E$20,'Ecotox data'!M30&lt;='Model info'!$E$21),1,0)</f>
        <v>1</v>
      </c>
      <c r="X30" s="171">
        <f>IF(COUNTIF('Model info'!$H$18:$H$24,'Ecotox data'!B30)=1,7,IF(COUNTIF('Model info'!$J$18:$J$24,'Ecotox data'!C30)=1,6,IF(COUNTIF('Model info'!$K$18:$K$24,'Ecotox data'!D30)=1,5,IF(COUNTIF('Model info'!$L$2:$L$24,'Ecotox data'!E30)=1,4,IF(COUNTIF('Model info'!$M$18:$M$24,'Ecotox data'!F30)=1,3,IF(COUNTIF('Model info'!$N$18:$N$24,'Ecotox data'!G30)=1,2,IF(COUNTIF('Model info'!$O$18:$O$24,'Ecotox data'!H30)=1,1,0)))))))</f>
        <v>7</v>
      </c>
      <c r="Y30" s="177">
        <f t="shared" si="4"/>
        <v>8</v>
      </c>
    </row>
    <row r="31" spans="1:25">
      <c r="A31" s="127"/>
      <c r="B31" s="43"/>
      <c r="E31" s="29">
        <v>27</v>
      </c>
      <c r="F31" s="262" t="s">
        <v>26</v>
      </c>
      <c r="G31" s="27">
        <f>IF(AND('Ecotox data'!P31&gt;='Model info'!$C$4,'Ecotox data'!P31&lt;='Model info'!$C$5),1,0)</f>
        <v>1</v>
      </c>
      <c r="H31" s="171">
        <f>IF(COUNTIF('Model info'!$H$4:$H$10,'Ecotox data'!B31)=1,7,IF(COUNTIF('Model info'!$J$4:$J$10,'Ecotox data'!C31)=1,6,IF(COUNTIF('Model info'!$K$4:$K$10,'Ecotox data'!D31)=1,5,IF(COUNTIF('Model info'!$L$4:$L$10,'Ecotox data'!E31)=1,4,IF(COUNTIF('Model info'!$M$4:$M$10,'Ecotox data'!F31)=1,3,IF(COUNTIF('Model info'!$N$4:$N$10,'Ecotox data'!G31)=1,2,IF(COUNTIF('Model info'!$O$4:$O$10,'Ecotox data'!H31)=1,1,0)))))))</f>
        <v>7</v>
      </c>
      <c r="I31" s="177">
        <f t="shared" si="0"/>
        <v>8</v>
      </c>
      <c r="J31" s="35"/>
      <c r="K31" s="27">
        <f>IF(AND('Ecotox data'!U31&gt;='Model info'!$D$8,'Ecotox data'!U31&lt;='Model info'!$D$9),1,0)</f>
        <v>1</v>
      </c>
      <c r="L31" s="163">
        <f>IF(COUNTIF('Model info'!$H$12,'Ecotox data'!B31)=1,7,IF(COUNTIF('Model info'!$J$12,'Ecotox data'!C31)=1,6,IF(COUNTIF('Model info'!$K$12,'Ecotox data'!D31)=1,5,IF(COUNTIF('Model info'!$L$12,'Ecotox data'!E31)=1,4,IF(COUNTIF('Model info'!$M$12,'Ecotox data'!F31)=1,3,IF(COUNTIF('Model info'!$N$12,'Ecotox data'!G31)=1,2,IF(COUNTIF('Model info'!$O$12,'Ecotox data'!H31)=1,1,0)))))))</f>
        <v>0</v>
      </c>
      <c r="M31" s="182">
        <f t="shared" si="1"/>
        <v>1</v>
      </c>
      <c r="N31" s="35"/>
      <c r="O31" s="27">
        <f>IF(AND('Ecotox data'!M31&gt;='Model info'!$E$12,'Ecotox data'!M31&lt;='Model info'!$E$13),1,0)</f>
        <v>1</v>
      </c>
      <c r="P31" s="165">
        <f>IF(COUNTIF('Model info'!$H$14,'Ecotox data'!B31)=1,7,IF(COUNTIF('Model info'!$J$14,'Ecotox data'!C31)=1,6,IF(COUNTIF('Model info'!$K$14,'Ecotox data'!D31)=1,5,IF(COUNTIF('Model info'!$L$14,'Ecotox data'!E31)=1,4,IF(COUNTIF('Model info'!$M$14,'Ecotox data'!F31)=1,3,IF(COUNTIF('Model info'!$N$14,'Ecotox data'!G31)=1,2,IF(COUNTIF('Model info'!$O$14,'Ecotox data'!H31)=1,1,0)))))))</f>
        <v>1</v>
      </c>
      <c r="Q31" s="182">
        <f t="shared" si="2"/>
        <v>2</v>
      </c>
      <c r="R31" s="35"/>
      <c r="S31" s="27">
        <f>IF(AND('Ecotox data'!P31&gt;='Model info'!$C$16,'Ecotox data'!P31&lt;='Model info'!$C$17,'Ecotox data'!U31&gt;='Model info'!$D$16,'Ecotox data'!U31&lt;='Model info'!$D$17,'Ecotox data'!M31&gt;='Model info'!$E$16,'Ecotox data'!M31&lt;='Model info'!$E$17),1,0)</f>
        <v>1</v>
      </c>
      <c r="T31" s="172">
        <f>IF(COUNTIF('Model info'!$H$16,'Ecotox data'!B31)=1,7,IF(COUNTIF('Model info'!$J$16,'Ecotox data'!C31)=1,6,IF(COUNTIF('Model info'!$K$16,'Ecotox data'!D31)=1,5,IF(COUNTIF('Model info'!$L$16,'Ecotox data'!E31)=1,4,IF(COUNTIF('Model info'!$M$16,'Ecotox data'!F31)=1,3,IF(COUNTIF('Model info'!$N$16,'Ecotox data'!G31)=1,2,IF(COUNTIF('Model info'!$O$16,'Ecotox data'!H31)=1,1,0)))))))</f>
        <v>7</v>
      </c>
      <c r="U31" s="177">
        <f t="shared" si="3"/>
        <v>8</v>
      </c>
      <c r="V31" s="35"/>
      <c r="W31" s="27">
        <f>IF(AND('Ecotox data'!P31&gt;='Model info'!$C$20,'Ecotox data'!P31&lt;='Model info'!$C$21,'Ecotox data'!U31&gt;='Model info'!$D$20,'Ecotox data'!U31&lt;='Model info'!$D$21,'Ecotox data'!M31&gt;='Model info'!$E$20,'Ecotox data'!M31&lt;='Model info'!$E$21),1,0)</f>
        <v>1</v>
      </c>
      <c r="X31" s="171">
        <f>IF(COUNTIF('Model info'!$H$18:$H$24,'Ecotox data'!B31)=1,7,IF(COUNTIF('Model info'!$J$18:$J$24,'Ecotox data'!C31)=1,6,IF(COUNTIF('Model info'!$K$18:$K$24,'Ecotox data'!D31)=1,5,IF(COUNTIF('Model info'!$L$2:$L$24,'Ecotox data'!E31)=1,4,IF(COUNTIF('Model info'!$M$18:$M$24,'Ecotox data'!F31)=1,3,IF(COUNTIF('Model info'!$N$18:$N$24,'Ecotox data'!G31)=1,2,IF(COUNTIF('Model info'!$O$18:$O$24,'Ecotox data'!H31)=1,1,0)))))))</f>
        <v>7</v>
      </c>
      <c r="Y31" s="177">
        <f t="shared" si="4"/>
        <v>8</v>
      </c>
    </row>
    <row r="32" spans="1:25">
      <c r="A32" s="127"/>
      <c r="B32" s="43"/>
      <c r="E32" s="29">
        <v>28</v>
      </c>
      <c r="F32" s="262" t="s">
        <v>26</v>
      </c>
      <c r="G32" s="27">
        <f>IF(AND('Ecotox data'!P32&gt;='Model info'!$C$4,'Ecotox data'!P32&lt;='Model info'!$C$5),1,0)</f>
        <v>1</v>
      </c>
      <c r="H32" s="171">
        <f>IF(COUNTIF('Model info'!$H$4:$H$10,'Ecotox data'!B32)=1,7,IF(COUNTIF('Model info'!$J$4:$J$10,'Ecotox data'!C32)=1,6,IF(COUNTIF('Model info'!$K$4:$K$10,'Ecotox data'!D32)=1,5,IF(COUNTIF('Model info'!$L$4:$L$10,'Ecotox data'!E32)=1,4,IF(COUNTIF('Model info'!$M$4:$M$10,'Ecotox data'!F32)=1,3,IF(COUNTIF('Model info'!$N$4:$N$10,'Ecotox data'!G32)=1,2,IF(COUNTIF('Model info'!$O$4:$O$10,'Ecotox data'!H32)=1,1,0)))))))</f>
        <v>7</v>
      </c>
      <c r="I32" s="177">
        <f t="shared" si="0"/>
        <v>8</v>
      </c>
      <c r="J32" s="35"/>
      <c r="K32" s="27">
        <f>IF(AND('Ecotox data'!U32&gt;='Model info'!$D$8,'Ecotox data'!U32&lt;='Model info'!$D$9),1,0)</f>
        <v>1</v>
      </c>
      <c r="L32" s="163">
        <f>IF(COUNTIF('Model info'!$H$12,'Ecotox data'!B32)=1,7,IF(COUNTIF('Model info'!$J$12,'Ecotox data'!C32)=1,6,IF(COUNTIF('Model info'!$K$12,'Ecotox data'!D32)=1,5,IF(COUNTIF('Model info'!$L$12,'Ecotox data'!E32)=1,4,IF(COUNTIF('Model info'!$M$12,'Ecotox data'!F32)=1,3,IF(COUNTIF('Model info'!$N$12,'Ecotox data'!G32)=1,2,IF(COUNTIF('Model info'!$O$12,'Ecotox data'!H32)=1,1,0)))))))</f>
        <v>0</v>
      </c>
      <c r="M32" s="182">
        <f t="shared" si="1"/>
        <v>1</v>
      </c>
      <c r="N32" s="35"/>
      <c r="O32" s="27">
        <f>IF(AND('Ecotox data'!M32&gt;='Model info'!$E$12,'Ecotox data'!M32&lt;='Model info'!$E$13),1,0)</f>
        <v>1</v>
      </c>
      <c r="P32" s="165">
        <f>IF(COUNTIF('Model info'!$H$14,'Ecotox data'!B32)=1,7,IF(COUNTIF('Model info'!$J$14,'Ecotox data'!C32)=1,6,IF(COUNTIF('Model info'!$K$14,'Ecotox data'!D32)=1,5,IF(COUNTIF('Model info'!$L$14,'Ecotox data'!E32)=1,4,IF(COUNTIF('Model info'!$M$14,'Ecotox data'!F32)=1,3,IF(COUNTIF('Model info'!$N$14,'Ecotox data'!G32)=1,2,IF(COUNTIF('Model info'!$O$14,'Ecotox data'!H32)=1,1,0)))))))</f>
        <v>1</v>
      </c>
      <c r="Q32" s="182">
        <f t="shared" si="2"/>
        <v>2</v>
      </c>
      <c r="R32" s="35"/>
      <c r="S32" s="27">
        <f>IF(AND('Ecotox data'!P32&gt;='Model info'!$C$16,'Ecotox data'!P32&lt;='Model info'!$C$17,'Ecotox data'!U32&gt;='Model info'!$D$16,'Ecotox data'!U32&lt;='Model info'!$D$17,'Ecotox data'!M32&gt;='Model info'!$E$16,'Ecotox data'!M32&lt;='Model info'!$E$17),1,0)</f>
        <v>1</v>
      </c>
      <c r="T32" s="172">
        <f>IF(COUNTIF('Model info'!$H$16,'Ecotox data'!B32)=1,7,IF(COUNTIF('Model info'!$J$16,'Ecotox data'!C32)=1,6,IF(COUNTIF('Model info'!$K$16,'Ecotox data'!D32)=1,5,IF(COUNTIF('Model info'!$L$16,'Ecotox data'!E32)=1,4,IF(COUNTIF('Model info'!$M$16,'Ecotox data'!F32)=1,3,IF(COUNTIF('Model info'!$N$16,'Ecotox data'!G32)=1,2,IF(COUNTIF('Model info'!$O$16,'Ecotox data'!H32)=1,1,0)))))))</f>
        <v>7</v>
      </c>
      <c r="U32" s="177">
        <f t="shared" si="3"/>
        <v>8</v>
      </c>
      <c r="V32" s="35"/>
      <c r="W32" s="129">
        <f>IF(AND('Ecotox data'!P32&gt;='Model info'!$C$20,'Ecotox data'!P32&lt;='Model info'!$C$21,'Ecotox data'!U32&gt;='Model info'!$D$20,'Ecotox data'!U32&lt;='Model info'!$D$21,'Ecotox data'!M32&gt;='Model info'!$E$20,'Ecotox data'!M32&lt;='Model info'!$E$21),1,0)</f>
        <v>0</v>
      </c>
      <c r="X32" s="171">
        <f>IF(COUNTIF('Model info'!$H$18:$H$24,'Ecotox data'!B32)=1,7,IF(COUNTIF('Model info'!$J$18:$J$24,'Ecotox data'!C32)=1,6,IF(COUNTIF('Model info'!$K$18:$K$24,'Ecotox data'!D32)=1,5,IF(COUNTIF('Model info'!$L$2:$L$24,'Ecotox data'!E32)=1,4,IF(COUNTIF('Model info'!$M$18:$M$24,'Ecotox data'!F32)=1,3,IF(COUNTIF('Model info'!$N$18:$N$24,'Ecotox data'!G32)=1,2,IF(COUNTIF('Model info'!$O$18:$O$24,'Ecotox data'!H32)=1,1,0)))))))</f>
        <v>7</v>
      </c>
      <c r="Y32" s="177">
        <f t="shared" si="4"/>
        <v>7</v>
      </c>
    </row>
    <row r="33" spans="5:25">
      <c r="E33" s="29">
        <v>29</v>
      </c>
      <c r="F33" s="262" t="s">
        <v>26</v>
      </c>
      <c r="G33" s="27">
        <f>IF(AND('Ecotox data'!P33&gt;='Model info'!$C$4,'Ecotox data'!P33&lt;='Model info'!$C$5),1,0)</f>
        <v>1</v>
      </c>
      <c r="H33" s="171">
        <f>IF(COUNTIF('Model info'!$H$4:$H$10,'Ecotox data'!B33)=1,7,IF(COUNTIF('Model info'!$J$4:$J$10,'Ecotox data'!C33)=1,6,IF(COUNTIF('Model info'!$K$4:$K$10,'Ecotox data'!D33)=1,5,IF(COUNTIF('Model info'!$L$4:$L$10,'Ecotox data'!E33)=1,4,IF(COUNTIF('Model info'!$M$4:$M$10,'Ecotox data'!F33)=1,3,IF(COUNTIF('Model info'!$N$4:$N$10,'Ecotox data'!G33)=1,2,IF(COUNTIF('Model info'!$O$4:$O$10,'Ecotox data'!H33)=1,1,0)))))))</f>
        <v>7</v>
      </c>
      <c r="I33" s="177">
        <f t="shared" si="0"/>
        <v>8</v>
      </c>
      <c r="J33" s="35"/>
      <c r="K33" s="27">
        <f>IF(AND('Ecotox data'!U33&gt;='Model info'!$D$8,'Ecotox data'!U33&lt;='Model info'!$D$9),1,0)</f>
        <v>1</v>
      </c>
      <c r="L33" s="163">
        <f>IF(COUNTIF('Model info'!$H$12,'Ecotox data'!B33)=1,7,IF(COUNTIF('Model info'!$J$12,'Ecotox data'!C33)=1,6,IF(COUNTIF('Model info'!$K$12,'Ecotox data'!D33)=1,5,IF(COUNTIF('Model info'!$L$12,'Ecotox data'!E33)=1,4,IF(COUNTIF('Model info'!$M$12,'Ecotox data'!F33)=1,3,IF(COUNTIF('Model info'!$N$12,'Ecotox data'!G33)=1,2,IF(COUNTIF('Model info'!$O$12,'Ecotox data'!H33)=1,1,0)))))))</f>
        <v>0</v>
      </c>
      <c r="M33" s="182">
        <f t="shared" si="1"/>
        <v>1</v>
      </c>
      <c r="N33" s="35"/>
      <c r="O33" s="27">
        <f>IF(AND('Ecotox data'!M33&gt;='Model info'!$E$12,'Ecotox data'!M33&lt;='Model info'!$E$13),1,0)</f>
        <v>1</v>
      </c>
      <c r="P33" s="165">
        <f>IF(COUNTIF('Model info'!$H$14,'Ecotox data'!B33)=1,7,IF(COUNTIF('Model info'!$J$14,'Ecotox data'!C33)=1,6,IF(COUNTIF('Model info'!$K$14,'Ecotox data'!D33)=1,5,IF(COUNTIF('Model info'!$L$14,'Ecotox data'!E33)=1,4,IF(COUNTIF('Model info'!$M$14,'Ecotox data'!F33)=1,3,IF(COUNTIF('Model info'!$N$14,'Ecotox data'!G33)=1,2,IF(COUNTIF('Model info'!$O$14,'Ecotox data'!H33)=1,1,0)))))))</f>
        <v>1</v>
      </c>
      <c r="Q33" s="182">
        <f t="shared" si="2"/>
        <v>2</v>
      </c>
      <c r="R33" s="35"/>
      <c r="S33" s="27">
        <f>IF(AND('Ecotox data'!P33&gt;='Model info'!$C$16,'Ecotox data'!P33&lt;='Model info'!$C$17,'Ecotox data'!U33&gt;='Model info'!$D$16,'Ecotox data'!U33&lt;='Model info'!$D$17,'Ecotox data'!M33&gt;='Model info'!$E$16,'Ecotox data'!M33&lt;='Model info'!$E$17),1,0)</f>
        <v>1</v>
      </c>
      <c r="T33" s="172">
        <f>IF(COUNTIF('Model info'!$H$16,'Ecotox data'!B33)=1,7,IF(COUNTIF('Model info'!$J$16,'Ecotox data'!C33)=1,6,IF(COUNTIF('Model info'!$K$16,'Ecotox data'!D33)=1,5,IF(COUNTIF('Model info'!$L$16,'Ecotox data'!E33)=1,4,IF(COUNTIF('Model info'!$M$16,'Ecotox data'!F33)=1,3,IF(COUNTIF('Model info'!$N$16,'Ecotox data'!G33)=1,2,IF(COUNTIF('Model info'!$O$16,'Ecotox data'!H33)=1,1,0)))))))</f>
        <v>7</v>
      </c>
      <c r="U33" s="177">
        <f t="shared" si="3"/>
        <v>8</v>
      </c>
      <c r="V33" s="35"/>
      <c r="W33" s="27">
        <f>IF(AND('Ecotox data'!P33&gt;='Model info'!$C$20,'Ecotox data'!P33&lt;='Model info'!$C$21,'Ecotox data'!U33&gt;='Model info'!$D$20,'Ecotox data'!U33&lt;='Model info'!$D$21,'Ecotox data'!M33&gt;='Model info'!$E$20,'Ecotox data'!M33&lt;='Model info'!$E$21),1,0)</f>
        <v>1</v>
      </c>
      <c r="X33" s="171">
        <f>IF(COUNTIF('Model info'!$H$18:$H$24,'Ecotox data'!B33)=1,7,IF(COUNTIF('Model info'!$J$18:$J$24,'Ecotox data'!C33)=1,6,IF(COUNTIF('Model info'!$K$18:$K$24,'Ecotox data'!D33)=1,5,IF(COUNTIF('Model info'!$L$2:$L$24,'Ecotox data'!E33)=1,4,IF(COUNTIF('Model info'!$M$18:$M$24,'Ecotox data'!F33)=1,3,IF(COUNTIF('Model info'!$N$18:$N$24,'Ecotox data'!G33)=1,2,IF(COUNTIF('Model info'!$O$18:$O$24,'Ecotox data'!H33)=1,1,0)))))))</f>
        <v>7</v>
      </c>
      <c r="Y33" s="177">
        <f t="shared" si="4"/>
        <v>8</v>
      </c>
    </row>
    <row r="34" spans="5:25">
      <c r="E34" s="29">
        <v>30</v>
      </c>
      <c r="F34" s="262" t="s">
        <v>26</v>
      </c>
      <c r="G34" s="27">
        <f>IF(AND('Ecotox data'!P34&gt;='Model info'!$C$4,'Ecotox data'!P34&lt;='Model info'!$C$5),1,0)</f>
        <v>1</v>
      </c>
      <c r="H34" s="171">
        <f>IF(COUNTIF('Model info'!$H$4:$H$10,'Ecotox data'!B34)=1,7,IF(COUNTIF('Model info'!$J$4:$J$10,'Ecotox data'!C34)=1,6,IF(COUNTIF('Model info'!$K$4:$K$10,'Ecotox data'!D34)=1,5,IF(COUNTIF('Model info'!$L$4:$L$10,'Ecotox data'!E34)=1,4,IF(COUNTIF('Model info'!$M$4:$M$10,'Ecotox data'!F34)=1,3,IF(COUNTIF('Model info'!$N$4:$N$10,'Ecotox data'!G34)=1,2,IF(COUNTIF('Model info'!$O$4:$O$10,'Ecotox data'!H34)=1,1,0)))))))</f>
        <v>7</v>
      </c>
      <c r="I34" s="177">
        <f t="shared" si="0"/>
        <v>8</v>
      </c>
      <c r="J34" s="35"/>
      <c r="K34" s="27">
        <f>IF(AND('Ecotox data'!U34&gt;='Model info'!$D$8,'Ecotox data'!U34&lt;='Model info'!$D$9),1,0)</f>
        <v>1</v>
      </c>
      <c r="L34" s="163">
        <f>IF(COUNTIF('Model info'!$H$12,'Ecotox data'!B34)=1,7,IF(COUNTIF('Model info'!$J$12,'Ecotox data'!C34)=1,6,IF(COUNTIF('Model info'!$K$12,'Ecotox data'!D34)=1,5,IF(COUNTIF('Model info'!$L$12,'Ecotox data'!E34)=1,4,IF(COUNTIF('Model info'!$M$12,'Ecotox data'!F34)=1,3,IF(COUNTIF('Model info'!$N$12,'Ecotox data'!G34)=1,2,IF(COUNTIF('Model info'!$O$12,'Ecotox data'!H34)=1,1,0)))))))</f>
        <v>0</v>
      </c>
      <c r="M34" s="182">
        <f t="shared" si="1"/>
        <v>1</v>
      </c>
      <c r="N34" s="35"/>
      <c r="O34" s="27">
        <f>IF(AND('Ecotox data'!M34&gt;='Model info'!$E$12,'Ecotox data'!M34&lt;='Model info'!$E$13),1,0)</f>
        <v>1</v>
      </c>
      <c r="P34" s="165">
        <f>IF(COUNTIF('Model info'!$H$14,'Ecotox data'!B34)=1,7,IF(COUNTIF('Model info'!$J$14,'Ecotox data'!C34)=1,6,IF(COUNTIF('Model info'!$K$14,'Ecotox data'!D34)=1,5,IF(COUNTIF('Model info'!$L$14,'Ecotox data'!E34)=1,4,IF(COUNTIF('Model info'!$M$14,'Ecotox data'!F34)=1,3,IF(COUNTIF('Model info'!$N$14,'Ecotox data'!G34)=1,2,IF(COUNTIF('Model info'!$O$14,'Ecotox data'!H34)=1,1,0)))))))</f>
        <v>1</v>
      </c>
      <c r="Q34" s="182">
        <f t="shared" si="2"/>
        <v>2</v>
      </c>
      <c r="R34" s="35"/>
      <c r="S34" s="27">
        <f>IF(AND('Ecotox data'!P34&gt;='Model info'!$C$16,'Ecotox data'!P34&lt;='Model info'!$C$17,'Ecotox data'!U34&gt;='Model info'!$D$16,'Ecotox data'!U34&lt;='Model info'!$D$17,'Ecotox data'!M34&gt;='Model info'!$E$16,'Ecotox data'!M34&lt;='Model info'!$E$17),1,0)</f>
        <v>1</v>
      </c>
      <c r="T34" s="172">
        <f>IF(COUNTIF('Model info'!$H$16,'Ecotox data'!B34)=1,7,IF(COUNTIF('Model info'!$J$16,'Ecotox data'!C34)=1,6,IF(COUNTIF('Model info'!$K$16,'Ecotox data'!D34)=1,5,IF(COUNTIF('Model info'!$L$16,'Ecotox data'!E34)=1,4,IF(COUNTIF('Model info'!$M$16,'Ecotox data'!F34)=1,3,IF(COUNTIF('Model info'!$N$16,'Ecotox data'!G34)=1,2,IF(COUNTIF('Model info'!$O$16,'Ecotox data'!H34)=1,1,0)))))))</f>
        <v>7</v>
      </c>
      <c r="U34" s="177">
        <f t="shared" si="3"/>
        <v>8</v>
      </c>
      <c r="V34" s="35"/>
      <c r="W34" s="27">
        <f>IF(AND('Ecotox data'!P34&gt;='Model info'!$C$20,'Ecotox data'!P34&lt;='Model info'!$C$21,'Ecotox data'!U34&gt;='Model info'!$D$20,'Ecotox data'!U34&lt;='Model info'!$D$21,'Ecotox data'!M34&gt;='Model info'!$E$20,'Ecotox data'!M34&lt;='Model info'!$E$21),1,0)</f>
        <v>1</v>
      </c>
      <c r="X34" s="171">
        <f>IF(COUNTIF('Model info'!$H$18:$H$24,'Ecotox data'!B34)=1,7,IF(COUNTIF('Model info'!$J$18:$J$24,'Ecotox data'!C34)=1,6,IF(COUNTIF('Model info'!$K$18:$K$24,'Ecotox data'!D34)=1,5,IF(COUNTIF('Model info'!$L$2:$L$24,'Ecotox data'!E34)=1,4,IF(COUNTIF('Model info'!$M$18:$M$24,'Ecotox data'!F34)=1,3,IF(COUNTIF('Model info'!$N$18:$N$24,'Ecotox data'!G34)=1,2,IF(COUNTIF('Model info'!$O$18:$O$24,'Ecotox data'!H34)=1,1,0)))))))</f>
        <v>7</v>
      </c>
      <c r="Y34" s="177">
        <f t="shared" si="4"/>
        <v>8</v>
      </c>
    </row>
    <row r="35" spans="5:25">
      <c r="E35" s="29">
        <v>31</v>
      </c>
      <c r="F35" s="262" t="s">
        <v>26</v>
      </c>
      <c r="G35" s="27">
        <f>IF(AND('Ecotox data'!P35&gt;='Model info'!$C$4,'Ecotox data'!P35&lt;='Model info'!$C$5),1,0)</f>
        <v>1</v>
      </c>
      <c r="H35" s="171">
        <f>IF(COUNTIF('Model info'!$H$4:$H$10,'Ecotox data'!B35)=1,7,IF(COUNTIF('Model info'!$J$4:$J$10,'Ecotox data'!C35)=1,6,IF(COUNTIF('Model info'!$K$4:$K$10,'Ecotox data'!D35)=1,5,IF(COUNTIF('Model info'!$L$4:$L$10,'Ecotox data'!E35)=1,4,IF(COUNTIF('Model info'!$M$4:$M$10,'Ecotox data'!F35)=1,3,IF(COUNTIF('Model info'!$N$4:$N$10,'Ecotox data'!G35)=1,2,IF(COUNTIF('Model info'!$O$4:$O$10,'Ecotox data'!H35)=1,1,0)))))))</f>
        <v>7</v>
      </c>
      <c r="I35" s="177">
        <f t="shared" si="0"/>
        <v>8</v>
      </c>
      <c r="J35" s="35"/>
      <c r="K35" s="27">
        <f>IF(AND('Ecotox data'!U35&gt;='Model info'!$D$8,'Ecotox data'!U35&lt;='Model info'!$D$9),1,0)</f>
        <v>1</v>
      </c>
      <c r="L35" s="163">
        <f>IF(COUNTIF('Model info'!$H$12,'Ecotox data'!B35)=1,7,IF(COUNTIF('Model info'!$J$12,'Ecotox data'!C35)=1,6,IF(COUNTIF('Model info'!$K$12,'Ecotox data'!D35)=1,5,IF(COUNTIF('Model info'!$L$12,'Ecotox data'!E35)=1,4,IF(COUNTIF('Model info'!$M$12,'Ecotox data'!F35)=1,3,IF(COUNTIF('Model info'!$N$12,'Ecotox data'!G35)=1,2,IF(COUNTIF('Model info'!$O$12,'Ecotox data'!H35)=1,1,0)))))))</f>
        <v>0</v>
      </c>
      <c r="M35" s="182">
        <f t="shared" si="1"/>
        <v>1</v>
      </c>
      <c r="N35" s="35"/>
      <c r="O35" s="27">
        <f>IF(AND('Ecotox data'!M35&gt;='Model info'!$E$12,'Ecotox data'!M35&lt;='Model info'!$E$13),1,0)</f>
        <v>1</v>
      </c>
      <c r="P35" s="165">
        <f>IF(COUNTIF('Model info'!$H$14,'Ecotox data'!B35)=1,7,IF(COUNTIF('Model info'!$J$14,'Ecotox data'!C35)=1,6,IF(COUNTIF('Model info'!$K$14,'Ecotox data'!D35)=1,5,IF(COUNTIF('Model info'!$L$14,'Ecotox data'!E35)=1,4,IF(COUNTIF('Model info'!$M$14,'Ecotox data'!F35)=1,3,IF(COUNTIF('Model info'!$N$14,'Ecotox data'!G35)=1,2,IF(COUNTIF('Model info'!$O$14,'Ecotox data'!H35)=1,1,0)))))))</f>
        <v>1</v>
      </c>
      <c r="Q35" s="182">
        <f t="shared" si="2"/>
        <v>2</v>
      </c>
      <c r="R35" s="35"/>
      <c r="S35" s="27">
        <f>IF(AND('Ecotox data'!P35&gt;='Model info'!$C$16,'Ecotox data'!P35&lt;='Model info'!$C$17,'Ecotox data'!U35&gt;='Model info'!$D$16,'Ecotox data'!U35&lt;='Model info'!$D$17,'Ecotox data'!M35&gt;='Model info'!$E$16,'Ecotox data'!M35&lt;='Model info'!$E$17),1,0)</f>
        <v>1</v>
      </c>
      <c r="T35" s="172">
        <f>IF(COUNTIF('Model info'!$H$16,'Ecotox data'!B35)=1,7,IF(COUNTIF('Model info'!$J$16,'Ecotox data'!C35)=1,6,IF(COUNTIF('Model info'!$K$16,'Ecotox data'!D35)=1,5,IF(COUNTIF('Model info'!$L$16,'Ecotox data'!E35)=1,4,IF(COUNTIF('Model info'!$M$16,'Ecotox data'!F35)=1,3,IF(COUNTIF('Model info'!$N$16,'Ecotox data'!G35)=1,2,IF(COUNTIF('Model info'!$O$16,'Ecotox data'!H35)=1,1,0)))))))</f>
        <v>7</v>
      </c>
      <c r="U35" s="177">
        <f t="shared" si="3"/>
        <v>8</v>
      </c>
      <c r="V35" s="35"/>
      <c r="W35" s="27">
        <f>IF(AND('Ecotox data'!P35&gt;='Model info'!$C$20,'Ecotox data'!P35&lt;='Model info'!$C$21,'Ecotox data'!U35&gt;='Model info'!$D$20,'Ecotox data'!U35&lt;='Model info'!$D$21,'Ecotox data'!M35&gt;='Model info'!$E$20,'Ecotox data'!M35&lt;='Model info'!$E$21),1,0)</f>
        <v>1</v>
      </c>
      <c r="X35" s="171">
        <f>IF(COUNTIF('Model info'!$H$18:$H$24,'Ecotox data'!B35)=1,7,IF(COUNTIF('Model info'!$J$18:$J$24,'Ecotox data'!C35)=1,6,IF(COUNTIF('Model info'!$K$18:$K$24,'Ecotox data'!D35)=1,5,IF(COUNTIF('Model info'!$L$2:$L$24,'Ecotox data'!E35)=1,4,IF(COUNTIF('Model info'!$M$18:$M$24,'Ecotox data'!F35)=1,3,IF(COUNTIF('Model info'!$N$18:$N$24,'Ecotox data'!G35)=1,2,IF(COUNTIF('Model info'!$O$18:$O$24,'Ecotox data'!H35)=1,1,0)))))))</f>
        <v>7</v>
      </c>
      <c r="Y35" s="177">
        <f t="shared" si="4"/>
        <v>8</v>
      </c>
    </row>
    <row r="36" spans="5:25">
      <c r="E36" s="29">
        <v>32</v>
      </c>
      <c r="F36" s="262" t="s">
        <v>21</v>
      </c>
      <c r="G36" s="27">
        <f>IF(AND('Ecotox data'!P36&gt;='Model info'!$C$4,'Ecotox data'!P36&lt;='Model info'!$C$5),1,0)</f>
        <v>1</v>
      </c>
      <c r="H36" s="171">
        <f>IF(COUNTIF('Model info'!$H$4:$H$10,'Ecotox data'!B36)=1,7,IF(COUNTIF('Model info'!$J$4:$J$10,'Ecotox data'!C36)=1,6,IF(COUNTIF('Model info'!$K$4:$K$10,'Ecotox data'!D36)=1,5,IF(COUNTIF('Model info'!$L$4:$L$10,'Ecotox data'!E36)=1,4,IF(COUNTIF('Model info'!$M$4:$M$10,'Ecotox data'!F36)=1,3,IF(COUNTIF('Model info'!$N$4:$N$10,'Ecotox data'!G36)=1,2,IF(COUNTIF('Model info'!$O$4:$O$10,'Ecotox data'!H36)=1,1,0)))))))</f>
        <v>5</v>
      </c>
      <c r="I36" s="177">
        <f t="shared" si="0"/>
        <v>6</v>
      </c>
      <c r="J36" s="35"/>
      <c r="K36" s="27">
        <f>IF(AND('Ecotox data'!U36&gt;='Model info'!$D$8,'Ecotox data'!U36&lt;='Model info'!$D$9),1,0)</f>
        <v>1</v>
      </c>
      <c r="L36" s="163">
        <f>IF(COUNTIF('Model info'!$H$12,'Ecotox data'!B36)=1,7,IF(COUNTIF('Model info'!$J$12,'Ecotox data'!C36)=1,6,IF(COUNTIF('Model info'!$K$12,'Ecotox data'!D36)=1,5,IF(COUNTIF('Model info'!$L$12,'Ecotox data'!E36)=1,4,IF(COUNTIF('Model info'!$M$12,'Ecotox data'!F36)=1,3,IF(COUNTIF('Model info'!$N$12,'Ecotox data'!G36)=1,2,IF(COUNTIF('Model info'!$O$12,'Ecotox data'!H36)=1,1,0)))))))</f>
        <v>0</v>
      </c>
      <c r="M36" s="182">
        <f t="shared" si="1"/>
        <v>1</v>
      </c>
      <c r="N36" s="35"/>
      <c r="O36" s="27">
        <f>IF(AND('Ecotox data'!M36&gt;='Model info'!$E$12,'Ecotox data'!M36&lt;='Model info'!$E$13),1,0)</f>
        <v>1</v>
      </c>
      <c r="P36" s="165">
        <f>IF(COUNTIF('Model info'!$H$14,'Ecotox data'!B36)=1,7,IF(COUNTIF('Model info'!$J$14,'Ecotox data'!C36)=1,6,IF(COUNTIF('Model info'!$K$14,'Ecotox data'!D36)=1,5,IF(COUNTIF('Model info'!$L$14,'Ecotox data'!E36)=1,4,IF(COUNTIF('Model info'!$M$14,'Ecotox data'!F36)=1,3,IF(COUNTIF('Model info'!$N$14,'Ecotox data'!G36)=1,2,IF(COUNTIF('Model info'!$O$14,'Ecotox data'!H36)=1,1,0)))))))</f>
        <v>1</v>
      </c>
      <c r="Q36" s="182">
        <f t="shared" si="2"/>
        <v>2</v>
      </c>
      <c r="R36" s="35"/>
      <c r="S36" s="27">
        <f>IF(AND('Ecotox data'!P36&gt;='Model info'!$C$16,'Ecotox data'!P36&lt;='Model info'!$C$17,'Ecotox data'!U36&gt;='Model info'!$D$16,'Ecotox data'!U36&lt;='Model info'!$D$17,'Ecotox data'!M36&gt;='Model info'!$E$16,'Ecotox data'!M36&lt;='Model info'!$E$17),1,0)</f>
        <v>1</v>
      </c>
      <c r="T36" s="170">
        <f>IF(COUNTIF('Model info'!$H$16,'Ecotox data'!B36)=1,7,IF(COUNTIF('Model info'!$J$16,'Ecotox data'!C36)=1,6,IF(COUNTIF('Model info'!$K$16,'Ecotox data'!D36)=1,5,IF(COUNTIF('Model info'!$L$16,'Ecotox data'!E36)=1,4,IF(COUNTIF('Model info'!$M$16,'Ecotox data'!F36)=1,3,IF(COUNTIF('Model info'!$N$16,'Ecotox data'!G36)=1,2,IF(COUNTIF('Model info'!$O$16,'Ecotox data'!H36)=1,1,0)))))))</f>
        <v>3</v>
      </c>
      <c r="U36" s="176">
        <f t="shared" si="3"/>
        <v>4</v>
      </c>
      <c r="V36" s="35"/>
      <c r="W36" s="27">
        <f>IF(AND('Ecotox data'!P36&gt;='Model info'!$C$20,'Ecotox data'!P36&lt;='Model info'!$C$21,'Ecotox data'!U36&gt;='Model info'!$D$20,'Ecotox data'!U36&lt;='Model info'!$D$21,'Ecotox data'!M36&gt;='Model info'!$E$20,'Ecotox data'!M36&lt;='Model info'!$E$21),1,0)</f>
        <v>1</v>
      </c>
      <c r="X36" s="168">
        <f>IF(COUNTIF('Model info'!$H$18:$H$24,'Ecotox data'!B36)=1,7,IF(COUNTIF('Model info'!$J$18:$J$24,'Ecotox data'!C36)=1,6,IF(COUNTIF('Model info'!$K$18:$K$24,'Ecotox data'!D36)=1,5,IF(COUNTIF('Model info'!$L$2:$L$24,'Ecotox data'!E36)=1,4,IF(COUNTIF('Model info'!$M$18:$M$24,'Ecotox data'!F36)=1,3,IF(COUNTIF('Model info'!$N$18:$N$24,'Ecotox data'!G36)=1,2,IF(COUNTIF('Model info'!$O$18:$O$24,'Ecotox data'!H36)=1,1,0)))))))</f>
        <v>4</v>
      </c>
      <c r="Y36" s="176">
        <f t="shared" si="4"/>
        <v>5</v>
      </c>
    </row>
    <row r="37" spans="5:25">
      <c r="E37" s="29">
        <v>33</v>
      </c>
      <c r="F37" s="262" t="s">
        <v>23</v>
      </c>
      <c r="G37" s="27">
        <f>IF(AND('Ecotox data'!P37&gt;='Model info'!$C$4,'Ecotox data'!P37&lt;='Model info'!$C$5),1,0)</f>
        <v>1</v>
      </c>
      <c r="H37" s="171">
        <f>IF(COUNTIF('Model info'!$H$4:$H$10,'Ecotox data'!B37)=1,7,IF(COUNTIF('Model info'!$J$4:$J$10,'Ecotox data'!C37)=1,6,IF(COUNTIF('Model info'!$K$4:$K$10,'Ecotox data'!D37)=1,5,IF(COUNTIF('Model info'!$L$4:$L$10,'Ecotox data'!E37)=1,4,IF(COUNTIF('Model info'!$M$4:$M$10,'Ecotox data'!F37)=1,3,IF(COUNTIF('Model info'!$N$4:$N$10,'Ecotox data'!G37)=1,2,IF(COUNTIF('Model info'!$O$4:$O$10,'Ecotox data'!H37)=1,1,0)))))))</f>
        <v>7</v>
      </c>
      <c r="I37" s="177">
        <f t="shared" si="0"/>
        <v>8</v>
      </c>
      <c r="J37" s="35"/>
      <c r="K37" s="27">
        <f>IF(AND('Ecotox data'!U37&gt;='Model info'!$D$8,'Ecotox data'!U37&lt;='Model info'!$D$9),1,0)</f>
        <v>1</v>
      </c>
      <c r="L37" s="163">
        <f>IF(COUNTIF('Model info'!$H$12,'Ecotox data'!B37)=1,7,IF(COUNTIF('Model info'!$J$12,'Ecotox data'!C37)=1,6,IF(COUNTIF('Model info'!$K$12,'Ecotox data'!D37)=1,5,IF(COUNTIF('Model info'!$L$12,'Ecotox data'!E37)=1,4,IF(COUNTIF('Model info'!$M$12,'Ecotox data'!F37)=1,3,IF(COUNTIF('Model info'!$N$12,'Ecotox data'!G37)=1,2,IF(COUNTIF('Model info'!$O$12,'Ecotox data'!H37)=1,1,0)))))))</f>
        <v>0</v>
      </c>
      <c r="M37" s="182">
        <f t="shared" si="1"/>
        <v>1</v>
      </c>
      <c r="N37" s="35"/>
      <c r="O37" s="27">
        <f>IF(AND('Ecotox data'!M37&gt;='Model info'!$E$12,'Ecotox data'!M37&lt;='Model info'!$E$13),1,0)</f>
        <v>1</v>
      </c>
      <c r="P37" s="165">
        <f>IF(COUNTIF('Model info'!$H$14,'Ecotox data'!B37)=1,7,IF(COUNTIF('Model info'!$J$14,'Ecotox data'!C37)=1,6,IF(COUNTIF('Model info'!$K$14,'Ecotox data'!D37)=1,5,IF(COUNTIF('Model info'!$L$14,'Ecotox data'!E37)=1,4,IF(COUNTIF('Model info'!$M$14,'Ecotox data'!F37)=1,3,IF(COUNTIF('Model info'!$N$14,'Ecotox data'!G37)=1,2,IF(COUNTIF('Model info'!$O$14,'Ecotox data'!H37)=1,1,0)))))))</f>
        <v>1</v>
      </c>
      <c r="Q37" s="182">
        <f t="shared" si="2"/>
        <v>2</v>
      </c>
      <c r="R37" s="35"/>
      <c r="S37" s="27">
        <f>IF(AND('Ecotox data'!P37&gt;='Model info'!$C$16,'Ecotox data'!P37&lt;='Model info'!$C$17,'Ecotox data'!U37&gt;='Model info'!$D$16,'Ecotox data'!U37&lt;='Model info'!$D$17,'Ecotox data'!M37&gt;='Model info'!$E$16,'Ecotox data'!M37&lt;='Model info'!$E$17),1,0)</f>
        <v>1</v>
      </c>
      <c r="T37" s="170">
        <f>IF(COUNTIF('Model info'!$H$16,'Ecotox data'!B37)=1,7,IF(COUNTIF('Model info'!$J$16,'Ecotox data'!C37)=1,6,IF(COUNTIF('Model info'!$K$16,'Ecotox data'!D37)=1,5,IF(COUNTIF('Model info'!$L$16,'Ecotox data'!E37)=1,4,IF(COUNTIF('Model info'!$M$16,'Ecotox data'!F37)=1,3,IF(COUNTIF('Model info'!$N$16,'Ecotox data'!G37)=1,2,IF(COUNTIF('Model info'!$O$16,'Ecotox data'!H37)=1,1,0)))))))</f>
        <v>3</v>
      </c>
      <c r="U37" s="176">
        <f t="shared" si="3"/>
        <v>4</v>
      </c>
      <c r="V37" s="35"/>
      <c r="W37" s="27">
        <f>IF(AND('Ecotox data'!P37&gt;='Model info'!$C$20,'Ecotox data'!P37&lt;='Model info'!$C$21,'Ecotox data'!U37&gt;='Model info'!$D$20,'Ecotox data'!U37&lt;='Model info'!$D$21,'Ecotox data'!M37&gt;='Model info'!$E$20,'Ecotox data'!M37&lt;='Model info'!$E$21),1,0)</f>
        <v>1</v>
      </c>
      <c r="X37" s="168">
        <f>IF(COUNTIF('Model info'!$H$18:$H$24,'Ecotox data'!B37)=1,7,IF(COUNTIF('Model info'!$J$18:$J$24,'Ecotox data'!C37)=1,6,IF(COUNTIF('Model info'!$K$18:$K$24,'Ecotox data'!D37)=1,5,IF(COUNTIF('Model info'!$L$2:$L$24,'Ecotox data'!E37)=1,4,IF(COUNTIF('Model info'!$M$18:$M$24,'Ecotox data'!F37)=1,3,IF(COUNTIF('Model info'!$N$18:$N$24,'Ecotox data'!G37)=1,2,IF(COUNTIF('Model info'!$O$18:$O$24,'Ecotox data'!H37)=1,1,0)))))))</f>
        <v>4</v>
      </c>
      <c r="Y37" s="176">
        <f t="shared" si="4"/>
        <v>5</v>
      </c>
    </row>
    <row r="38" spans="5:25">
      <c r="E38" s="29">
        <v>34</v>
      </c>
      <c r="F38" s="262" t="s">
        <v>29</v>
      </c>
      <c r="G38" s="27">
        <f>IF(AND('Ecotox data'!P38&gt;='Model info'!$C$4,'Ecotox data'!P38&lt;='Model info'!$C$5),1,0)</f>
        <v>1</v>
      </c>
      <c r="H38" s="171">
        <f>IF(COUNTIF('Model info'!$H$4:$H$10,'Ecotox data'!B38)=1,7,IF(COUNTIF('Model info'!$J$4:$J$10,'Ecotox data'!C38)=1,6,IF(COUNTIF('Model info'!$K$4:$K$10,'Ecotox data'!D38)=1,5,IF(COUNTIF('Model info'!$L$4:$L$10,'Ecotox data'!E38)=1,4,IF(COUNTIF('Model info'!$M$4:$M$10,'Ecotox data'!F38)=1,3,IF(COUNTIF('Model info'!$N$4:$N$10,'Ecotox data'!G38)=1,2,IF(COUNTIF('Model info'!$O$4:$O$10,'Ecotox data'!H38)=1,1,0)))))))</f>
        <v>5</v>
      </c>
      <c r="I38" s="177">
        <f t="shared" si="0"/>
        <v>6</v>
      </c>
      <c r="J38" s="35"/>
      <c r="K38" s="27">
        <f>IF(AND('Ecotox data'!U38&gt;='Model info'!$D$8,'Ecotox data'!U38&lt;='Model info'!$D$9),1,0)</f>
        <v>1</v>
      </c>
      <c r="L38" s="163">
        <f>IF(COUNTIF('Model info'!$H$12,'Ecotox data'!B38)=1,7,IF(COUNTIF('Model info'!$J$12,'Ecotox data'!C38)=1,6,IF(COUNTIF('Model info'!$K$12,'Ecotox data'!D38)=1,5,IF(COUNTIF('Model info'!$L$12,'Ecotox data'!E38)=1,4,IF(COUNTIF('Model info'!$M$12,'Ecotox data'!F38)=1,3,IF(COUNTIF('Model info'!$N$12,'Ecotox data'!G38)=1,2,IF(COUNTIF('Model info'!$O$12,'Ecotox data'!H38)=1,1,0)))))))</f>
        <v>0</v>
      </c>
      <c r="M38" s="182">
        <f t="shared" si="1"/>
        <v>1</v>
      </c>
      <c r="N38" s="35"/>
      <c r="O38" s="27">
        <f>IF(AND('Ecotox data'!M38&gt;='Model info'!$E$12,'Ecotox data'!M38&lt;='Model info'!$E$13),1,0)</f>
        <v>1</v>
      </c>
      <c r="P38" s="165">
        <f>IF(COUNTIF('Model info'!$H$14,'Ecotox data'!B38)=1,7,IF(COUNTIF('Model info'!$J$14,'Ecotox data'!C38)=1,6,IF(COUNTIF('Model info'!$K$14,'Ecotox data'!D38)=1,5,IF(COUNTIF('Model info'!$L$14,'Ecotox data'!E38)=1,4,IF(COUNTIF('Model info'!$M$14,'Ecotox data'!F38)=1,3,IF(COUNTIF('Model info'!$N$14,'Ecotox data'!G38)=1,2,IF(COUNTIF('Model info'!$O$14,'Ecotox data'!H38)=1,1,0)))))))</f>
        <v>1</v>
      </c>
      <c r="Q38" s="182">
        <f t="shared" si="2"/>
        <v>2</v>
      </c>
      <c r="R38" s="35"/>
      <c r="S38" s="27">
        <f>IF(AND('Ecotox data'!P38&gt;='Model info'!$C$16,'Ecotox data'!P38&lt;='Model info'!$C$17,'Ecotox data'!U38&gt;='Model info'!$D$16,'Ecotox data'!U38&lt;='Model info'!$D$17,'Ecotox data'!M38&gt;='Model info'!$E$16,'Ecotox data'!M38&lt;='Model info'!$E$17),1,0)</f>
        <v>1</v>
      </c>
      <c r="T38" s="172">
        <f>IF(COUNTIF('Model info'!$H$16,'Ecotox data'!B38)=1,7,IF(COUNTIF('Model info'!$J$16,'Ecotox data'!C38)=1,6,IF(COUNTIF('Model info'!$K$16,'Ecotox data'!D38)=1,5,IF(COUNTIF('Model info'!$L$16,'Ecotox data'!E38)=1,4,IF(COUNTIF('Model info'!$M$16,'Ecotox data'!F38)=1,3,IF(COUNTIF('Model info'!$N$16,'Ecotox data'!G38)=1,2,IF(COUNTIF('Model info'!$O$16,'Ecotox data'!H38)=1,1,0)))))))</f>
        <v>5</v>
      </c>
      <c r="U38" s="177">
        <f t="shared" si="3"/>
        <v>6</v>
      </c>
      <c r="V38" s="35"/>
      <c r="W38" s="27">
        <f>IF(AND('Ecotox data'!P38&gt;='Model info'!$C$20,'Ecotox data'!P38&lt;='Model info'!$C$21,'Ecotox data'!U38&gt;='Model info'!$D$20,'Ecotox data'!U38&lt;='Model info'!$D$21,'Ecotox data'!M38&gt;='Model info'!$E$20,'Ecotox data'!M38&lt;='Model info'!$E$21),1,0)</f>
        <v>1</v>
      </c>
      <c r="X38" s="171">
        <f>IF(COUNTIF('Model info'!$H$18:$H$24,'Ecotox data'!B38)=1,7,IF(COUNTIF('Model info'!$J$18:$J$24,'Ecotox data'!C38)=1,6,IF(COUNTIF('Model info'!$K$18:$K$24,'Ecotox data'!D38)=1,5,IF(COUNTIF('Model info'!$L$2:$L$24,'Ecotox data'!E38)=1,4,IF(COUNTIF('Model info'!$M$18:$M$24,'Ecotox data'!F38)=1,3,IF(COUNTIF('Model info'!$N$18:$N$24,'Ecotox data'!G38)=1,2,IF(COUNTIF('Model info'!$O$18:$O$24,'Ecotox data'!H38)=1,1,0)))))))</f>
        <v>5</v>
      </c>
      <c r="Y38" s="177">
        <f t="shared" si="4"/>
        <v>6</v>
      </c>
    </row>
    <row r="39" spans="5:25">
      <c r="E39" s="29">
        <v>35</v>
      </c>
      <c r="F39" s="262" t="s">
        <v>29</v>
      </c>
      <c r="G39" s="27">
        <f>IF(AND('Ecotox data'!P39&gt;='Model info'!$C$4,'Ecotox data'!P39&lt;='Model info'!$C$5),1,0)</f>
        <v>1</v>
      </c>
      <c r="H39" s="171">
        <f>IF(COUNTIF('Model info'!$H$4:$H$10,'Ecotox data'!B39)=1,7,IF(COUNTIF('Model info'!$J$4:$J$10,'Ecotox data'!C39)=1,6,IF(COUNTIF('Model info'!$K$4:$K$10,'Ecotox data'!D39)=1,5,IF(COUNTIF('Model info'!$L$4:$L$10,'Ecotox data'!E39)=1,4,IF(COUNTIF('Model info'!$M$4:$M$10,'Ecotox data'!F39)=1,3,IF(COUNTIF('Model info'!$N$4:$N$10,'Ecotox data'!G39)=1,2,IF(COUNTIF('Model info'!$O$4:$O$10,'Ecotox data'!H39)=1,1,0)))))))</f>
        <v>5</v>
      </c>
      <c r="I39" s="177">
        <f t="shared" si="0"/>
        <v>6</v>
      </c>
      <c r="J39" s="35"/>
      <c r="K39" s="27">
        <f>IF(AND('Ecotox data'!U39&gt;='Model info'!$D$8,'Ecotox data'!U39&lt;='Model info'!$D$9),1,0)</f>
        <v>1</v>
      </c>
      <c r="L39" s="163">
        <f>IF(COUNTIF('Model info'!$H$12,'Ecotox data'!B39)=1,7,IF(COUNTIF('Model info'!$J$12,'Ecotox data'!C39)=1,6,IF(COUNTIF('Model info'!$K$12,'Ecotox data'!D39)=1,5,IF(COUNTIF('Model info'!$L$12,'Ecotox data'!E39)=1,4,IF(COUNTIF('Model info'!$M$12,'Ecotox data'!F39)=1,3,IF(COUNTIF('Model info'!$N$12,'Ecotox data'!G39)=1,2,IF(COUNTIF('Model info'!$O$12,'Ecotox data'!H39)=1,1,0)))))))</f>
        <v>0</v>
      </c>
      <c r="M39" s="182">
        <f t="shared" si="1"/>
        <v>1</v>
      </c>
      <c r="N39" s="35"/>
      <c r="O39" s="27">
        <f>IF(AND('Ecotox data'!M39&gt;='Model info'!$E$12,'Ecotox data'!M39&lt;='Model info'!$E$13),1,0)</f>
        <v>1</v>
      </c>
      <c r="P39" s="165">
        <f>IF(COUNTIF('Model info'!$H$14,'Ecotox data'!B39)=1,7,IF(COUNTIF('Model info'!$J$14,'Ecotox data'!C39)=1,6,IF(COUNTIF('Model info'!$K$14,'Ecotox data'!D39)=1,5,IF(COUNTIF('Model info'!$L$14,'Ecotox data'!E39)=1,4,IF(COUNTIF('Model info'!$M$14,'Ecotox data'!F39)=1,3,IF(COUNTIF('Model info'!$N$14,'Ecotox data'!G39)=1,2,IF(COUNTIF('Model info'!$O$14,'Ecotox data'!H39)=1,1,0)))))))</f>
        <v>1</v>
      </c>
      <c r="Q39" s="182">
        <f t="shared" si="2"/>
        <v>2</v>
      </c>
      <c r="R39" s="35"/>
      <c r="S39" s="27">
        <f>IF(AND('Ecotox data'!P39&gt;='Model info'!$C$16,'Ecotox data'!P39&lt;='Model info'!$C$17,'Ecotox data'!U39&gt;='Model info'!$D$16,'Ecotox data'!U39&lt;='Model info'!$D$17,'Ecotox data'!M39&gt;='Model info'!$E$16,'Ecotox data'!M39&lt;='Model info'!$E$17),1,0)</f>
        <v>1</v>
      </c>
      <c r="T39" s="172">
        <f>IF(COUNTIF('Model info'!$H$16,'Ecotox data'!B39)=1,7,IF(COUNTIF('Model info'!$J$16,'Ecotox data'!C39)=1,6,IF(COUNTIF('Model info'!$K$16,'Ecotox data'!D39)=1,5,IF(COUNTIF('Model info'!$L$16,'Ecotox data'!E39)=1,4,IF(COUNTIF('Model info'!$M$16,'Ecotox data'!F39)=1,3,IF(COUNTIF('Model info'!$N$16,'Ecotox data'!G39)=1,2,IF(COUNTIF('Model info'!$O$16,'Ecotox data'!H39)=1,1,0)))))))</f>
        <v>5</v>
      </c>
      <c r="U39" s="177">
        <f t="shared" si="3"/>
        <v>6</v>
      </c>
      <c r="V39" s="35"/>
      <c r="W39" s="27">
        <f>IF(AND('Ecotox data'!P39&gt;='Model info'!$C$20,'Ecotox data'!P39&lt;='Model info'!$C$21,'Ecotox data'!U39&gt;='Model info'!$D$20,'Ecotox data'!U39&lt;='Model info'!$D$21,'Ecotox data'!M39&gt;='Model info'!$E$20,'Ecotox data'!M39&lt;='Model info'!$E$21),1,0)</f>
        <v>1</v>
      </c>
      <c r="X39" s="171">
        <f>IF(COUNTIF('Model info'!$H$18:$H$24,'Ecotox data'!B39)=1,7,IF(COUNTIF('Model info'!$J$18:$J$24,'Ecotox data'!C39)=1,6,IF(COUNTIF('Model info'!$K$18:$K$24,'Ecotox data'!D39)=1,5,IF(COUNTIF('Model info'!$L$2:$L$24,'Ecotox data'!E39)=1,4,IF(COUNTIF('Model info'!$M$18:$M$24,'Ecotox data'!F39)=1,3,IF(COUNTIF('Model info'!$N$18:$N$24,'Ecotox data'!G39)=1,2,IF(COUNTIF('Model info'!$O$18:$O$24,'Ecotox data'!H39)=1,1,0)))))))</f>
        <v>5</v>
      </c>
      <c r="Y39" s="177">
        <f t="shared" si="4"/>
        <v>6</v>
      </c>
    </row>
    <row r="40" spans="5:25" ht="17" thickBot="1">
      <c r="E40" s="29">
        <v>36</v>
      </c>
      <c r="F40" s="262" t="s">
        <v>28</v>
      </c>
      <c r="G40" s="27">
        <f>IF(AND('Ecotox data'!P40&gt;='Model info'!$C$4,'Ecotox data'!P40&lt;='Model info'!$C$5),1,0)</f>
        <v>1</v>
      </c>
      <c r="H40" s="171">
        <f>IF(COUNTIF('Model info'!$H$4:$H$10,'Ecotox data'!B40)=1,7,IF(COUNTIF('Model info'!$J$4:$J$10,'Ecotox data'!C40)=1,6,IF(COUNTIF('Model info'!$K$4:$K$10,'Ecotox data'!D40)=1,5,IF(COUNTIF('Model info'!$L$4:$L$10,'Ecotox data'!E40)=1,4,IF(COUNTIF('Model info'!$M$4:$M$10,'Ecotox data'!F40)=1,3,IF(COUNTIF('Model info'!$N$4:$N$10,'Ecotox data'!G40)=1,2,IF(COUNTIF('Model info'!$O$4:$O$10,'Ecotox data'!H40)=1,1,0)))))))</f>
        <v>7</v>
      </c>
      <c r="I40" s="177">
        <f t="shared" si="0"/>
        <v>8</v>
      </c>
      <c r="J40" s="35"/>
      <c r="K40" s="27">
        <f>IF(AND('Ecotox data'!U40&gt;='Model info'!$D$8,'Ecotox data'!U40&lt;='Model info'!$D$9),1,0)</f>
        <v>1</v>
      </c>
      <c r="L40" s="163">
        <f>IF(COUNTIF('Model info'!$H$12,'Ecotox data'!B40)=1,7,IF(COUNTIF('Model info'!$J$12,'Ecotox data'!C40)=1,6,IF(COUNTIF('Model info'!$K$12,'Ecotox data'!D40)=1,5,IF(COUNTIF('Model info'!$L$12,'Ecotox data'!E40)=1,4,IF(COUNTIF('Model info'!$M$12,'Ecotox data'!F40)=1,3,IF(COUNTIF('Model info'!$N$12,'Ecotox data'!G40)=1,2,IF(COUNTIF('Model info'!$O$12,'Ecotox data'!H40)=1,1,0)))))))</f>
        <v>0</v>
      </c>
      <c r="M40" s="182">
        <f t="shared" si="1"/>
        <v>1</v>
      </c>
      <c r="N40" s="35"/>
      <c r="O40" s="130">
        <f>IF(AND('Ecotox data'!M40&gt;='Model info'!$E$12,'Ecotox data'!M40&lt;='Model info'!$E$13),1,0)</f>
        <v>1</v>
      </c>
      <c r="P40" s="166">
        <f>IF(COUNTIF('Model info'!$H$14,'Ecotox data'!B40)=1,7,IF(COUNTIF('Model info'!$J$14,'Ecotox data'!C40)=1,6,IF(COUNTIF('Model info'!$K$14,'Ecotox data'!D40)=1,5,IF(COUNTIF('Model info'!$L$14,'Ecotox data'!E40)=1,4,IF(COUNTIF('Model info'!$M$14,'Ecotox data'!F40)=1,3,IF(COUNTIF('Model info'!$N$14,'Ecotox data'!G40)=1,2,IF(COUNTIF('Model info'!$O$14,'Ecotox data'!H40)=1,1,0)))))))</f>
        <v>1</v>
      </c>
      <c r="Q40" s="182">
        <f t="shared" si="2"/>
        <v>2</v>
      </c>
      <c r="R40" s="35"/>
      <c r="S40" s="130">
        <f>IF(AND('Ecotox data'!P40&gt;='Model info'!$C$16,'Ecotox data'!P40&lt;='Model info'!$C$17,'Ecotox data'!U40&gt;='Model info'!$D$16,'Ecotox data'!U40&lt;='Model info'!$D$17,'Ecotox data'!M40&gt;='Model info'!$E$16,'Ecotox data'!M40&lt;='Model info'!$E$17),1,0)</f>
        <v>1</v>
      </c>
      <c r="T40" s="173">
        <f>IF(COUNTIF('Model info'!$H$16,'Ecotox data'!B40)=1,7,IF(COUNTIF('Model info'!$J$16,'Ecotox data'!C40)=1,6,IF(COUNTIF('Model info'!$K$16,'Ecotox data'!D40)=1,5,IF(COUNTIF('Model info'!$L$16,'Ecotox data'!E40)=1,4,IF(COUNTIF('Model info'!$M$16,'Ecotox data'!F40)=1,3,IF(COUNTIF('Model info'!$N$16,'Ecotox data'!G40)=1,2,IF(COUNTIF('Model info'!$O$16,'Ecotox data'!H40)=1,1,0)))))))</f>
        <v>5</v>
      </c>
      <c r="U40" s="177">
        <f t="shared" si="3"/>
        <v>6</v>
      </c>
      <c r="V40" s="35"/>
      <c r="W40" s="27">
        <f>IF(AND('Ecotox data'!P40&gt;='Model info'!$C$20,'Ecotox data'!P40&lt;='Model info'!$C$21,'Ecotox data'!U40&gt;='Model info'!$D$20,'Ecotox data'!U40&lt;='Model info'!$D$21,'Ecotox data'!M40&gt;='Model info'!$E$20,'Ecotox data'!M40&lt;='Model info'!$E$21),1,0)</f>
        <v>1</v>
      </c>
      <c r="X40" s="171">
        <f>IF(COUNTIF('Model info'!$H$18:$H$24,'Ecotox data'!B40)=1,7,IF(COUNTIF('Model info'!$J$18:$J$24,'Ecotox data'!C40)=1,6,IF(COUNTIF('Model info'!$K$18:$K$24,'Ecotox data'!D40)=1,5,IF(COUNTIF('Model info'!$L$2:$L$24,'Ecotox data'!E40)=1,4,IF(COUNTIF('Model info'!$M$18:$M$24,'Ecotox data'!F40)=1,3,IF(COUNTIF('Model info'!$N$18:$N$24,'Ecotox data'!G40)=1,2,IF(COUNTIF('Model info'!$O$18:$O$24,'Ecotox data'!H40)=1,1,0)))))))</f>
        <v>5</v>
      </c>
      <c r="Y40" s="177">
        <f t="shared" si="4"/>
        <v>6</v>
      </c>
    </row>
    <row r="41" spans="5:25">
      <c r="E41" s="29"/>
      <c r="F41" s="13"/>
      <c r="G41" s="302" t="s">
        <v>76</v>
      </c>
      <c r="H41" s="185" t="s">
        <v>212</v>
      </c>
      <c r="I41" s="49">
        <f>COUNT(I5:I40)</f>
        <v>36</v>
      </c>
      <c r="K41" s="302" t="s">
        <v>76</v>
      </c>
      <c r="L41" s="185" t="s">
        <v>212</v>
      </c>
      <c r="M41" s="49">
        <f>COUNT(M5:M40)</f>
        <v>36</v>
      </c>
      <c r="N41" s="35"/>
      <c r="O41" s="302" t="s">
        <v>76</v>
      </c>
      <c r="P41" s="185" t="s">
        <v>212</v>
      </c>
      <c r="Q41" s="49">
        <f>COUNT(Q5:Q40)</f>
        <v>36</v>
      </c>
      <c r="R41" s="35"/>
      <c r="S41" s="302" t="s">
        <v>76</v>
      </c>
      <c r="T41" s="185" t="s">
        <v>212</v>
      </c>
      <c r="U41" s="49">
        <f>COUNT(U5:U40)</f>
        <v>36</v>
      </c>
      <c r="V41" s="35"/>
      <c r="W41" s="302" t="s">
        <v>76</v>
      </c>
      <c r="X41" s="185" t="s">
        <v>212</v>
      </c>
      <c r="Y41" s="49">
        <f>COUNT(Y5:Y40)</f>
        <v>36</v>
      </c>
    </row>
    <row r="42" spans="5:25">
      <c r="E42" s="29"/>
      <c r="F42" s="13"/>
      <c r="G42" s="303"/>
      <c r="H42" s="184" t="s">
        <v>209</v>
      </c>
      <c r="I42" s="188">
        <f>(SUM(COUNTIF(I5:I40,0),COUNTIF(I5:I40,1),COUNTIF(I5:I40,2)))</f>
        <v>0</v>
      </c>
      <c r="K42" s="303"/>
      <c r="L42" s="184" t="s">
        <v>209</v>
      </c>
      <c r="M42" s="188">
        <f>(SUM(COUNTIF(M5:M40,0),COUNTIF(M5:M40,1),COUNTIF(M5:M40,2)))</f>
        <v>36</v>
      </c>
      <c r="N42" s="35"/>
      <c r="O42" s="303"/>
      <c r="P42" s="184" t="s">
        <v>209</v>
      </c>
      <c r="Q42" s="188">
        <f>(SUM(COUNTIF(Q5:Q40,0),COUNTIF(Q5:Q40,1),COUNTIF(Q5:Q40,2)))</f>
        <v>36</v>
      </c>
      <c r="R42" s="35"/>
      <c r="S42" s="303"/>
      <c r="T42" s="184" t="s">
        <v>209</v>
      </c>
      <c r="U42" s="188">
        <f>(SUM(COUNTIF(U5:U40,0),COUNTIF(U5:U40,1),COUNTIF(U5:U40,2)))</f>
        <v>0</v>
      </c>
      <c r="V42" s="35"/>
      <c r="W42" s="303"/>
      <c r="X42" s="184" t="s">
        <v>209</v>
      </c>
      <c r="Y42" s="188">
        <f>(SUM(COUNTIF(Y5:Y40,0),COUNTIF(Y5:Y40,1),COUNTIF(Y5:Y40,2)))</f>
        <v>0</v>
      </c>
    </row>
    <row r="43" spans="5:25">
      <c r="E43" s="29"/>
      <c r="F43" s="13"/>
      <c r="G43" s="303"/>
      <c r="H43" s="184" t="s">
        <v>210</v>
      </c>
      <c r="I43" s="189">
        <f>(SUM(COUNTIF(I5:I40,3),COUNTIF(I5:I40,4),COUNTIF(I5:I40,5)))</f>
        <v>3</v>
      </c>
      <c r="K43" s="303"/>
      <c r="L43" s="184" t="s">
        <v>210</v>
      </c>
      <c r="M43" s="189">
        <f>(SUM(COUNTIF(M5:M40,3),COUNTIF(M5:M40,4),COUNTIF(M5:M40,5)))</f>
        <v>0</v>
      </c>
      <c r="N43" s="35"/>
      <c r="O43" s="303"/>
      <c r="P43" s="184" t="s">
        <v>210</v>
      </c>
      <c r="Q43" s="189">
        <f>(SUM(COUNTIF(Q5:Q40,3),COUNTIF(Q5:Q40,4),COUNTIF(Q5:Q40,5)))</f>
        <v>0</v>
      </c>
      <c r="R43" s="35"/>
      <c r="S43" s="303"/>
      <c r="T43" s="184" t="s">
        <v>210</v>
      </c>
      <c r="U43" s="189">
        <f>(SUM(COUNTIF(U5:U40,3),COUNTIF(U5:U40,4),COUNTIF(U5:U40,5)))</f>
        <v>14</v>
      </c>
      <c r="V43" s="35"/>
      <c r="W43" s="303"/>
      <c r="X43" s="184" t="s">
        <v>210</v>
      </c>
      <c r="Y43" s="189">
        <f>(SUM(COUNTIF(Y5:Y40,3),COUNTIF(Y5:Y40,4),COUNTIF(Y5:Y40,5)))</f>
        <v>14</v>
      </c>
    </row>
    <row r="44" spans="5:25" ht="17" thickBot="1">
      <c r="E44" s="29"/>
      <c r="F44" s="13"/>
      <c r="G44" s="304"/>
      <c r="H44" s="186" t="s">
        <v>211</v>
      </c>
      <c r="I44" s="190">
        <f>(SUM(COUNTIF(I5:I40,6),COUNTIF(I5:I40,7),COUNTIF(I5:I40,8)))</f>
        <v>33</v>
      </c>
      <c r="K44" s="304"/>
      <c r="L44" s="186" t="s">
        <v>211</v>
      </c>
      <c r="M44" s="190">
        <f>(SUM(COUNTIF(M5:M40,6),COUNTIF(M5:M40,7),COUNTIF(M5:M40,8)))</f>
        <v>0</v>
      </c>
      <c r="N44" s="35"/>
      <c r="O44" s="304"/>
      <c r="P44" s="186" t="s">
        <v>211</v>
      </c>
      <c r="Q44" s="190">
        <f>(SUM(COUNTIF(Q5:Q40,6),COUNTIF(Q5:Q40,7),COUNTIF(Q5:Q40,8)))</f>
        <v>0</v>
      </c>
      <c r="R44" s="35"/>
      <c r="S44" s="304"/>
      <c r="T44" s="186" t="s">
        <v>211</v>
      </c>
      <c r="U44" s="190">
        <f>(SUM(COUNTIF(U5:U40,6),COUNTIF(U5:U40,7),COUNTIF(U5:U40,8)))</f>
        <v>22</v>
      </c>
      <c r="V44" s="35"/>
      <c r="W44" s="304"/>
      <c r="X44" s="186" t="s">
        <v>211</v>
      </c>
      <c r="Y44" s="190">
        <f>(SUM(COUNTIF(Y5:Y40,6),COUNTIF(Y5:Y40,7),COUNTIF(Y5:Y40,8)))</f>
        <v>22</v>
      </c>
    </row>
    <row r="45" spans="5:25">
      <c r="E45" s="29"/>
      <c r="F45" s="13"/>
      <c r="G45" s="32"/>
      <c r="H45" s="33" t="s">
        <v>73</v>
      </c>
      <c r="I45" s="41">
        <f>I44*H$1</f>
        <v>6.2700000000000005</v>
      </c>
      <c r="J45" s="41"/>
      <c r="K45" s="33"/>
      <c r="L45" s="32" t="s">
        <v>73</v>
      </c>
      <c r="M45" s="41">
        <f>M44*L$1</f>
        <v>0</v>
      </c>
      <c r="O45" s="33"/>
      <c r="P45" s="32" t="s">
        <v>73</v>
      </c>
      <c r="Q45" s="41">
        <f>Q44*P$1</f>
        <v>0</v>
      </c>
      <c r="S45" s="33"/>
      <c r="T45" s="32" t="s">
        <v>73</v>
      </c>
      <c r="U45" s="41">
        <f>U44*T$1</f>
        <v>15.399999999999999</v>
      </c>
      <c r="W45" s="33"/>
      <c r="X45" s="32" t="s">
        <v>73</v>
      </c>
      <c r="Y45" s="41">
        <f>Y44*X$1</f>
        <v>19.14</v>
      </c>
    </row>
    <row r="46" spans="5:25">
      <c r="F46" s="13"/>
      <c r="G46" s="32"/>
      <c r="H46" s="33" t="s">
        <v>74</v>
      </c>
      <c r="I46" s="187">
        <f>I44*(1/H$2)</f>
        <v>0.2578125</v>
      </c>
      <c r="K46" s="33"/>
      <c r="L46" s="32" t="s">
        <v>74</v>
      </c>
      <c r="M46" s="187">
        <f>M44*(1/L$2)</f>
        <v>0</v>
      </c>
      <c r="O46" s="33"/>
      <c r="P46" s="32" t="s">
        <v>74</v>
      </c>
      <c r="Q46" s="187">
        <f>Q44*(1/P$2)</f>
        <v>0</v>
      </c>
      <c r="S46" s="33"/>
      <c r="T46" s="32" t="s">
        <v>74</v>
      </c>
      <c r="U46" s="187">
        <f>U44*(1/T$2)</f>
        <v>6.2857142857142856</v>
      </c>
      <c r="W46" s="33"/>
      <c r="X46" s="32" t="s">
        <v>74</v>
      </c>
      <c r="Y46" s="41">
        <f>Y44*(1/X$2)</f>
        <v>11.578947368421051</v>
      </c>
    </row>
    <row r="47" spans="5:25" ht="17" thickBot="1">
      <c r="F47" s="13"/>
      <c r="G47" s="32"/>
      <c r="H47" s="33"/>
      <c r="I47" s="33"/>
      <c r="K47" s="32"/>
      <c r="L47" s="32"/>
      <c r="M47" s="33"/>
      <c r="O47" s="33"/>
      <c r="P47" s="33"/>
      <c r="Q47" s="33"/>
      <c r="S47" s="33"/>
      <c r="T47" s="33"/>
      <c r="U47" s="33"/>
      <c r="W47" s="32"/>
      <c r="X47" s="32"/>
      <c r="Y47" s="32"/>
    </row>
    <row r="48" spans="5:25">
      <c r="E48" s="29">
        <v>37</v>
      </c>
      <c r="F48" s="262" t="s">
        <v>45</v>
      </c>
      <c r="G48" s="28">
        <f>IF(AND('Ecotox data'!P43&gt;='Model info'!$C$4,'Ecotox data'!P43&lt;='Model info'!$C$5),1,0)</f>
        <v>1</v>
      </c>
      <c r="H48" s="162">
        <f>IF(COUNTIF('Model info'!$H$4:$H$10,'Ecotox data'!B43)=1,7,IF(COUNTIF('Model info'!$J$4:$J$10,'Ecotox data'!C43)=1,6,IF(COUNTIF('Model info'!$K$4:$K$10,'Ecotox data'!D43)=1,5,IF(COUNTIF('Model info'!$L$4:$L$10,'Ecotox data'!E43)=1,4,IF(COUNTIF('Model info'!$M$4:$M$10,'Ecotox data'!F43)=1,3,IF(COUNTIF('Model info'!$N$4:$N$10,'Ecotox data'!G43)=1,2,IF(COUNTIF('Model info'!$O$4:$O$10,'Ecotox data'!H43)=1,1,0)))))))</f>
        <v>1</v>
      </c>
      <c r="I48" s="181">
        <f>SUM(G48:H48)</f>
        <v>2</v>
      </c>
      <c r="J48" s="35"/>
      <c r="K48" s="28">
        <f>IF(AND('Ecotox data'!U43&gt;='Model info'!$D$8,'Ecotox data'!U43&lt;='Model info'!$D$9),1,0)</f>
        <v>1</v>
      </c>
      <c r="L48" s="162">
        <f>IF(COUNTIF('Model info'!$H$12,'Ecotox data'!B43)=1,7,IF(COUNTIF('Model info'!$J$12,'Ecotox data'!C43)=1,6,IF(COUNTIF('Model info'!$K$12,'Ecotox data'!D43)=1,5,IF(COUNTIF('Model info'!$L$12,'Ecotox data'!E43)=1,4,IF(COUNTIF('Model info'!$M$12,'Ecotox data'!F43)=1,3,IF(COUNTIF('Model info'!$N$12,'Ecotox data'!G43)=1,2,IF(COUNTIF('Model info'!$O$12,'Ecotox data'!H43)=1,1,0)))))))</f>
        <v>0</v>
      </c>
      <c r="M48" s="181">
        <f>SUM(K48:L48)</f>
        <v>1</v>
      </c>
      <c r="N48" s="35"/>
      <c r="O48" s="28">
        <f>IF(AND('Ecotox data'!M43&gt;='Model info'!$E$12,'Ecotox data'!M43&lt;='Model info'!$E$13),1,0)</f>
        <v>1</v>
      </c>
      <c r="P48" s="164">
        <f>IF(COUNTIF('Model info'!$H$14,'Ecotox data'!B43)=1,7,IF(COUNTIF('Model info'!$J$14,'Ecotox data'!C43)=1,6,IF(COUNTIF('Model info'!$K$14,'Ecotox data'!D43)=1,5,IF(COUNTIF('Model info'!$L$14,'Ecotox data'!E43)=1,4,IF(COUNTIF('Model info'!$M$14,'Ecotox data'!F43)=1,3,IF(COUNTIF('Model info'!$N$14,'Ecotox data'!G43)=1,2,IF(COUNTIF('Model info'!$O$14,'Ecotox data'!H43)=1,1,0)))))))</f>
        <v>1</v>
      </c>
      <c r="Q48" s="181">
        <f>SUM(O48:P48)</f>
        <v>2</v>
      </c>
      <c r="R48" s="35"/>
      <c r="S48" s="28">
        <f>IF(AND('Ecotox data'!P43&gt;='Model info'!$C$16,'Ecotox data'!P43&lt;='Model info'!$C$17,'Ecotox data'!U43&gt;='Model info'!$D$16,'Ecotox data'!U43&lt;='Model info'!$D$17,'Ecotox data'!M43&gt;='Model info'!$E$16,'Ecotox data'!M43&lt;='Model info'!$E$17),1,0)</f>
        <v>1</v>
      </c>
      <c r="T48" s="164">
        <f>IF(COUNTIF('Model info'!$H$16,'Ecotox data'!B43)=1,7,IF(COUNTIF('Model info'!$J$16,'Ecotox data'!C43)=1,6,IF(COUNTIF('Model info'!$K$16,'Ecotox data'!D43)=1,5,IF(COUNTIF('Model info'!$L$16,'Ecotox data'!E43)=1,4,IF(COUNTIF('Model info'!$M$16,'Ecotox data'!F43)=1,3,IF(COUNTIF('Model info'!$N$16,'Ecotox data'!G43)=1,2,IF(COUNTIF('Model info'!$O$16,'Ecotox data'!H43)=1,1,0)))))))</f>
        <v>1</v>
      </c>
      <c r="U48" s="181">
        <f>SUM(S48:T48)</f>
        <v>2</v>
      </c>
      <c r="V48" s="35"/>
      <c r="W48" s="28">
        <f>IF(AND('Ecotox data'!P43&gt;='Model info'!$C$20,'Ecotox data'!P43&lt;='Model info'!$C$21,'Ecotox data'!U43&gt;='Model info'!$D$20,'Ecotox data'!U43&lt;='Model info'!$D$21,'Ecotox data'!M43&gt;='Model info'!$E$20,'Ecotox data'!M43&lt;='Model info'!$E$21),1,0)</f>
        <v>1</v>
      </c>
      <c r="X48" s="174">
        <f>IF(COUNTIF('Model info'!$H$18:$H$24,'Ecotox data'!B43)=1,7,IF(COUNTIF('Model info'!$J$18:$J$24,'Ecotox data'!C43)=1,6,IF(COUNTIF('Model info'!$K$18:$K$24,'Ecotox data'!D43)=1,5,IF(COUNTIF('Model info'!$L$2:$L$24,'Ecotox data'!E43)=1,4,IF(COUNTIF('Model info'!$M$18:$M$24,'Ecotox data'!F43)=1,3,IF(COUNTIF('Model info'!$N$18:$N$24,'Ecotox data'!G43)=1,2,IF(COUNTIF('Model info'!$O$18:$O$24,'Ecotox data'!H43)=1,1,0)))))))</f>
        <v>5</v>
      </c>
      <c r="Y48" s="183">
        <f>SUM(W48:X48)</f>
        <v>6</v>
      </c>
    </row>
    <row r="49" spans="5:25">
      <c r="E49" s="29">
        <v>38</v>
      </c>
      <c r="F49" s="262" t="s">
        <v>52</v>
      </c>
      <c r="G49" s="27">
        <f>IF(AND('Ecotox data'!P44&gt;='Model info'!$C$4,'Ecotox data'!P44&lt;='Model info'!$C$5),1,0)</f>
        <v>1</v>
      </c>
      <c r="H49" s="163">
        <f>IF(COUNTIF('Model info'!$H$4:$H$10,'Ecotox data'!B44)=1,7,IF(COUNTIF('Model info'!$J$4:$J$10,'Ecotox data'!C44)=1,6,IF(COUNTIF('Model info'!$K$4:$K$10,'Ecotox data'!D44)=1,5,IF(COUNTIF('Model info'!$L$4:$L$10,'Ecotox data'!E44)=1,4,IF(COUNTIF('Model info'!$M$4:$M$10,'Ecotox data'!F44)=1,3,IF(COUNTIF('Model info'!$N$4:$N$10,'Ecotox data'!G44)=1,2,IF(COUNTIF('Model info'!$O$4:$O$10,'Ecotox data'!H44)=1,1,0)))))))</f>
        <v>1</v>
      </c>
      <c r="I49" s="182">
        <f t="shared" si="0"/>
        <v>2</v>
      </c>
      <c r="J49" s="35"/>
      <c r="K49" s="27">
        <f>IF(AND('Ecotox data'!U44&gt;='Model info'!$D$8,'Ecotox data'!U44&lt;='Model info'!$D$9),1,0)</f>
        <v>1</v>
      </c>
      <c r="L49" s="163">
        <f>IF(COUNTIF('Model info'!$H$12,'Ecotox data'!B44)=1,7,IF(COUNTIF('Model info'!$J$12,'Ecotox data'!C44)=1,6,IF(COUNTIF('Model info'!$K$12,'Ecotox data'!D44)=1,5,IF(COUNTIF('Model info'!$L$12,'Ecotox data'!E44)=1,4,IF(COUNTIF('Model info'!$M$12,'Ecotox data'!F44)=1,3,IF(COUNTIF('Model info'!$N$12,'Ecotox data'!G44)=1,2,IF(COUNTIF('Model info'!$O$12,'Ecotox data'!H44)=1,1,0)))))))</f>
        <v>0</v>
      </c>
      <c r="M49" s="182">
        <f t="shared" ref="M49:M108" si="5">SUM(K49:L49)</f>
        <v>1</v>
      </c>
      <c r="N49" s="35"/>
      <c r="O49" s="27">
        <f>IF(AND('Ecotox data'!M44&gt;='Model info'!$E$12,'Ecotox data'!M44&lt;='Model info'!$E$13),1,0)</f>
        <v>1</v>
      </c>
      <c r="P49" s="165">
        <f>IF(COUNTIF('Model info'!$H$14,'Ecotox data'!B44)=1,7,IF(COUNTIF('Model info'!$J$14,'Ecotox data'!C44)=1,6,IF(COUNTIF('Model info'!$K$14,'Ecotox data'!D44)=1,5,IF(COUNTIF('Model info'!$L$14,'Ecotox data'!E44)=1,4,IF(COUNTIF('Model info'!$M$14,'Ecotox data'!F44)=1,3,IF(COUNTIF('Model info'!$N$14,'Ecotox data'!G44)=1,2,IF(COUNTIF('Model info'!$O$14,'Ecotox data'!H44)=1,1,0)))))))</f>
        <v>1</v>
      </c>
      <c r="Q49" s="182">
        <f t="shared" ref="Q49:Q108" si="6">SUM(O49:P49)</f>
        <v>2</v>
      </c>
      <c r="R49" s="35"/>
      <c r="S49" s="27">
        <f>IF(AND('Ecotox data'!P44&gt;='Model info'!$C$16,'Ecotox data'!P44&lt;='Model info'!$C$17,'Ecotox data'!U44&gt;='Model info'!$D$16,'Ecotox data'!U44&lt;='Model info'!$D$17,'Ecotox data'!M44&gt;='Model info'!$E$16,'Ecotox data'!M44&lt;='Model info'!$E$17),1,0)</f>
        <v>1</v>
      </c>
      <c r="T49" s="165">
        <f>IF(COUNTIF('Model info'!$H$16,'Ecotox data'!B44)=1,7,IF(COUNTIF('Model info'!$J$16,'Ecotox data'!C44)=1,6,IF(COUNTIF('Model info'!$K$16,'Ecotox data'!D44)=1,5,IF(COUNTIF('Model info'!$L$16,'Ecotox data'!E44)=1,4,IF(COUNTIF('Model info'!$M$16,'Ecotox data'!F44)=1,3,IF(COUNTIF('Model info'!$N$16,'Ecotox data'!G44)=1,2,IF(COUNTIF('Model info'!$O$16,'Ecotox data'!H44)=1,1,0)))))))</f>
        <v>1</v>
      </c>
      <c r="U49" s="182">
        <f t="shared" ref="U49:U108" si="7">SUM(S49:T49)</f>
        <v>2</v>
      </c>
      <c r="V49" s="35"/>
      <c r="W49" s="27">
        <f>IF(AND('Ecotox data'!P44&gt;='Model info'!$C$20,'Ecotox data'!P44&lt;='Model info'!$C$21,'Ecotox data'!U44&gt;='Model info'!$D$20,'Ecotox data'!U44&lt;='Model info'!$D$21,'Ecotox data'!M44&gt;='Model info'!$E$20,'Ecotox data'!M44&lt;='Model info'!$E$21),1,0)</f>
        <v>1</v>
      </c>
      <c r="X49" s="171">
        <f>IF(COUNTIF('Model info'!$H$18:$H$24,'Ecotox data'!B44)=1,7,IF(COUNTIF('Model info'!$J$18:$J$24,'Ecotox data'!C44)=1,6,IF(COUNTIF('Model info'!$K$18:$K$24,'Ecotox data'!D44)=1,5,IF(COUNTIF('Model info'!$L$2:$L$24,'Ecotox data'!E44)=1,4,IF(COUNTIF('Model info'!$M$18:$M$24,'Ecotox data'!F44)=1,3,IF(COUNTIF('Model info'!$N$18:$N$24,'Ecotox data'!G44)=1,2,IF(COUNTIF('Model info'!$O$18:$O$24,'Ecotox data'!H44)=1,1,0)))))))</f>
        <v>7</v>
      </c>
      <c r="Y49" s="177">
        <f t="shared" ref="Y49:Y108" si="8">SUM(W49:X49)</f>
        <v>8</v>
      </c>
    </row>
    <row r="50" spans="5:25">
      <c r="E50" s="29">
        <v>39</v>
      </c>
      <c r="F50" s="262" t="s">
        <v>52</v>
      </c>
      <c r="G50" s="27">
        <f>IF(AND('Ecotox data'!P45&gt;='Model info'!$C$4,'Ecotox data'!P45&lt;='Model info'!$C$5),1,0)</f>
        <v>1</v>
      </c>
      <c r="H50" s="163">
        <f>IF(COUNTIF('Model info'!$H$4:$H$10,'Ecotox data'!B45)=1,7,IF(COUNTIF('Model info'!$J$4:$J$10,'Ecotox data'!C45)=1,6,IF(COUNTIF('Model info'!$K$4:$K$10,'Ecotox data'!D45)=1,5,IF(COUNTIF('Model info'!$L$4:$L$10,'Ecotox data'!E45)=1,4,IF(COUNTIF('Model info'!$M$4:$M$10,'Ecotox data'!F45)=1,3,IF(COUNTIF('Model info'!$N$4:$N$10,'Ecotox data'!G45)=1,2,IF(COUNTIF('Model info'!$O$4:$O$10,'Ecotox data'!H45)=1,1,0)))))))</f>
        <v>1</v>
      </c>
      <c r="I50" s="182">
        <f t="shared" si="0"/>
        <v>2</v>
      </c>
      <c r="J50" s="35"/>
      <c r="K50" s="27">
        <f>IF(AND('Ecotox data'!U45&gt;='Model info'!$D$8,'Ecotox data'!U45&lt;='Model info'!$D$9),1,0)</f>
        <v>1</v>
      </c>
      <c r="L50" s="163">
        <f>IF(COUNTIF('Model info'!$H$12,'Ecotox data'!B45)=1,7,IF(COUNTIF('Model info'!$J$12,'Ecotox data'!C45)=1,6,IF(COUNTIF('Model info'!$K$12,'Ecotox data'!D45)=1,5,IF(COUNTIF('Model info'!$L$12,'Ecotox data'!E45)=1,4,IF(COUNTIF('Model info'!$M$12,'Ecotox data'!F45)=1,3,IF(COUNTIF('Model info'!$N$12,'Ecotox data'!G45)=1,2,IF(COUNTIF('Model info'!$O$12,'Ecotox data'!H45)=1,1,0)))))))</f>
        <v>0</v>
      </c>
      <c r="M50" s="182">
        <f t="shared" si="5"/>
        <v>1</v>
      </c>
      <c r="N50" s="35"/>
      <c r="O50" s="27">
        <f>IF(AND('Ecotox data'!M45&gt;='Model info'!$E$12,'Ecotox data'!M45&lt;='Model info'!$E$13),1,0)</f>
        <v>1</v>
      </c>
      <c r="P50" s="165">
        <f>IF(COUNTIF('Model info'!$H$14,'Ecotox data'!B45)=1,7,IF(COUNTIF('Model info'!$J$14,'Ecotox data'!C45)=1,6,IF(COUNTIF('Model info'!$K$14,'Ecotox data'!D45)=1,5,IF(COUNTIF('Model info'!$L$14,'Ecotox data'!E45)=1,4,IF(COUNTIF('Model info'!$M$14,'Ecotox data'!F45)=1,3,IF(COUNTIF('Model info'!$N$14,'Ecotox data'!G45)=1,2,IF(COUNTIF('Model info'!$O$14,'Ecotox data'!H45)=1,1,0)))))))</f>
        <v>1</v>
      </c>
      <c r="Q50" s="182">
        <f t="shared" si="6"/>
        <v>2</v>
      </c>
      <c r="R50" s="35"/>
      <c r="S50" s="27">
        <f>IF(AND('Ecotox data'!P45&gt;='Model info'!$C$16,'Ecotox data'!P45&lt;='Model info'!$C$17,'Ecotox data'!U45&gt;='Model info'!$D$16,'Ecotox data'!U45&lt;='Model info'!$D$17,'Ecotox data'!M45&gt;='Model info'!$E$16,'Ecotox data'!M45&lt;='Model info'!$E$17),1,0)</f>
        <v>1</v>
      </c>
      <c r="T50" s="165">
        <f>IF(COUNTIF('Model info'!$H$16,'Ecotox data'!B45)=1,7,IF(COUNTIF('Model info'!$J$16,'Ecotox data'!C45)=1,6,IF(COUNTIF('Model info'!$K$16,'Ecotox data'!D45)=1,5,IF(COUNTIF('Model info'!$L$16,'Ecotox data'!E45)=1,4,IF(COUNTIF('Model info'!$M$16,'Ecotox data'!F45)=1,3,IF(COUNTIF('Model info'!$N$16,'Ecotox data'!G45)=1,2,IF(COUNTIF('Model info'!$O$16,'Ecotox data'!H45)=1,1,0)))))))</f>
        <v>1</v>
      </c>
      <c r="U50" s="182">
        <f t="shared" si="7"/>
        <v>2</v>
      </c>
      <c r="V50" s="35"/>
      <c r="W50" s="27">
        <f>IF(AND('Ecotox data'!P45&gt;='Model info'!$C$20,'Ecotox data'!P45&lt;='Model info'!$C$21,'Ecotox data'!U45&gt;='Model info'!$D$20,'Ecotox data'!U45&lt;='Model info'!$D$21,'Ecotox data'!M45&gt;='Model info'!$E$20,'Ecotox data'!M45&lt;='Model info'!$E$21),1,0)</f>
        <v>1</v>
      </c>
      <c r="X50" s="171">
        <f>IF(COUNTIF('Model info'!$H$18:$H$24,'Ecotox data'!B45)=1,7,IF(COUNTIF('Model info'!$J$18:$J$24,'Ecotox data'!C45)=1,6,IF(COUNTIF('Model info'!$K$18:$K$24,'Ecotox data'!D45)=1,5,IF(COUNTIF('Model info'!$L$2:$L$24,'Ecotox data'!E45)=1,4,IF(COUNTIF('Model info'!$M$18:$M$24,'Ecotox data'!F45)=1,3,IF(COUNTIF('Model info'!$N$18:$N$24,'Ecotox data'!G45)=1,2,IF(COUNTIF('Model info'!$O$18:$O$24,'Ecotox data'!H45)=1,1,0)))))))</f>
        <v>7</v>
      </c>
      <c r="Y50" s="177">
        <f t="shared" si="8"/>
        <v>8</v>
      </c>
    </row>
    <row r="51" spans="5:25">
      <c r="E51" s="29">
        <v>40</v>
      </c>
      <c r="F51" s="262" t="s">
        <v>52</v>
      </c>
      <c r="G51" s="27">
        <f>IF(AND('Ecotox data'!P46&gt;='Model info'!$C$4,'Ecotox data'!P46&lt;='Model info'!$C$5),1,0)</f>
        <v>1</v>
      </c>
      <c r="H51" s="163">
        <f>IF(COUNTIF('Model info'!$H$4:$H$10,'Ecotox data'!B46)=1,7,IF(COUNTIF('Model info'!$J$4:$J$10,'Ecotox data'!C46)=1,6,IF(COUNTIF('Model info'!$K$4:$K$10,'Ecotox data'!D46)=1,5,IF(COUNTIF('Model info'!$L$4:$L$10,'Ecotox data'!E46)=1,4,IF(COUNTIF('Model info'!$M$4:$M$10,'Ecotox data'!F46)=1,3,IF(COUNTIF('Model info'!$N$4:$N$10,'Ecotox data'!G46)=1,2,IF(COUNTIF('Model info'!$O$4:$O$10,'Ecotox data'!H46)=1,1,0)))))))</f>
        <v>1</v>
      </c>
      <c r="I51" s="182">
        <f t="shared" si="0"/>
        <v>2</v>
      </c>
      <c r="J51" s="35"/>
      <c r="K51" s="27">
        <f>IF(AND('Ecotox data'!U46&gt;='Model info'!$D$8,'Ecotox data'!U46&lt;='Model info'!$D$9),1,0)</f>
        <v>1</v>
      </c>
      <c r="L51" s="163">
        <f>IF(COUNTIF('Model info'!$H$12,'Ecotox data'!B46)=1,7,IF(COUNTIF('Model info'!$J$12,'Ecotox data'!C46)=1,6,IF(COUNTIF('Model info'!$K$12,'Ecotox data'!D46)=1,5,IF(COUNTIF('Model info'!$L$12,'Ecotox data'!E46)=1,4,IF(COUNTIF('Model info'!$M$12,'Ecotox data'!F46)=1,3,IF(COUNTIF('Model info'!$N$12,'Ecotox data'!G46)=1,2,IF(COUNTIF('Model info'!$O$12,'Ecotox data'!H46)=1,1,0)))))))</f>
        <v>0</v>
      </c>
      <c r="M51" s="182">
        <f t="shared" si="5"/>
        <v>1</v>
      </c>
      <c r="N51" s="35"/>
      <c r="O51" s="27">
        <f>IF(AND('Ecotox data'!M46&gt;='Model info'!$E$12,'Ecotox data'!M46&lt;='Model info'!$E$13),1,0)</f>
        <v>1</v>
      </c>
      <c r="P51" s="165">
        <f>IF(COUNTIF('Model info'!$H$14,'Ecotox data'!B46)=1,7,IF(COUNTIF('Model info'!$J$14,'Ecotox data'!C46)=1,6,IF(COUNTIF('Model info'!$K$14,'Ecotox data'!D46)=1,5,IF(COUNTIF('Model info'!$L$14,'Ecotox data'!E46)=1,4,IF(COUNTIF('Model info'!$M$14,'Ecotox data'!F46)=1,3,IF(COUNTIF('Model info'!$N$14,'Ecotox data'!G46)=1,2,IF(COUNTIF('Model info'!$O$14,'Ecotox data'!H46)=1,1,0)))))))</f>
        <v>1</v>
      </c>
      <c r="Q51" s="182">
        <f t="shared" si="6"/>
        <v>2</v>
      </c>
      <c r="R51" s="35"/>
      <c r="S51" s="27">
        <f>IF(AND('Ecotox data'!P46&gt;='Model info'!$C$16,'Ecotox data'!P46&lt;='Model info'!$C$17,'Ecotox data'!U46&gt;='Model info'!$D$16,'Ecotox data'!U46&lt;='Model info'!$D$17,'Ecotox data'!M46&gt;='Model info'!$E$16,'Ecotox data'!M46&lt;='Model info'!$E$17),1,0)</f>
        <v>1</v>
      </c>
      <c r="T51" s="165">
        <f>IF(COUNTIF('Model info'!$H$16,'Ecotox data'!B46)=1,7,IF(COUNTIF('Model info'!$J$16,'Ecotox data'!C46)=1,6,IF(COUNTIF('Model info'!$K$16,'Ecotox data'!D46)=1,5,IF(COUNTIF('Model info'!$L$16,'Ecotox data'!E46)=1,4,IF(COUNTIF('Model info'!$M$16,'Ecotox data'!F46)=1,3,IF(COUNTIF('Model info'!$N$16,'Ecotox data'!G46)=1,2,IF(COUNTIF('Model info'!$O$16,'Ecotox data'!H46)=1,1,0)))))))</f>
        <v>1</v>
      </c>
      <c r="U51" s="182">
        <f t="shared" si="7"/>
        <v>2</v>
      </c>
      <c r="V51" s="35"/>
      <c r="W51" s="27">
        <f>IF(AND('Ecotox data'!P46&gt;='Model info'!$C$20,'Ecotox data'!P46&lt;='Model info'!$C$21,'Ecotox data'!U46&gt;='Model info'!$D$20,'Ecotox data'!U46&lt;='Model info'!$D$21,'Ecotox data'!M46&gt;='Model info'!$E$20,'Ecotox data'!M46&lt;='Model info'!$E$21),1,0)</f>
        <v>1</v>
      </c>
      <c r="X51" s="171">
        <f>IF(COUNTIF('Model info'!$H$18:$H$24,'Ecotox data'!B46)=1,7,IF(COUNTIF('Model info'!$J$18:$J$24,'Ecotox data'!C46)=1,6,IF(COUNTIF('Model info'!$K$18:$K$24,'Ecotox data'!D46)=1,5,IF(COUNTIF('Model info'!$L$2:$L$24,'Ecotox data'!E46)=1,4,IF(COUNTIF('Model info'!$M$18:$M$24,'Ecotox data'!F46)=1,3,IF(COUNTIF('Model info'!$N$18:$N$24,'Ecotox data'!G46)=1,2,IF(COUNTIF('Model info'!$O$18:$O$24,'Ecotox data'!H46)=1,1,0)))))))</f>
        <v>7</v>
      </c>
      <c r="Y51" s="177">
        <f t="shared" si="8"/>
        <v>8</v>
      </c>
    </row>
    <row r="52" spans="5:25">
      <c r="E52" s="29">
        <v>41</v>
      </c>
      <c r="F52" s="262" t="s">
        <v>52</v>
      </c>
      <c r="G52" s="27">
        <f>IF(AND('Ecotox data'!P47&gt;='Model info'!$C$4,'Ecotox data'!P47&lt;='Model info'!$C$5),1,0)</f>
        <v>1</v>
      </c>
      <c r="H52" s="163">
        <f>IF(COUNTIF('Model info'!$H$4:$H$10,'Ecotox data'!B47)=1,7,IF(COUNTIF('Model info'!$J$4:$J$10,'Ecotox data'!C47)=1,6,IF(COUNTIF('Model info'!$K$4:$K$10,'Ecotox data'!D47)=1,5,IF(COUNTIF('Model info'!$L$4:$L$10,'Ecotox data'!E47)=1,4,IF(COUNTIF('Model info'!$M$4:$M$10,'Ecotox data'!F47)=1,3,IF(COUNTIF('Model info'!$N$4:$N$10,'Ecotox data'!G47)=1,2,IF(COUNTIF('Model info'!$O$4:$O$10,'Ecotox data'!H47)=1,1,0)))))))</f>
        <v>1</v>
      </c>
      <c r="I52" s="182">
        <f t="shared" si="0"/>
        <v>2</v>
      </c>
      <c r="J52" s="35"/>
      <c r="K52" s="129">
        <f>IF(AND('Ecotox data'!U47&gt;='Model info'!$D$8,'Ecotox data'!U47&lt;='Model info'!$D$9),1,0)</f>
        <v>0</v>
      </c>
      <c r="L52" s="163">
        <f>IF(COUNTIF('Model info'!$H$12,'Ecotox data'!B47)=1,7,IF(COUNTIF('Model info'!$J$12,'Ecotox data'!C47)=1,6,IF(COUNTIF('Model info'!$K$12,'Ecotox data'!D47)=1,5,IF(COUNTIF('Model info'!$L$12,'Ecotox data'!E47)=1,4,IF(COUNTIF('Model info'!$M$12,'Ecotox data'!F47)=1,3,IF(COUNTIF('Model info'!$N$12,'Ecotox data'!G47)=1,2,IF(COUNTIF('Model info'!$O$12,'Ecotox data'!H47)=1,1,0)))))))</f>
        <v>0</v>
      </c>
      <c r="M52" s="182">
        <f t="shared" si="5"/>
        <v>0</v>
      </c>
      <c r="N52" s="35"/>
      <c r="O52" s="27">
        <f>IF(AND('Ecotox data'!M47&gt;='Model info'!$E$12,'Ecotox data'!M47&lt;='Model info'!$E$13),1,0)</f>
        <v>1</v>
      </c>
      <c r="P52" s="165">
        <f>IF(COUNTIF('Model info'!$H$14,'Ecotox data'!B47)=1,7,IF(COUNTIF('Model info'!$J$14,'Ecotox data'!C47)=1,6,IF(COUNTIF('Model info'!$K$14,'Ecotox data'!D47)=1,5,IF(COUNTIF('Model info'!$L$14,'Ecotox data'!E47)=1,4,IF(COUNTIF('Model info'!$M$14,'Ecotox data'!F47)=1,3,IF(COUNTIF('Model info'!$N$14,'Ecotox data'!G47)=1,2,IF(COUNTIF('Model info'!$O$14,'Ecotox data'!H47)=1,1,0)))))))</f>
        <v>1</v>
      </c>
      <c r="Q52" s="182">
        <f t="shared" si="6"/>
        <v>2</v>
      </c>
      <c r="R52" s="35"/>
      <c r="S52" s="27">
        <f>IF(AND('Ecotox data'!P47&gt;='Model info'!$C$16,'Ecotox data'!P47&lt;='Model info'!$C$17,'Ecotox data'!U47&gt;='Model info'!$D$16,'Ecotox data'!U47&lt;='Model info'!$D$17,'Ecotox data'!M47&gt;='Model info'!$E$16,'Ecotox data'!M47&lt;='Model info'!$E$17),1,0)</f>
        <v>1</v>
      </c>
      <c r="T52" s="165">
        <f>IF(COUNTIF('Model info'!$H$16,'Ecotox data'!B47)=1,7,IF(COUNTIF('Model info'!$J$16,'Ecotox data'!C47)=1,6,IF(COUNTIF('Model info'!$K$16,'Ecotox data'!D47)=1,5,IF(COUNTIF('Model info'!$L$16,'Ecotox data'!E47)=1,4,IF(COUNTIF('Model info'!$M$16,'Ecotox data'!F47)=1,3,IF(COUNTIF('Model info'!$N$16,'Ecotox data'!G47)=1,2,IF(COUNTIF('Model info'!$O$16,'Ecotox data'!H47)=1,1,0)))))))</f>
        <v>1</v>
      </c>
      <c r="U52" s="182">
        <f t="shared" si="7"/>
        <v>2</v>
      </c>
      <c r="V52" s="35"/>
      <c r="W52" s="27">
        <f>IF(AND('Ecotox data'!P47&gt;='Model info'!$C$20,'Ecotox data'!P47&lt;='Model info'!$C$21,'Ecotox data'!U47&gt;='Model info'!$D$20,'Ecotox data'!U47&lt;='Model info'!$D$21,'Ecotox data'!M47&gt;='Model info'!$E$20,'Ecotox data'!M47&lt;='Model info'!$E$21),1,0)</f>
        <v>1</v>
      </c>
      <c r="X52" s="171">
        <f>IF(COUNTIF('Model info'!$H$18:$H$24,'Ecotox data'!B47)=1,7,IF(COUNTIF('Model info'!$J$18:$J$24,'Ecotox data'!C47)=1,6,IF(COUNTIF('Model info'!$K$18:$K$24,'Ecotox data'!D47)=1,5,IF(COUNTIF('Model info'!$L$2:$L$24,'Ecotox data'!E47)=1,4,IF(COUNTIF('Model info'!$M$18:$M$24,'Ecotox data'!F47)=1,3,IF(COUNTIF('Model info'!$N$18:$N$24,'Ecotox data'!G47)=1,2,IF(COUNTIF('Model info'!$O$18:$O$24,'Ecotox data'!H47)=1,1,0)))))))</f>
        <v>7</v>
      </c>
      <c r="Y52" s="177">
        <f t="shared" si="8"/>
        <v>8</v>
      </c>
    </row>
    <row r="53" spans="5:25">
      <c r="E53" s="29">
        <v>42</v>
      </c>
      <c r="F53" s="262" t="s">
        <v>52</v>
      </c>
      <c r="G53" s="27">
        <f>IF(AND('Ecotox data'!P48&gt;='Model info'!$C$4,'Ecotox data'!P48&lt;='Model info'!$C$5),1,0)</f>
        <v>1</v>
      </c>
      <c r="H53" s="163">
        <f>IF(COUNTIF('Model info'!$H$4:$H$10,'Ecotox data'!B48)=1,7,IF(COUNTIF('Model info'!$J$4:$J$10,'Ecotox data'!C48)=1,6,IF(COUNTIF('Model info'!$K$4:$K$10,'Ecotox data'!D48)=1,5,IF(COUNTIF('Model info'!$L$4:$L$10,'Ecotox data'!E48)=1,4,IF(COUNTIF('Model info'!$M$4:$M$10,'Ecotox data'!F48)=1,3,IF(COUNTIF('Model info'!$N$4:$N$10,'Ecotox data'!G48)=1,2,IF(COUNTIF('Model info'!$O$4:$O$10,'Ecotox data'!H48)=1,1,0)))))))</f>
        <v>1</v>
      </c>
      <c r="I53" s="182">
        <f t="shared" si="0"/>
        <v>2</v>
      </c>
      <c r="J53" s="35"/>
      <c r="K53" s="129">
        <f>IF(AND('Ecotox data'!U48&gt;='Model info'!$D$8,'Ecotox data'!U48&lt;='Model info'!$D$9),1,0)</f>
        <v>0</v>
      </c>
      <c r="L53" s="163">
        <f>IF(COUNTIF('Model info'!$H$12,'Ecotox data'!B48)=1,7,IF(COUNTIF('Model info'!$J$12,'Ecotox data'!C48)=1,6,IF(COUNTIF('Model info'!$K$12,'Ecotox data'!D48)=1,5,IF(COUNTIF('Model info'!$L$12,'Ecotox data'!E48)=1,4,IF(COUNTIF('Model info'!$M$12,'Ecotox data'!F48)=1,3,IF(COUNTIF('Model info'!$N$12,'Ecotox data'!G48)=1,2,IF(COUNTIF('Model info'!$O$12,'Ecotox data'!H48)=1,1,0)))))))</f>
        <v>0</v>
      </c>
      <c r="M53" s="182">
        <f t="shared" si="5"/>
        <v>0</v>
      </c>
      <c r="N53" s="35"/>
      <c r="O53" s="27">
        <f>IF(AND('Ecotox data'!M48&gt;='Model info'!$E$12,'Ecotox data'!M48&lt;='Model info'!$E$13),1,0)</f>
        <v>1</v>
      </c>
      <c r="P53" s="165">
        <f>IF(COUNTIF('Model info'!$H$14,'Ecotox data'!B48)=1,7,IF(COUNTIF('Model info'!$J$14,'Ecotox data'!C48)=1,6,IF(COUNTIF('Model info'!$K$14,'Ecotox data'!D48)=1,5,IF(COUNTIF('Model info'!$L$14,'Ecotox data'!E48)=1,4,IF(COUNTIF('Model info'!$M$14,'Ecotox data'!F48)=1,3,IF(COUNTIF('Model info'!$N$14,'Ecotox data'!G48)=1,2,IF(COUNTIF('Model info'!$O$14,'Ecotox data'!H48)=1,1,0)))))))</f>
        <v>1</v>
      </c>
      <c r="Q53" s="182">
        <f t="shared" si="6"/>
        <v>2</v>
      </c>
      <c r="R53" s="35"/>
      <c r="S53" s="129">
        <f>IF(AND('Ecotox data'!P48&gt;='Model info'!$C$16,'Ecotox data'!P48&lt;='Model info'!$C$17,'Ecotox data'!U48&gt;='Model info'!$D$16,'Ecotox data'!U48&lt;='Model info'!$D$17,'Ecotox data'!M48&gt;='Model info'!$E$16,'Ecotox data'!M48&lt;='Model info'!$E$17),1,0)</f>
        <v>0</v>
      </c>
      <c r="T53" s="165">
        <f>IF(COUNTIF('Model info'!$H$16,'Ecotox data'!B48)=1,7,IF(COUNTIF('Model info'!$J$16,'Ecotox data'!C48)=1,6,IF(COUNTIF('Model info'!$K$16,'Ecotox data'!D48)=1,5,IF(COUNTIF('Model info'!$L$16,'Ecotox data'!E48)=1,4,IF(COUNTIF('Model info'!$M$16,'Ecotox data'!F48)=1,3,IF(COUNTIF('Model info'!$N$16,'Ecotox data'!G48)=1,2,IF(COUNTIF('Model info'!$O$16,'Ecotox data'!H48)=1,1,0)))))))</f>
        <v>1</v>
      </c>
      <c r="U53" s="182">
        <f t="shared" si="7"/>
        <v>1</v>
      </c>
      <c r="V53" s="35"/>
      <c r="W53" s="27">
        <f>IF(AND('Ecotox data'!P48&gt;='Model info'!$C$20,'Ecotox data'!P48&lt;='Model info'!$C$21,'Ecotox data'!U48&gt;='Model info'!$D$20,'Ecotox data'!U48&lt;='Model info'!$D$21,'Ecotox data'!M48&gt;='Model info'!$E$20,'Ecotox data'!M48&lt;='Model info'!$E$21),1,0)</f>
        <v>1</v>
      </c>
      <c r="X53" s="171">
        <f>IF(COUNTIF('Model info'!$H$18:$H$24,'Ecotox data'!B48)=1,7,IF(COUNTIF('Model info'!$J$18:$J$24,'Ecotox data'!C48)=1,6,IF(COUNTIF('Model info'!$K$18:$K$24,'Ecotox data'!D48)=1,5,IF(COUNTIF('Model info'!$L$2:$L$24,'Ecotox data'!E48)=1,4,IF(COUNTIF('Model info'!$M$18:$M$24,'Ecotox data'!F48)=1,3,IF(COUNTIF('Model info'!$N$18:$N$24,'Ecotox data'!G48)=1,2,IF(COUNTIF('Model info'!$O$18:$O$24,'Ecotox data'!H48)=1,1,0)))))))</f>
        <v>7</v>
      </c>
      <c r="Y53" s="177">
        <f t="shared" si="8"/>
        <v>8</v>
      </c>
    </row>
    <row r="54" spans="5:25">
      <c r="E54" s="29">
        <v>43</v>
      </c>
      <c r="F54" s="262" t="s">
        <v>47</v>
      </c>
      <c r="G54" s="27">
        <f>IF(AND('Ecotox data'!P49&gt;='Model info'!$C$4,'Ecotox data'!P49&lt;='Model info'!$C$5),1,0)</f>
        <v>1</v>
      </c>
      <c r="H54" s="163">
        <f>IF(COUNTIF('Model info'!$H$4:$H$10,'Ecotox data'!B49)=1,7,IF(COUNTIF('Model info'!$J$4:$J$10,'Ecotox data'!C49)=1,6,IF(COUNTIF('Model info'!$K$4:$K$10,'Ecotox data'!D49)=1,5,IF(COUNTIF('Model info'!$L$4:$L$10,'Ecotox data'!E49)=1,4,IF(COUNTIF('Model info'!$M$4:$M$10,'Ecotox data'!F49)=1,3,IF(COUNTIF('Model info'!$N$4:$N$10,'Ecotox data'!G49)=1,2,IF(COUNTIF('Model info'!$O$4:$O$10,'Ecotox data'!H49)=1,1,0)))))))</f>
        <v>1</v>
      </c>
      <c r="I54" s="182">
        <f t="shared" si="0"/>
        <v>2</v>
      </c>
      <c r="J54" s="35"/>
      <c r="K54" s="27">
        <f>IF(AND('Ecotox data'!U49&gt;='Model info'!$D$8,'Ecotox data'!U49&lt;='Model info'!$D$9),1,0)</f>
        <v>1</v>
      </c>
      <c r="L54" s="163">
        <f>IF(COUNTIF('Model info'!$H$12,'Ecotox data'!B49)=1,7,IF(COUNTIF('Model info'!$J$12,'Ecotox data'!C49)=1,6,IF(COUNTIF('Model info'!$K$12,'Ecotox data'!D49)=1,5,IF(COUNTIF('Model info'!$L$12,'Ecotox data'!E49)=1,4,IF(COUNTIF('Model info'!$M$12,'Ecotox data'!F49)=1,3,IF(COUNTIF('Model info'!$N$12,'Ecotox data'!G49)=1,2,IF(COUNTIF('Model info'!$O$12,'Ecotox data'!H49)=1,1,0)))))))</f>
        <v>0</v>
      </c>
      <c r="M54" s="182">
        <f t="shared" si="5"/>
        <v>1</v>
      </c>
      <c r="N54" s="35"/>
      <c r="O54" s="27">
        <f>IF(AND('Ecotox data'!M49&gt;='Model info'!$E$12,'Ecotox data'!M49&lt;='Model info'!$E$13),1,0)</f>
        <v>1</v>
      </c>
      <c r="P54" s="165">
        <f>IF(COUNTIF('Model info'!$H$14,'Ecotox data'!B49)=1,7,IF(COUNTIF('Model info'!$J$14,'Ecotox data'!C49)=1,6,IF(COUNTIF('Model info'!$K$14,'Ecotox data'!D49)=1,5,IF(COUNTIF('Model info'!$L$14,'Ecotox data'!E49)=1,4,IF(COUNTIF('Model info'!$M$14,'Ecotox data'!F49)=1,3,IF(COUNTIF('Model info'!$N$14,'Ecotox data'!G49)=1,2,IF(COUNTIF('Model info'!$O$14,'Ecotox data'!H49)=1,1,0)))))))</f>
        <v>1</v>
      </c>
      <c r="Q54" s="182">
        <f t="shared" si="6"/>
        <v>2</v>
      </c>
      <c r="R54" s="35"/>
      <c r="S54" s="27">
        <f>IF(AND('Ecotox data'!P49&gt;='Model info'!$C$16,'Ecotox data'!P49&lt;='Model info'!$C$17,'Ecotox data'!U49&gt;='Model info'!$D$16,'Ecotox data'!U49&lt;='Model info'!$D$17,'Ecotox data'!M49&gt;='Model info'!$E$16,'Ecotox data'!M49&lt;='Model info'!$E$17),1,0)</f>
        <v>1</v>
      </c>
      <c r="T54" s="165">
        <f>IF(COUNTIF('Model info'!$H$16,'Ecotox data'!B49)=1,7,IF(COUNTIF('Model info'!$J$16,'Ecotox data'!C49)=1,6,IF(COUNTIF('Model info'!$K$16,'Ecotox data'!D49)=1,5,IF(COUNTIF('Model info'!$L$16,'Ecotox data'!E49)=1,4,IF(COUNTIF('Model info'!$M$16,'Ecotox data'!F49)=1,3,IF(COUNTIF('Model info'!$N$16,'Ecotox data'!G49)=1,2,IF(COUNTIF('Model info'!$O$16,'Ecotox data'!H49)=1,1,0)))))))</f>
        <v>1</v>
      </c>
      <c r="U54" s="182">
        <f t="shared" si="7"/>
        <v>2</v>
      </c>
      <c r="V54" s="35"/>
      <c r="W54" s="27">
        <f>IF(AND('Ecotox data'!P49&gt;='Model info'!$C$20,'Ecotox data'!P49&lt;='Model info'!$C$21,'Ecotox data'!U49&gt;='Model info'!$D$20,'Ecotox data'!U49&lt;='Model info'!$D$21,'Ecotox data'!M49&gt;='Model info'!$E$20,'Ecotox data'!M49&lt;='Model info'!$E$21),1,0)</f>
        <v>1</v>
      </c>
      <c r="X54" s="171">
        <f>IF(COUNTIF('Model info'!$H$18:$H$24,'Ecotox data'!B49)=1,7,IF(COUNTIF('Model info'!$J$18:$J$24,'Ecotox data'!C49)=1,6,IF(COUNTIF('Model info'!$K$18:$K$24,'Ecotox data'!D49)=1,5,IF(COUNTIF('Model info'!$L$2:$L$24,'Ecotox data'!E49)=1,4,IF(COUNTIF('Model info'!$M$18:$M$24,'Ecotox data'!F49)=1,3,IF(COUNTIF('Model info'!$N$18:$N$24,'Ecotox data'!G49)=1,2,IF(COUNTIF('Model info'!$O$18:$O$24,'Ecotox data'!H49)=1,1,0)))))))</f>
        <v>6</v>
      </c>
      <c r="Y54" s="177">
        <f t="shared" si="8"/>
        <v>7</v>
      </c>
    </row>
    <row r="55" spans="5:25">
      <c r="E55" s="29">
        <v>44</v>
      </c>
      <c r="F55" s="262" t="s">
        <v>37</v>
      </c>
      <c r="G55" s="27">
        <f>IF(AND('Ecotox data'!P50&gt;='Model info'!$C$4,'Ecotox data'!P50&lt;='Model info'!$C$5),1,0)</f>
        <v>1</v>
      </c>
      <c r="H55" s="171">
        <f>IF(COUNTIF('Model info'!$H$4:$H$10,'Ecotox data'!B50)=1,7,IF(COUNTIF('Model info'!$J$4:$J$10,'Ecotox data'!C50)=1,6,IF(COUNTIF('Model info'!$K$4:$K$10,'Ecotox data'!D50)=1,5,IF(COUNTIF('Model info'!$L$4:$L$10,'Ecotox data'!E50)=1,4,IF(COUNTIF('Model info'!$M$4:$M$10,'Ecotox data'!F50)=1,3,IF(COUNTIF('Model info'!$N$4:$N$10,'Ecotox data'!G50)=1,2,IF(COUNTIF('Model info'!$O$4:$O$10,'Ecotox data'!H50)=1,1,0)))))))</f>
        <v>5</v>
      </c>
      <c r="I55" s="177">
        <f t="shared" si="0"/>
        <v>6</v>
      </c>
      <c r="J55" s="35"/>
      <c r="K55" s="27">
        <f>IF(AND('Ecotox data'!U50&gt;='Model info'!$D$8,'Ecotox data'!U50&lt;='Model info'!$D$9),1,0)</f>
        <v>1</v>
      </c>
      <c r="L55" s="163">
        <f>IF(COUNTIF('Model info'!$H$12,'Ecotox data'!B50)=1,7,IF(COUNTIF('Model info'!$J$12,'Ecotox data'!C50)=1,6,IF(COUNTIF('Model info'!$K$12,'Ecotox data'!D50)=1,5,IF(COUNTIF('Model info'!$L$12,'Ecotox data'!E50)=1,4,IF(COUNTIF('Model info'!$M$12,'Ecotox data'!F50)=1,3,IF(COUNTIF('Model info'!$N$12,'Ecotox data'!G50)=1,2,IF(COUNTIF('Model info'!$O$12,'Ecotox data'!H50)=1,1,0)))))))</f>
        <v>0</v>
      </c>
      <c r="M55" s="182">
        <f t="shared" si="5"/>
        <v>1</v>
      </c>
      <c r="N55" s="35"/>
      <c r="O55" s="27">
        <f>IF(AND('Ecotox data'!M50&gt;='Model info'!$E$12,'Ecotox data'!M50&lt;='Model info'!$E$13),1,0)</f>
        <v>1</v>
      </c>
      <c r="P55" s="172">
        <f>IF(COUNTIF('Model info'!$H$14,'Ecotox data'!B50)=1,7,IF(COUNTIF('Model info'!$J$14,'Ecotox data'!C50)=1,6,IF(COUNTIF('Model info'!$K$14,'Ecotox data'!D50)=1,5,IF(COUNTIF('Model info'!$L$14,'Ecotox data'!E50)=1,4,IF(COUNTIF('Model info'!$M$14,'Ecotox data'!F50)=1,3,IF(COUNTIF('Model info'!$N$14,'Ecotox data'!G50)=1,2,IF(COUNTIF('Model info'!$O$14,'Ecotox data'!H50)=1,1,0)))))))</f>
        <v>5</v>
      </c>
      <c r="Q55" s="177">
        <f t="shared" si="6"/>
        <v>6</v>
      </c>
      <c r="R55" s="35"/>
      <c r="S55" s="27">
        <f>IF(AND('Ecotox data'!P50&gt;='Model info'!$C$16,'Ecotox data'!P50&lt;='Model info'!$C$17,'Ecotox data'!U50&gt;='Model info'!$D$16,'Ecotox data'!U50&lt;='Model info'!$D$17,'Ecotox data'!M50&gt;='Model info'!$E$16,'Ecotox data'!M50&lt;='Model info'!$E$17),1,0)</f>
        <v>1</v>
      </c>
      <c r="T55" s="165">
        <f>IF(COUNTIF('Model info'!$H$16,'Ecotox data'!B50)=1,7,IF(COUNTIF('Model info'!$J$16,'Ecotox data'!C50)=1,6,IF(COUNTIF('Model info'!$K$16,'Ecotox data'!D50)=1,5,IF(COUNTIF('Model info'!$L$16,'Ecotox data'!E50)=1,4,IF(COUNTIF('Model info'!$M$16,'Ecotox data'!F50)=1,3,IF(COUNTIF('Model info'!$N$16,'Ecotox data'!G50)=1,2,IF(COUNTIF('Model info'!$O$16,'Ecotox data'!H50)=1,1,0)))))))</f>
        <v>1</v>
      </c>
      <c r="U55" s="182">
        <f t="shared" si="7"/>
        <v>2</v>
      </c>
      <c r="V55" s="35"/>
      <c r="W55" s="27">
        <f>IF(AND('Ecotox data'!P50&gt;='Model info'!$C$20,'Ecotox data'!P50&lt;='Model info'!$C$21,'Ecotox data'!U50&gt;='Model info'!$D$20,'Ecotox data'!U50&lt;='Model info'!$D$21,'Ecotox data'!M50&gt;='Model info'!$E$20,'Ecotox data'!M50&lt;='Model info'!$E$21),1,0)</f>
        <v>1</v>
      </c>
      <c r="X55" s="171">
        <f>IF(COUNTIF('Model info'!$H$18:$H$24,'Ecotox data'!B50)=1,7,IF(COUNTIF('Model info'!$J$18:$J$24,'Ecotox data'!C50)=1,6,IF(COUNTIF('Model info'!$K$18:$K$24,'Ecotox data'!D50)=1,5,IF(COUNTIF('Model info'!$L$2:$L$24,'Ecotox data'!E50)=1,4,IF(COUNTIF('Model info'!$M$18:$M$24,'Ecotox data'!F50)=1,3,IF(COUNTIF('Model info'!$N$18:$N$24,'Ecotox data'!G50)=1,2,IF(COUNTIF('Model info'!$O$18:$O$24,'Ecotox data'!H50)=1,1,0)))))))</f>
        <v>7</v>
      </c>
      <c r="Y55" s="177">
        <f t="shared" si="8"/>
        <v>8</v>
      </c>
    </row>
    <row r="56" spans="5:25">
      <c r="E56" s="29">
        <v>45</v>
      </c>
      <c r="F56" s="262" t="s">
        <v>37</v>
      </c>
      <c r="G56" s="27">
        <f>IF(AND('Ecotox data'!P51&gt;='Model info'!$C$4,'Ecotox data'!P51&lt;='Model info'!$C$5),1,0)</f>
        <v>1</v>
      </c>
      <c r="H56" s="171">
        <f>IF(COUNTIF('Model info'!$H$4:$H$10,'Ecotox data'!B51)=1,7,IF(COUNTIF('Model info'!$J$4:$J$10,'Ecotox data'!C51)=1,6,IF(COUNTIF('Model info'!$K$4:$K$10,'Ecotox data'!D51)=1,5,IF(COUNTIF('Model info'!$L$4:$L$10,'Ecotox data'!E51)=1,4,IF(COUNTIF('Model info'!$M$4:$M$10,'Ecotox data'!F51)=1,3,IF(COUNTIF('Model info'!$N$4:$N$10,'Ecotox data'!G51)=1,2,IF(COUNTIF('Model info'!$O$4:$O$10,'Ecotox data'!H51)=1,1,0)))))))</f>
        <v>5</v>
      </c>
      <c r="I56" s="177">
        <f t="shared" si="0"/>
        <v>6</v>
      </c>
      <c r="J56" s="35"/>
      <c r="K56" s="27">
        <f>IF(AND('Ecotox data'!U51&gt;='Model info'!$D$8,'Ecotox data'!U51&lt;='Model info'!$D$9),1,0)</f>
        <v>1</v>
      </c>
      <c r="L56" s="163">
        <f>IF(COUNTIF('Model info'!$H$12,'Ecotox data'!B51)=1,7,IF(COUNTIF('Model info'!$J$12,'Ecotox data'!C51)=1,6,IF(COUNTIF('Model info'!$K$12,'Ecotox data'!D51)=1,5,IF(COUNTIF('Model info'!$L$12,'Ecotox data'!E51)=1,4,IF(COUNTIF('Model info'!$M$12,'Ecotox data'!F51)=1,3,IF(COUNTIF('Model info'!$N$12,'Ecotox data'!G51)=1,2,IF(COUNTIF('Model info'!$O$12,'Ecotox data'!H51)=1,1,0)))))))</f>
        <v>0</v>
      </c>
      <c r="M56" s="182">
        <f t="shared" si="5"/>
        <v>1</v>
      </c>
      <c r="N56" s="35"/>
      <c r="O56" s="27">
        <f>IF(AND('Ecotox data'!M51&gt;='Model info'!$E$12,'Ecotox data'!M51&lt;='Model info'!$E$13),1,0)</f>
        <v>1</v>
      </c>
      <c r="P56" s="172">
        <f>IF(COUNTIF('Model info'!$H$14,'Ecotox data'!B51)=1,7,IF(COUNTIF('Model info'!$J$14,'Ecotox data'!C51)=1,6,IF(COUNTIF('Model info'!$K$14,'Ecotox data'!D51)=1,5,IF(COUNTIF('Model info'!$L$14,'Ecotox data'!E51)=1,4,IF(COUNTIF('Model info'!$M$14,'Ecotox data'!F51)=1,3,IF(COUNTIF('Model info'!$N$14,'Ecotox data'!G51)=1,2,IF(COUNTIF('Model info'!$O$14,'Ecotox data'!H51)=1,1,0)))))))</f>
        <v>5</v>
      </c>
      <c r="Q56" s="177">
        <f t="shared" si="6"/>
        <v>6</v>
      </c>
      <c r="R56" s="35"/>
      <c r="S56" s="27">
        <f>IF(AND('Ecotox data'!P51&gt;='Model info'!$C$16,'Ecotox data'!P51&lt;='Model info'!$C$17,'Ecotox data'!U51&gt;='Model info'!$D$16,'Ecotox data'!U51&lt;='Model info'!$D$17,'Ecotox data'!M51&gt;='Model info'!$E$16,'Ecotox data'!M51&lt;='Model info'!$E$17),1,0)</f>
        <v>1</v>
      </c>
      <c r="T56" s="165">
        <f>IF(COUNTIF('Model info'!$H$16,'Ecotox data'!B51)=1,7,IF(COUNTIF('Model info'!$J$16,'Ecotox data'!C51)=1,6,IF(COUNTIF('Model info'!$K$16,'Ecotox data'!D51)=1,5,IF(COUNTIF('Model info'!$L$16,'Ecotox data'!E51)=1,4,IF(COUNTIF('Model info'!$M$16,'Ecotox data'!F51)=1,3,IF(COUNTIF('Model info'!$N$16,'Ecotox data'!G51)=1,2,IF(COUNTIF('Model info'!$O$16,'Ecotox data'!H51)=1,1,0)))))))</f>
        <v>1</v>
      </c>
      <c r="U56" s="182">
        <f t="shared" si="7"/>
        <v>2</v>
      </c>
      <c r="V56" s="35"/>
      <c r="W56" s="27">
        <f>IF(AND('Ecotox data'!P51&gt;='Model info'!$C$20,'Ecotox data'!P51&lt;='Model info'!$C$21,'Ecotox data'!U51&gt;='Model info'!$D$20,'Ecotox data'!U51&lt;='Model info'!$D$21,'Ecotox data'!M51&gt;='Model info'!$E$20,'Ecotox data'!M51&lt;='Model info'!$E$21),1,0)</f>
        <v>1</v>
      </c>
      <c r="X56" s="171">
        <f>IF(COUNTIF('Model info'!$H$18:$H$24,'Ecotox data'!B51)=1,7,IF(COUNTIF('Model info'!$J$18:$J$24,'Ecotox data'!C51)=1,6,IF(COUNTIF('Model info'!$K$18:$K$24,'Ecotox data'!D51)=1,5,IF(COUNTIF('Model info'!$L$2:$L$24,'Ecotox data'!E51)=1,4,IF(COUNTIF('Model info'!$M$18:$M$24,'Ecotox data'!F51)=1,3,IF(COUNTIF('Model info'!$N$18:$N$24,'Ecotox data'!G51)=1,2,IF(COUNTIF('Model info'!$O$18:$O$24,'Ecotox data'!H51)=1,1,0)))))))</f>
        <v>7</v>
      </c>
      <c r="Y56" s="177">
        <f t="shared" si="8"/>
        <v>8</v>
      </c>
    </row>
    <row r="57" spans="5:25">
      <c r="E57" s="29">
        <v>46</v>
      </c>
      <c r="F57" s="262" t="s">
        <v>37</v>
      </c>
      <c r="G57" s="27">
        <f>IF(AND('Ecotox data'!P52&gt;='Model info'!$C$4,'Ecotox data'!P52&lt;='Model info'!$C$5),1,0)</f>
        <v>1</v>
      </c>
      <c r="H57" s="171">
        <f>IF(COUNTIF('Model info'!$H$4:$H$10,'Ecotox data'!B52)=1,7,IF(COUNTIF('Model info'!$J$4:$J$10,'Ecotox data'!C52)=1,6,IF(COUNTIF('Model info'!$K$4:$K$10,'Ecotox data'!D52)=1,5,IF(COUNTIF('Model info'!$L$4:$L$10,'Ecotox data'!E52)=1,4,IF(COUNTIF('Model info'!$M$4:$M$10,'Ecotox data'!F52)=1,3,IF(COUNTIF('Model info'!$N$4:$N$10,'Ecotox data'!G52)=1,2,IF(COUNTIF('Model info'!$O$4:$O$10,'Ecotox data'!H52)=1,1,0)))))))</f>
        <v>5</v>
      </c>
      <c r="I57" s="177">
        <f t="shared" si="0"/>
        <v>6</v>
      </c>
      <c r="J57" s="35"/>
      <c r="K57" s="27">
        <f>IF(AND('Ecotox data'!U52&gt;='Model info'!$D$8,'Ecotox data'!U52&lt;='Model info'!$D$9),1,0)</f>
        <v>1</v>
      </c>
      <c r="L57" s="163">
        <f>IF(COUNTIF('Model info'!$H$12,'Ecotox data'!B52)=1,7,IF(COUNTIF('Model info'!$J$12,'Ecotox data'!C52)=1,6,IF(COUNTIF('Model info'!$K$12,'Ecotox data'!D52)=1,5,IF(COUNTIF('Model info'!$L$12,'Ecotox data'!E52)=1,4,IF(COUNTIF('Model info'!$M$12,'Ecotox data'!F52)=1,3,IF(COUNTIF('Model info'!$N$12,'Ecotox data'!G52)=1,2,IF(COUNTIF('Model info'!$O$12,'Ecotox data'!H52)=1,1,0)))))))</f>
        <v>0</v>
      </c>
      <c r="M57" s="182">
        <f t="shared" si="5"/>
        <v>1</v>
      </c>
      <c r="N57" s="35"/>
      <c r="O57" s="27">
        <f>IF(AND('Ecotox data'!M52&gt;='Model info'!$E$12,'Ecotox data'!M52&lt;='Model info'!$E$13),1,0)</f>
        <v>1</v>
      </c>
      <c r="P57" s="172">
        <f>IF(COUNTIF('Model info'!$H$14,'Ecotox data'!B52)=1,7,IF(COUNTIF('Model info'!$J$14,'Ecotox data'!C52)=1,6,IF(COUNTIF('Model info'!$K$14,'Ecotox data'!D52)=1,5,IF(COUNTIF('Model info'!$L$14,'Ecotox data'!E52)=1,4,IF(COUNTIF('Model info'!$M$14,'Ecotox data'!F52)=1,3,IF(COUNTIF('Model info'!$N$14,'Ecotox data'!G52)=1,2,IF(COUNTIF('Model info'!$O$14,'Ecotox data'!H52)=1,1,0)))))))</f>
        <v>5</v>
      </c>
      <c r="Q57" s="177">
        <f t="shared" si="6"/>
        <v>6</v>
      </c>
      <c r="R57" s="35"/>
      <c r="S57" s="27">
        <f>IF(AND('Ecotox data'!P52&gt;='Model info'!$C$16,'Ecotox data'!P52&lt;='Model info'!$C$17,'Ecotox data'!U52&gt;='Model info'!$D$16,'Ecotox data'!U52&lt;='Model info'!$D$17,'Ecotox data'!M52&gt;='Model info'!$E$16,'Ecotox data'!M52&lt;='Model info'!$E$17),1,0)</f>
        <v>1</v>
      </c>
      <c r="T57" s="165">
        <f>IF(COUNTIF('Model info'!$H$16,'Ecotox data'!B52)=1,7,IF(COUNTIF('Model info'!$J$16,'Ecotox data'!C52)=1,6,IF(COUNTIF('Model info'!$K$16,'Ecotox data'!D52)=1,5,IF(COUNTIF('Model info'!$L$16,'Ecotox data'!E52)=1,4,IF(COUNTIF('Model info'!$M$16,'Ecotox data'!F52)=1,3,IF(COUNTIF('Model info'!$N$16,'Ecotox data'!G52)=1,2,IF(COUNTIF('Model info'!$O$16,'Ecotox data'!H52)=1,1,0)))))))</f>
        <v>1</v>
      </c>
      <c r="U57" s="182">
        <f t="shared" si="7"/>
        <v>2</v>
      </c>
      <c r="V57" s="35"/>
      <c r="W57" s="27">
        <f>IF(AND('Ecotox data'!P52&gt;='Model info'!$C$20,'Ecotox data'!P52&lt;='Model info'!$C$21,'Ecotox data'!U52&gt;='Model info'!$D$20,'Ecotox data'!U52&lt;='Model info'!$D$21,'Ecotox data'!M52&gt;='Model info'!$E$20,'Ecotox data'!M52&lt;='Model info'!$E$21),1,0)</f>
        <v>1</v>
      </c>
      <c r="X57" s="171">
        <f>IF(COUNTIF('Model info'!$H$18:$H$24,'Ecotox data'!B52)=1,7,IF(COUNTIF('Model info'!$J$18:$J$24,'Ecotox data'!C52)=1,6,IF(COUNTIF('Model info'!$K$18:$K$24,'Ecotox data'!D52)=1,5,IF(COUNTIF('Model info'!$L$2:$L$24,'Ecotox data'!E52)=1,4,IF(COUNTIF('Model info'!$M$18:$M$24,'Ecotox data'!F52)=1,3,IF(COUNTIF('Model info'!$N$18:$N$24,'Ecotox data'!G52)=1,2,IF(COUNTIF('Model info'!$O$18:$O$24,'Ecotox data'!H52)=1,1,0)))))))</f>
        <v>7</v>
      </c>
      <c r="Y57" s="177">
        <f t="shared" si="8"/>
        <v>8</v>
      </c>
    </row>
    <row r="58" spans="5:25">
      <c r="E58" s="29">
        <v>47</v>
      </c>
      <c r="F58" s="262" t="s">
        <v>37</v>
      </c>
      <c r="G58" s="27">
        <f>IF(AND('Ecotox data'!P53&gt;='Model info'!$C$4,'Ecotox data'!P53&lt;='Model info'!$C$5),1,0)</f>
        <v>1</v>
      </c>
      <c r="H58" s="171">
        <f>IF(COUNTIF('Model info'!$H$4:$H$10,'Ecotox data'!B53)=1,7,IF(COUNTIF('Model info'!$J$4:$J$10,'Ecotox data'!C53)=1,6,IF(COUNTIF('Model info'!$K$4:$K$10,'Ecotox data'!D53)=1,5,IF(COUNTIF('Model info'!$L$4:$L$10,'Ecotox data'!E53)=1,4,IF(COUNTIF('Model info'!$M$4:$M$10,'Ecotox data'!F53)=1,3,IF(COUNTIF('Model info'!$N$4:$N$10,'Ecotox data'!G53)=1,2,IF(COUNTIF('Model info'!$O$4:$O$10,'Ecotox data'!H53)=1,1,0)))))))</f>
        <v>5</v>
      </c>
      <c r="I58" s="177">
        <f t="shared" si="0"/>
        <v>6</v>
      </c>
      <c r="J58" s="35"/>
      <c r="K58" s="27">
        <f>IF(AND('Ecotox data'!U53&gt;='Model info'!$D$8,'Ecotox data'!U53&lt;='Model info'!$D$9),1,0)</f>
        <v>1</v>
      </c>
      <c r="L58" s="163">
        <f>IF(COUNTIF('Model info'!$H$12,'Ecotox data'!B53)=1,7,IF(COUNTIF('Model info'!$J$12,'Ecotox data'!C53)=1,6,IF(COUNTIF('Model info'!$K$12,'Ecotox data'!D53)=1,5,IF(COUNTIF('Model info'!$L$12,'Ecotox data'!E53)=1,4,IF(COUNTIF('Model info'!$M$12,'Ecotox data'!F53)=1,3,IF(COUNTIF('Model info'!$N$12,'Ecotox data'!G53)=1,2,IF(COUNTIF('Model info'!$O$12,'Ecotox data'!H53)=1,1,0)))))))</f>
        <v>0</v>
      </c>
      <c r="M58" s="182">
        <f t="shared" si="5"/>
        <v>1</v>
      </c>
      <c r="N58" s="35"/>
      <c r="O58" s="27">
        <f>IF(AND('Ecotox data'!M53&gt;='Model info'!$E$12,'Ecotox data'!M53&lt;='Model info'!$E$13),1,0)</f>
        <v>1</v>
      </c>
      <c r="P58" s="172">
        <f>IF(COUNTIF('Model info'!$H$14,'Ecotox data'!B53)=1,7,IF(COUNTIF('Model info'!$J$14,'Ecotox data'!C53)=1,6,IF(COUNTIF('Model info'!$K$14,'Ecotox data'!D53)=1,5,IF(COUNTIF('Model info'!$L$14,'Ecotox data'!E53)=1,4,IF(COUNTIF('Model info'!$M$14,'Ecotox data'!F53)=1,3,IF(COUNTIF('Model info'!$N$14,'Ecotox data'!G53)=1,2,IF(COUNTIF('Model info'!$O$14,'Ecotox data'!H53)=1,1,0)))))))</f>
        <v>5</v>
      </c>
      <c r="Q58" s="177">
        <f t="shared" si="6"/>
        <v>6</v>
      </c>
      <c r="R58" s="35"/>
      <c r="S58" s="27">
        <f>IF(AND('Ecotox data'!P53&gt;='Model info'!$C$16,'Ecotox data'!P53&lt;='Model info'!$C$17,'Ecotox data'!U53&gt;='Model info'!$D$16,'Ecotox data'!U53&lt;='Model info'!$D$17,'Ecotox data'!M53&gt;='Model info'!$E$16,'Ecotox data'!M53&lt;='Model info'!$E$17),1,0)</f>
        <v>1</v>
      </c>
      <c r="T58" s="165">
        <f>IF(COUNTIF('Model info'!$H$16,'Ecotox data'!B53)=1,7,IF(COUNTIF('Model info'!$J$16,'Ecotox data'!C53)=1,6,IF(COUNTIF('Model info'!$K$16,'Ecotox data'!D53)=1,5,IF(COUNTIF('Model info'!$L$16,'Ecotox data'!E53)=1,4,IF(COUNTIF('Model info'!$M$16,'Ecotox data'!F53)=1,3,IF(COUNTIF('Model info'!$N$16,'Ecotox data'!G53)=1,2,IF(COUNTIF('Model info'!$O$16,'Ecotox data'!H53)=1,1,0)))))))</f>
        <v>1</v>
      </c>
      <c r="U58" s="182">
        <f t="shared" si="7"/>
        <v>2</v>
      </c>
      <c r="V58" s="35"/>
      <c r="W58" s="27">
        <f>IF(AND('Ecotox data'!P53&gt;='Model info'!$C$20,'Ecotox data'!P53&lt;='Model info'!$C$21,'Ecotox data'!U53&gt;='Model info'!$D$20,'Ecotox data'!U53&lt;='Model info'!$D$21,'Ecotox data'!M53&gt;='Model info'!$E$20,'Ecotox data'!M53&lt;='Model info'!$E$21),1,0)</f>
        <v>1</v>
      </c>
      <c r="X58" s="171">
        <f>IF(COUNTIF('Model info'!$H$18:$H$24,'Ecotox data'!B53)=1,7,IF(COUNTIF('Model info'!$J$18:$J$24,'Ecotox data'!C53)=1,6,IF(COUNTIF('Model info'!$K$18:$K$24,'Ecotox data'!D53)=1,5,IF(COUNTIF('Model info'!$L$2:$L$24,'Ecotox data'!E53)=1,4,IF(COUNTIF('Model info'!$M$18:$M$24,'Ecotox data'!F53)=1,3,IF(COUNTIF('Model info'!$N$18:$N$24,'Ecotox data'!G53)=1,2,IF(COUNTIF('Model info'!$O$18:$O$24,'Ecotox data'!H53)=1,1,0)))))))</f>
        <v>7</v>
      </c>
      <c r="Y58" s="177">
        <f t="shared" si="8"/>
        <v>8</v>
      </c>
    </row>
    <row r="59" spans="5:25">
      <c r="E59" s="29">
        <v>48</v>
      </c>
      <c r="F59" s="262" t="s">
        <v>37</v>
      </c>
      <c r="G59" s="27">
        <f>IF(AND('Ecotox data'!P54&gt;='Model info'!$C$4,'Ecotox data'!P54&lt;='Model info'!$C$5),1,0)</f>
        <v>1</v>
      </c>
      <c r="H59" s="171">
        <f>IF(COUNTIF('Model info'!$H$4:$H$10,'Ecotox data'!B54)=1,7,IF(COUNTIF('Model info'!$J$4:$J$10,'Ecotox data'!C54)=1,6,IF(COUNTIF('Model info'!$K$4:$K$10,'Ecotox data'!D54)=1,5,IF(COUNTIF('Model info'!$L$4:$L$10,'Ecotox data'!E54)=1,4,IF(COUNTIF('Model info'!$M$4:$M$10,'Ecotox data'!F54)=1,3,IF(COUNTIF('Model info'!$N$4:$N$10,'Ecotox data'!G54)=1,2,IF(COUNTIF('Model info'!$O$4:$O$10,'Ecotox data'!H54)=1,1,0)))))))</f>
        <v>5</v>
      </c>
      <c r="I59" s="177">
        <f t="shared" si="0"/>
        <v>6</v>
      </c>
      <c r="J59" s="35"/>
      <c r="K59" s="27">
        <f>IF(AND('Ecotox data'!U54&gt;='Model info'!$D$8,'Ecotox data'!U54&lt;='Model info'!$D$9),1,0)</f>
        <v>1</v>
      </c>
      <c r="L59" s="163">
        <f>IF(COUNTIF('Model info'!$H$12,'Ecotox data'!B54)=1,7,IF(COUNTIF('Model info'!$J$12,'Ecotox data'!C54)=1,6,IF(COUNTIF('Model info'!$K$12,'Ecotox data'!D54)=1,5,IF(COUNTIF('Model info'!$L$12,'Ecotox data'!E54)=1,4,IF(COUNTIF('Model info'!$M$12,'Ecotox data'!F54)=1,3,IF(COUNTIF('Model info'!$N$12,'Ecotox data'!G54)=1,2,IF(COUNTIF('Model info'!$O$12,'Ecotox data'!H54)=1,1,0)))))))</f>
        <v>0</v>
      </c>
      <c r="M59" s="182">
        <f t="shared" si="5"/>
        <v>1</v>
      </c>
      <c r="N59" s="35"/>
      <c r="O59" s="27">
        <f>IF(AND('Ecotox data'!M54&gt;='Model info'!$E$12,'Ecotox data'!M54&lt;='Model info'!$E$13),1,0)</f>
        <v>1</v>
      </c>
      <c r="P59" s="172">
        <f>IF(COUNTIF('Model info'!$H$14,'Ecotox data'!B54)=1,7,IF(COUNTIF('Model info'!$J$14,'Ecotox data'!C54)=1,6,IF(COUNTIF('Model info'!$K$14,'Ecotox data'!D54)=1,5,IF(COUNTIF('Model info'!$L$14,'Ecotox data'!E54)=1,4,IF(COUNTIF('Model info'!$M$14,'Ecotox data'!F54)=1,3,IF(COUNTIF('Model info'!$N$14,'Ecotox data'!G54)=1,2,IF(COUNTIF('Model info'!$O$14,'Ecotox data'!H54)=1,1,0)))))))</f>
        <v>5</v>
      </c>
      <c r="Q59" s="177">
        <f t="shared" si="6"/>
        <v>6</v>
      </c>
      <c r="R59" s="35"/>
      <c r="S59" s="27">
        <f>IF(AND('Ecotox data'!P54&gt;='Model info'!$C$16,'Ecotox data'!P54&lt;='Model info'!$C$17,'Ecotox data'!U54&gt;='Model info'!$D$16,'Ecotox data'!U54&lt;='Model info'!$D$17,'Ecotox data'!M54&gt;='Model info'!$E$16,'Ecotox data'!M54&lt;='Model info'!$E$17),1,0)</f>
        <v>1</v>
      </c>
      <c r="T59" s="165">
        <f>IF(COUNTIF('Model info'!$H$16,'Ecotox data'!B54)=1,7,IF(COUNTIF('Model info'!$J$16,'Ecotox data'!C54)=1,6,IF(COUNTIF('Model info'!$K$16,'Ecotox data'!D54)=1,5,IF(COUNTIF('Model info'!$L$16,'Ecotox data'!E54)=1,4,IF(COUNTIF('Model info'!$M$16,'Ecotox data'!F54)=1,3,IF(COUNTIF('Model info'!$N$16,'Ecotox data'!G54)=1,2,IF(COUNTIF('Model info'!$O$16,'Ecotox data'!H54)=1,1,0)))))))</f>
        <v>1</v>
      </c>
      <c r="U59" s="182">
        <f t="shared" si="7"/>
        <v>2</v>
      </c>
      <c r="V59" s="35"/>
      <c r="W59" s="27">
        <f>IF(AND('Ecotox data'!P54&gt;='Model info'!$C$20,'Ecotox data'!P54&lt;='Model info'!$C$21,'Ecotox data'!U54&gt;='Model info'!$D$20,'Ecotox data'!U54&lt;='Model info'!$D$21,'Ecotox data'!M54&gt;='Model info'!$E$20,'Ecotox data'!M54&lt;='Model info'!$E$21),1,0)</f>
        <v>1</v>
      </c>
      <c r="X59" s="171">
        <f>IF(COUNTIF('Model info'!$H$18:$H$24,'Ecotox data'!B54)=1,7,IF(COUNTIF('Model info'!$J$18:$J$24,'Ecotox data'!C54)=1,6,IF(COUNTIF('Model info'!$K$18:$K$24,'Ecotox data'!D54)=1,5,IF(COUNTIF('Model info'!$L$2:$L$24,'Ecotox data'!E54)=1,4,IF(COUNTIF('Model info'!$M$18:$M$24,'Ecotox data'!F54)=1,3,IF(COUNTIF('Model info'!$N$18:$N$24,'Ecotox data'!G54)=1,2,IF(COUNTIF('Model info'!$O$18:$O$24,'Ecotox data'!H54)=1,1,0)))))))</f>
        <v>7</v>
      </c>
      <c r="Y59" s="177">
        <f t="shared" si="8"/>
        <v>8</v>
      </c>
    </row>
    <row r="60" spans="5:25">
      <c r="E60" s="29">
        <v>49</v>
      </c>
      <c r="F60" s="262" t="s">
        <v>37</v>
      </c>
      <c r="G60" s="27">
        <f>IF(AND('Ecotox data'!P55&gt;='Model info'!$C$4,'Ecotox data'!P55&lt;='Model info'!$C$5),1,0)</f>
        <v>1</v>
      </c>
      <c r="H60" s="171">
        <f>IF(COUNTIF('Model info'!$H$4:$H$10,'Ecotox data'!B55)=1,7,IF(COUNTIF('Model info'!$J$4:$J$10,'Ecotox data'!C55)=1,6,IF(COUNTIF('Model info'!$K$4:$K$10,'Ecotox data'!D55)=1,5,IF(COUNTIF('Model info'!$L$4:$L$10,'Ecotox data'!E55)=1,4,IF(COUNTIF('Model info'!$M$4:$M$10,'Ecotox data'!F55)=1,3,IF(COUNTIF('Model info'!$N$4:$N$10,'Ecotox data'!G55)=1,2,IF(COUNTIF('Model info'!$O$4:$O$10,'Ecotox data'!H55)=1,1,0)))))))</f>
        <v>5</v>
      </c>
      <c r="I60" s="177">
        <f t="shared" si="0"/>
        <v>6</v>
      </c>
      <c r="J60" s="35"/>
      <c r="K60" s="27">
        <f>IF(AND('Ecotox data'!U55&gt;='Model info'!$D$8,'Ecotox data'!U55&lt;='Model info'!$D$9),1,0)</f>
        <v>1</v>
      </c>
      <c r="L60" s="163">
        <f>IF(COUNTIF('Model info'!$H$12,'Ecotox data'!B55)=1,7,IF(COUNTIF('Model info'!$J$12,'Ecotox data'!C55)=1,6,IF(COUNTIF('Model info'!$K$12,'Ecotox data'!D55)=1,5,IF(COUNTIF('Model info'!$L$12,'Ecotox data'!E55)=1,4,IF(COUNTIF('Model info'!$M$12,'Ecotox data'!F55)=1,3,IF(COUNTIF('Model info'!$N$12,'Ecotox data'!G55)=1,2,IF(COUNTIF('Model info'!$O$12,'Ecotox data'!H55)=1,1,0)))))))</f>
        <v>0</v>
      </c>
      <c r="M60" s="182">
        <f t="shared" si="5"/>
        <v>1</v>
      </c>
      <c r="N60" s="35"/>
      <c r="O60" s="27">
        <f>IF(AND('Ecotox data'!M55&gt;='Model info'!$E$12,'Ecotox data'!M55&lt;='Model info'!$E$13),1,0)</f>
        <v>1</v>
      </c>
      <c r="P60" s="172">
        <f>IF(COUNTIF('Model info'!$H$14,'Ecotox data'!B55)=1,7,IF(COUNTIF('Model info'!$J$14,'Ecotox data'!C55)=1,6,IF(COUNTIF('Model info'!$K$14,'Ecotox data'!D55)=1,5,IF(COUNTIF('Model info'!$L$14,'Ecotox data'!E55)=1,4,IF(COUNTIF('Model info'!$M$14,'Ecotox data'!F55)=1,3,IF(COUNTIF('Model info'!$N$14,'Ecotox data'!G55)=1,2,IF(COUNTIF('Model info'!$O$14,'Ecotox data'!H55)=1,1,0)))))))</f>
        <v>5</v>
      </c>
      <c r="Q60" s="177">
        <f t="shared" si="6"/>
        <v>6</v>
      </c>
      <c r="R60" s="35"/>
      <c r="S60" s="27">
        <f>IF(AND('Ecotox data'!P55&gt;='Model info'!$C$16,'Ecotox data'!P55&lt;='Model info'!$C$17,'Ecotox data'!U55&gt;='Model info'!$D$16,'Ecotox data'!U55&lt;='Model info'!$D$17,'Ecotox data'!M55&gt;='Model info'!$E$16,'Ecotox data'!M55&lt;='Model info'!$E$17),1,0)</f>
        <v>1</v>
      </c>
      <c r="T60" s="165">
        <f>IF(COUNTIF('Model info'!$H$16,'Ecotox data'!B55)=1,7,IF(COUNTIF('Model info'!$J$16,'Ecotox data'!C55)=1,6,IF(COUNTIF('Model info'!$K$16,'Ecotox data'!D55)=1,5,IF(COUNTIF('Model info'!$L$16,'Ecotox data'!E55)=1,4,IF(COUNTIF('Model info'!$M$16,'Ecotox data'!F55)=1,3,IF(COUNTIF('Model info'!$N$16,'Ecotox data'!G55)=1,2,IF(COUNTIF('Model info'!$O$16,'Ecotox data'!H55)=1,1,0)))))))</f>
        <v>1</v>
      </c>
      <c r="U60" s="182">
        <f t="shared" si="7"/>
        <v>2</v>
      </c>
      <c r="V60" s="35"/>
      <c r="W60" s="27">
        <f>IF(AND('Ecotox data'!P55&gt;='Model info'!$C$20,'Ecotox data'!P55&lt;='Model info'!$C$21,'Ecotox data'!U55&gt;='Model info'!$D$20,'Ecotox data'!U55&lt;='Model info'!$D$21,'Ecotox data'!M55&gt;='Model info'!$E$20,'Ecotox data'!M55&lt;='Model info'!$E$21),1,0)</f>
        <v>1</v>
      </c>
      <c r="X60" s="171">
        <f>IF(COUNTIF('Model info'!$H$18:$H$24,'Ecotox data'!B55)=1,7,IF(COUNTIF('Model info'!$J$18:$J$24,'Ecotox data'!C55)=1,6,IF(COUNTIF('Model info'!$K$18:$K$24,'Ecotox data'!D55)=1,5,IF(COUNTIF('Model info'!$L$2:$L$24,'Ecotox data'!E55)=1,4,IF(COUNTIF('Model info'!$M$18:$M$24,'Ecotox data'!F55)=1,3,IF(COUNTIF('Model info'!$N$18:$N$24,'Ecotox data'!G55)=1,2,IF(COUNTIF('Model info'!$O$18:$O$24,'Ecotox data'!H55)=1,1,0)))))))</f>
        <v>7</v>
      </c>
      <c r="Y60" s="177">
        <f t="shared" si="8"/>
        <v>8</v>
      </c>
    </row>
    <row r="61" spans="5:25">
      <c r="E61" s="29">
        <v>50</v>
      </c>
      <c r="F61" s="262" t="s">
        <v>39</v>
      </c>
      <c r="G61" s="27">
        <f>IF(AND('Ecotox data'!P56&gt;='Model info'!$C$4,'Ecotox data'!P56&lt;='Model info'!$C$5),1,0)</f>
        <v>1</v>
      </c>
      <c r="H61" s="171">
        <f>IF(COUNTIF('Model info'!$H$4:$H$10,'Ecotox data'!B56)=1,7,IF(COUNTIF('Model info'!$J$4:$J$10,'Ecotox data'!C56)=1,6,IF(COUNTIF('Model info'!$K$4:$K$10,'Ecotox data'!D56)=1,5,IF(COUNTIF('Model info'!$L$4:$L$10,'Ecotox data'!E56)=1,4,IF(COUNTIF('Model info'!$M$4:$M$10,'Ecotox data'!F56)=1,3,IF(COUNTIF('Model info'!$N$4:$N$10,'Ecotox data'!G56)=1,2,IF(COUNTIF('Model info'!$O$4:$O$10,'Ecotox data'!H56)=1,1,0)))))))</f>
        <v>6</v>
      </c>
      <c r="I61" s="177">
        <f t="shared" si="0"/>
        <v>7</v>
      </c>
      <c r="J61" s="35"/>
      <c r="K61" s="27">
        <f>IF(AND('Ecotox data'!U56&gt;='Model info'!$D$8,'Ecotox data'!U56&lt;='Model info'!$D$9),1,0)</f>
        <v>1</v>
      </c>
      <c r="L61" s="163">
        <f>IF(COUNTIF('Model info'!$H$12,'Ecotox data'!B56)=1,7,IF(COUNTIF('Model info'!$J$12,'Ecotox data'!C56)=1,6,IF(COUNTIF('Model info'!$K$12,'Ecotox data'!D56)=1,5,IF(COUNTIF('Model info'!$L$12,'Ecotox data'!E56)=1,4,IF(COUNTIF('Model info'!$M$12,'Ecotox data'!F56)=1,3,IF(COUNTIF('Model info'!$N$12,'Ecotox data'!G56)=1,2,IF(COUNTIF('Model info'!$O$12,'Ecotox data'!H56)=1,1,0)))))))</f>
        <v>0</v>
      </c>
      <c r="M61" s="182">
        <f t="shared" si="5"/>
        <v>1</v>
      </c>
      <c r="N61" s="35"/>
      <c r="O61" s="27">
        <f>IF(AND('Ecotox data'!M56&gt;='Model info'!$E$12,'Ecotox data'!M56&lt;='Model info'!$E$13),1,0)</f>
        <v>1</v>
      </c>
      <c r="P61" s="172">
        <f>IF(COUNTIF('Model info'!$H$14,'Ecotox data'!B56)=1,7,IF(COUNTIF('Model info'!$J$14,'Ecotox data'!C56)=1,6,IF(COUNTIF('Model info'!$K$14,'Ecotox data'!D56)=1,5,IF(COUNTIF('Model info'!$L$14,'Ecotox data'!E56)=1,4,IF(COUNTIF('Model info'!$M$14,'Ecotox data'!F56)=1,3,IF(COUNTIF('Model info'!$N$14,'Ecotox data'!G56)=1,2,IF(COUNTIF('Model info'!$O$14,'Ecotox data'!H56)=1,1,0)))))))</f>
        <v>6</v>
      </c>
      <c r="Q61" s="177">
        <f t="shared" si="6"/>
        <v>7</v>
      </c>
      <c r="R61" s="35"/>
      <c r="S61" s="27">
        <f>IF(AND('Ecotox data'!P56&gt;='Model info'!$C$16,'Ecotox data'!P56&lt;='Model info'!$C$17,'Ecotox data'!U56&gt;='Model info'!$D$16,'Ecotox data'!U56&lt;='Model info'!$D$17,'Ecotox data'!M56&gt;='Model info'!$E$16,'Ecotox data'!M56&lt;='Model info'!$E$17),1,0)</f>
        <v>1</v>
      </c>
      <c r="T61" s="165">
        <f>IF(COUNTIF('Model info'!$H$16,'Ecotox data'!B56)=1,7,IF(COUNTIF('Model info'!$J$16,'Ecotox data'!C56)=1,6,IF(COUNTIF('Model info'!$K$16,'Ecotox data'!D56)=1,5,IF(COUNTIF('Model info'!$L$16,'Ecotox data'!E56)=1,4,IF(COUNTIF('Model info'!$M$16,'Ecotox data'!F56)=1,3,IF(COUNTIF('Model info'!$N$16,'Ecotox data'!G56)=1,2,IF(COUNTIF('Model info'!$O$16,'Ecotox data'!H56)=1,1,0)))))))</f>
        <v>1</v>
      </c>
      <c r="U61" s="182">
        <f t="shared" si="7"/>
        <v>2</v>
      </c>
      <c r="V61" s="35"/>
      <c r="W61" s="27">
        <f>IF(AND('Ecotox data'!P56&gt;='Model info'!$C$20,'Ecotox data'!P56&lt;='Model info'!$C$21,'Ecotox data'!U56&gt;='Model info'!$D$20,'Ecotox data'!U56&lt;='Model info'!$D$21,'Ecotox data'!M56&gt;='Model info'!$E$20,'Ecotox data'!M56&lt;='Model info'!$E$21),1,0)</f>
        <v>1</v>
      </c>
      <c r="X61" s="171">
        <f>IF(COUNTIF('Model info'!$H$18:$H$24,'Ecotox data'!B56)=1,7,IF(COUNTIF('Model info'!$J$18:$J$24,'Ecotox data'!C56)=1,6,IF(COUNTIF('Model info'!$K$18:$K$24,'Ecotox data'!D56)=1,5,IF(COUNTIF('Model info'!$L$2:$L$24,'Ecotox data'!E56)=1,4,IF(COUNTIF('Model info'!$M$18:$M$24,'Ecotox data'!F56)=1,3,IF(COUNTIF('Model info'!$N$18:$N$24,'Ecotox data'!G56)=1,2,IF(COUNTIF('Model info'!$O$18:$O$24,'Ecotox data'!H56)=1,1,0)))))))</f>
        <v>6</v>
      </c>
      <c r="Y61" s="177">
        <f t="shared" si="8"/>
        <v>7</v>
      </c>
    </row>
    <row r="62" spans="5:25">
      <c r="E62" s="29">
        <v>51</v>
      </c>
      <c r="F62" s="262" t="s">
        <v>39</v>
      </c>
      <c r="G62" s="27">
        <f>IF(AND('Ecotox data'!P57&gt;='Model info'!$C$4,'Ecotox data'!P57&lt;='Model info'!$C$5),1,0)</f>
        <v>1</v>
      </c>
      <c r="H62" s="171">
        <f>IF(COUNTIF('Model info'!$H$4:$H$10,'Ecotox data'!B57)=1,7,IF(COUNTIF('Model info'!$J$4:$J$10,'Ecotox data'!C57)=1,6,IF(COUNTIF('Model info'!$K$4:$K$10,'Ecotox data'!D57)=1,5,IF(COUNTIF('Model info'!$L$4:$L$10,'Ecotox data'!E57)=1,4,IF(COUNTIF('Model info'!$M$4:$M$10,'Ecotox data'!F57)=1,3,IF(COUNTIF('Model info'!$N$4:$N$10,'Ecotox data'!G57)=1,2,IF(COUNTIF('Model info'!$O$4:$O$10,'Ecotox data'!H57)=1,1,0)))))))</f>
        <v>6</v>
      </c>
      <c r="I62" s="177">
        <f t="shared" si="0"/>
        <v>7</v>
      </c>
      <c r="J62" s="35"/>
      <c r="K62" s="27">
        <f>IF(AND('Ecotox data'!U57&gt;='Model info'!$D$8,'Ecotox data'!U57&lt;='Model info'!$D$9),1,0)</f>
        <v>1</v>
      </c>
      <c r="L62" s="163">
        <f>IF(COUNTIF('Model info'!$H$12,'Ecotox data'!B57)=1,7,IF(COUNTIF('Model info'!$J$12,'Ecotox data'!C57)=1,6,IF(COUNTIF('Model info'!$K$12,'Ecotox data'!D57)=1,5,IF(COUNTIF('Model info'!$L$12,'Ecotox data'!E57)=1,4,IF(COUNTIF('Model info'!$M$12,'Ecotox data'!F57)=1,3,IF(COUNTIF('Model info'!$N$12,'Ecotox data'!G57)=1,2,IF(COUNTIF('Model info'!$O$12,'Ecotox data'!H57)=1,1,0)))))))</f>
        <v>0</v>
      </c>
      <c r="M62" s="182">
        <f t="shared" si="5"/>
        <v>1</v>
      </c>
      <c r="N62" s="35"/>
      <c r="O62" s="27">
        <f>IF(AND('Ecotox data'!M57&gt;='Model info'!$E$12,'Ecotox data'!M57&lt;='Model info'!$E$13),1,0)</f>
        <v>1</v>
      </c>
      <c r="P62" s="172">
        <f>IF(COUNTIF('Model info'!$H$14,'Ecotox data'!B57)=1,7,IF(COUNTIF('Model info'!$J$14,'Ecotox data'!C57)=1,6,IF(COUNTIF('Model info'!$K$14,'Ecotox data'!D57)=1,5,IF(COUNTIF('Model info'!$L$14,'Ecotox data'!E57)=1,4,IF(COUNTIF('Model info'!$M$14,'Ecotox data'!F57)=1,3,IF(COUNTIF('Model info'!$N$14,'Ecotox data'!G57)=1,2,IF(COUNTIF('Model info'!$O$14,'Ecotox data'!H57)=1,1,0)))))))</f>
        <v>6</v>
      </c>
      <c r="Q62" s="177">
        <f t="shared" si="6"/>
        <v>7</v>
      </c>
      <c r="R62" s="35"/>
      <c r="S62" s="27">
        <f>IF(AND('Ecotox data'!P57&gt;='Model info'!$C$16,'Ecotox data'!P57&lt;='Model info'!$C$17,'Ecotox data'!U57&gt;='Model info'!$D$16,'Ecotox data'!U57&lt;='Model info'!$D$17,'Ecotox data'!M57&gt;='Model info'!$E$16,'Ecotox data'!M57&lt;='Model info'!$E$17),1,0)</f>
        <v>1</v>
      </c>
      <c r="T62" s="165">
        <f>IF(COUNTIF('Model info'!$H$16,'Ecotox data'!B57)=1,7,IF(COUNTIF('Model info'!$J$16,'Ecotox data'!C57)=1,6,IF(COUNTIF('Model info'!$K$16,'Ecotox data'!D57)=1,5,IF(COUNTIF('Model info'!$L$16,'Ecotox data'!E57)=1,4,IF(COUNTIF('Model info'!$M$16,'Ecotox data'!F57)=1,3,IF(COUNTIF('Model info'!$N$16,'Ecotox data'!G57)=1,2,IF(COUNTIF('Model info'!$O$16,'Ecotox data'!H57)=1,1,0)))))))</f>
        <v>1</v>
      </c>
      <c r="U62" s="182">
        <f t="shared" si="7"/>
        <v>2</v>
      </c>
      <c r="V62" s="35"/>
      <c r="W62" s="27">
        <f>IF(AND('Ecotox data'!P57&gt;='Model info'!$C$20,'Ecotox data'!P57&lt;='Model info'!$C$21,'Ecotox data'!U57&gt;='Model info'!$D$20,'Ecotox data'!U57&lt;='Model info'!$D$21,'Ecotox data'!M57&gt;='Model info'!$E$20,'Ecotox data'!M57&lt;='Model info'!$E$21),1,0)</f>
        <v>1</v>
      </c>
      <c r="X62" s="171">
        <f>IF(COUNTIF('Model info'!$H$18:$H$24,'Ecotox data'!B57)=1,7,IF(COUNTIF('Model info'!$J$18:$J$24,'Ecotox data'!C57)=1,6,IF(COUNTIF('Model info'!$K$18:$K$24,'Ecotox data'!D57)=1,5,IF(COUNTIF('Model info'!$L$2:$L$24,'Ecotox data'!E57)=1,4,IF(COUNTIF('Model info'!$M$18:$M$24,'Ecotox data'!F57)=1,3,IF(COUNTIF('Model info'!$N$18:$N$24,'Ecotox data'!G57)=1,2,IF(COUNTIF('Model info'!$O$18:$O$24,'Ecotox data'!H57)=1,1,0)))))))</f>
        <v>6</v>
      </c>
      <c r="Y62" s="177">
        <f t="shared" si="8"/>
        <v>7</v>
      </c>
    </row>
    <row r="63" spans="5:25">
      <c r="E63" s="29">
        <v>52</v>
      </c>
      <c r="F63" s="262" t="s">
        <v>38</v>
      </c>
      <c r="G63" s="27">
        <f>IF(AND('Ecotox data'!P58&gt;='Model info'!$C$4,'Ecotox data'!P58&lt;='Model info'!$C$5),1,0)</f>
        <v>1</v>
      </c>
      <c r="H63" s="171">
        <f>IF(COUNTIF('Model info'!$H$4:$H$10,'Ecotox data'!B58)=1,7,IF(COUNTIF('Model info'!$J$4:$J$10,'Ecotox data'!C58)=1,6,IF(COUNTIF('Model info'!$K$4:$K$10,'Ecotox data'!D58)=1,5,IF(COUNTIF('Model info'!$L$4:$L$10,'Ecotox data'!E58)=1,4,IF(COUNTIF('Model info'!$M$4:$M$10,'Ecotox data'!F58)=1,3,IF(COUNTIF('Model info'!$N$4:$N$10,'Ecotox data'!G58)=1,2,IF(COUNTIF('Model info'!$O$4:$O$10,'Ecotox data'!H58)=1,1,0)))))))</f>
        <v>7</v>
      </c>
      <c r="I63" s="177">
        <f t="shared" si="0"/>
        <v>8</v>
      </c>
      <c r="J63" s="35"/>
      <c r="K63" s="27">
        <f>IF(AND('Ecotox data'!U58&gt;='Model info'!$D$8,'Ecotox data'!U58&lt;='Model info'!$D$9),1,0)</f>
        <v>1</v>
      </c>
      <c r="L63" s="163">
        <f>IF(COUNTIF('Model info'!$H$12,'Ecotox data'!B58)=1,7,IF(COUNTIF('Model info'!$J$12,'Ecotox data'!C58)=1,6,IF(COUNTIF('Model info'!$K$12,'Ecotox data'!D58)=1,5,IF(COUNTIF('Model info'!$L$12,'Ecotox data'!E58)=1,4,IF(COUNTIF('Model info'!$M$12,'Ecotox data'!F58)=1,3,IF(COUNTIF('Model info'!$N$12,'Ecotox data'!G58)=1,2,IF(COUNTIF('Model info'!$O$12,'Ecotox data'!H58)=1,1,0)))))))</f>
        <v>0</v>
      </c>
      <c r="M63" s="182">
        <f t="shared" si="5"/>
        <v>1</v>
      </c>
      <c r="N63" s="35"/>
      <c r="O63" s="27">
        <f>IF(AND('Ecotox data'!M58&gt;='Model info'!$E$12,'Ecotox data'!M58&lt;='Model info'!$E$13),1,0)</f>
        <v>1</v>
      </c>
      <c r="P63" s="172">
        <f>IF(COUNTIF('Model info'!$H$14,'Ecotox data'!B58)=1,7,IF(COUNTIF('Model info'!$J$14,'Ecotox data'!C58)=1,6,IF(COUNTIF('Model info'!$K$14,'Ecotox data'!D58)=1,5,IF(COUNTIF('Model info'!$L$14,'Ecotox data'!E58)=1,4,IF(COUNTIF('Model info'!$M$14,'Ecotox data'!F58)=1,3,IF(COUNTIF('Model info'!$N$14,'Ecotox data'!G58)=1,2,IF(COUNTIF('Model info'!$O$14,'Ecotox data'!H58)=1,1,0)))))))</f>
        <v>7</v>
      </c>
      <c r="Q63" s="177">
        <f t="shared" si="6"/>
        <v>8</v>
      </c>
      <c r="R63" s="35"/>
      <c r="S63" s="27">
        <f>IF(AND('Ecotox data'!P58&gt;='Model info'!$C$16,'Ecotox data'!P58&lt;='Model info'!$C$17,'Ecotox data'!U58&gt;='Model info'!$D$16,'Ecotox data'!U58&lt;='Model info'!$D$17,'Ecotox data'!M58&gt;='Model info'!$E$16,'Ecotox data'!M58&lt;='Model info'!$E$17),1,0)</f>
        <v>1</v>
      </c>
      <c r="T63" s="165">
        <f>IF(COUNTIF('Model info'!$H$16,'Ecotox data'!B58)=1,7,IF(COUNTIF('Model info'!$J$16,'Ecotox data'!C58)=1,6,IF(COUNTIF('Model info'!$K$16,'Ecotox data'!D58)=1,5,IF(COUNTIF('Model info'!$L$16,'Ecotox data'!E58)=1,4,IF(COUNTIF('Model info'!$M$16,'Ecotox data'!F58)=1,3,IF(COUNTIF('Model info'!$N$16,'Ecotox data'!G58)=1,2,IF(COUNTIF('Model info'!$O$16,'Ecotox data'!H58)=1,1,0)))))))</f>
        <v>1</v>
      </c>
      <c r="U63" s="182">
        <f t="shared" si="7"/>
        <v>2</v>
      </c>
      <c r="V63" s="35"/>
      <c r="W63" s="27">
        <f>IF(AND('Ecotox data'!P58&gt;='Model info'!$C$20,'Ecotox data'!P58&lt;='Model info'!$C$21,'Ecotox data'!U58&gt;='Model info'!$D$20,'Ecotox data'!U58&lt;='Model info'!$D$21,'Ecotox data'!M58&gt;='Model info'!$E$20,'Ecotox data'!M58&lt;='Model info'!$E$21),1,0)</f>
        <v>1</v>
      </c>
      <c r="X63" s="171">
        <f>IF(COUNTIF('Model info'!$H$18:$H$24,'Ecotox data'!B58)=1,7,IF(COUNTIF('Model info'!$J$18:$J$24,'Ecotox data'!C58)=1,6,IF(COUNTIF('Model info'!$K$18:$K$24,'Ecotox data'!D58)=1,5,IF(COUNTIF('Model info'!$L$2:$L$24,'Ecotox data'!E58)=1,4,IF(COUNTIF('Model info'!$M$18:$M$24,'Ecotox data'!F58)=1,3,IF(COUNTIF('Model info'!$N$18:$N$24,'Ecotox data'!G58)=1,2,IF(COUNTIF('Model info'!$O$18:$O$24,'Ecotox data'!H58)=1,1,0)))))))</f>
        <v>7</v>
      </c>
      <c r="Y63" s="177">
        <f t="shared" si="8"/>
        <v>8</v>
      </c>
    </row>
    <row r="64" spans="5:25">
      <c r="E64" s="29">
        <v>53</v>
      </c>
      <c r="F64" s="262" t="s">
        <v>38</v>
      </c>
      <c r="G64" s="27">
        <f>IF(AND('Ecotox data'!P59&gt;='Model info'!$C$4,'Ecotox data'!P59&lt;='Model info'!$C$5),1,0)</f>
        <v>1</v>
      </c>
      <c r="H64" s="171">
        <f>IF(COUNTIF('Model info'!$H$4:$H$10,'Ecotox data'!B59)=1,7,IF(COUNTIF('Model info'!$J$4:$J$10,'Ecotox data'!C59)=1,6,IF(COUNTIF('Model info'!$K$4:$K$10,'Ecotox data'!D59)=1,5,IF(COUNTIF('Model info'!$L$4:$L$10,'Ecotox data'!E59)=1,4,IF(COUNTIF('Model info'!$M$4:$M$10,'Ecotox data'!F59)=1,3,IF(COUNTIF('Model info'!$N$4:$N$10,'Ecotox data'!G59)=1,2,IF(COUNTIF('Model info'!$O$4:$O$10,'Ecotox data'!H59)=1,1,0)))))))</f>
        <v>7</v>
      </c>
      <c r="I64" s="177">
        <f t="shared" si="0"/>
        <v>8</v>
      </c>
      <c r="J64" s="35"/>
      <c r="K64" s="27">
        <f>IF(AND('Ecotox data'!U59&gt;='Model info'!$D$8,'Ecotox data'!U59&lt;='Model info'!$D$9),1,0)</f>
        <v>1</v>
      </c>
      <c r="L64" s="163">
        <f>IF(COUNTIF('Model info'!$H$12,'Ecotox data'!B59)=1,7,IF(COUNTIF('Model info'!$J$12,'Ecotox data'!C59)=1,6,IF(COUNTIF('Model info'!$K$12,'Ecotox data'!D59)=1,5,IF(COUNTIF('Model info'!$L$12,'Ecotox data'!E59)=1,4,IF(COUNTIF('Model info'!$M$12,'Ecotox data'!F59)=1,3,IF(COUNTIF('Model info'!$N$12,'Ecotox data'!G59)=1,2,IF(COUNTIF('Model info'!$O$12,'Ecotox data'!H59)=1,1,0)))))))</f>
        <v>0</v>
      </c>
      <c r="M64" s="182">
        <f t="shared" si="5"/>
        <v>1</v>
      </c>
      <c r="N64" s="35"/>
      <c r="O64" s="27">
        <f>IF(AND('Ecotox data'!M59&gt;='Model info'!$E$12,'Ecotox data'!M59&lt;='Model info'!$E$13),1,0)</f>
        <v>1</v>
      </c>
      <c r="P64" s="172">
        <f>IF(COUNTIF('Model info'!$H$14,'Ecotox data'!B59)=1,7,IF(COUNTIF('Model info'!$J$14,'Ecotox data'!C59)=1,6,IF(COUNTIF('Model info'!$K$14,'Ecotox data'!D59)=1,5,IF(COUNTIF('Model info'!$L$14,'Ecotox data'!E59)=1,4,IF(COUNTIF('Model info'!$M$14,'Ecotox data'!F59)=1,3,IF(COUNTIF('Model info'!$N$14,'Ecotox data'!G59)=1,2,IF(COUNTIF('Model info'!$O$14,'Ecotox data'!H59)=1,1,0)))))))</f>
        <v>7</v>
      </c>
      <c r="Q64" s="177">
        <f t="shared" si="6"/>
        <v>8</v>
      </c>
      <c r="R64" s="35"/>
      <c r="S64" s="27">
        <f>IF(AND('Ecotox data'!P59&gt;='Model info'!$C$16,'Ecotox data'!P59&lt;='Model info'!$C$17,'Ecotox data'!U59&gt;='Model info'!$D$16,'Ecotox data'!U59&lt;='Model info'!$D$17,'Ecotox data'!M59&gt;='Model info'!$E$16,'Ecotox data'!M59&lt;='Model info'!$E$17),1,0)</f>
        <v>1</v>
      </c>
      <c r="T64" s="165">
        <f>IF(COUNTIF('Model info'!$H$16,'Ecotox data'!B59)=1,7,IF(COUNTIF('Model info'!$J$16,'Ecotox data'!C59)=1,6,IF(COUNTIF('Model info'!$K$16,'Ecotox data'!D59)=1,5,IF(COUNTIF('Model info'!$L$16,'Ecotox data'!E59)=1,4,IF(COUNTIF('Model info'!$M$16,'Ecotox data'!F59)=1,3,IF(COUNTIF('Model info'!$N$16,'Ecotox data'!G59)=1,2,IF(COUNTIF('Model info'!$O$16,'Ecotox data'!H59)=1,1,0)))))))</f>
        <v>1</v>
      </c>
      <c r="U64" s="182">
        <f t="shared" si="7"/>
        <v>2</v>
      </c>
      <c r="V64" s="35"/>
      <c r="W64" s="27">
        <f>IF(AND('Ecotox data'!P59&gt;='Model info'!$C$20,'Ecotox data'!P59&lt;='Model info'!$C$21,'Ecotox data'!U59&gt;='Model info'!$D$20,'Ecotox data'!U59&lt;='Model info'!$D$21,'Ecotox data'!M59&gt;='Model info'!$E$20,'Ecotox data'!M59&lt;='Model info'!$E$21),1,0)</f>
        <v>1</v>
      </c>
      <c r="X64" s="171">
        <f>IF(COUNTIF('Model info'!$H$18:$H$24,'Ecotox data'!B59)=1,7,IF(COUNTIF('Model info'!$J$18:$J$24,'Ecotox data'!C59)=1,6,IF(COUNTIF('Model info'!$K$18:$K$24,'Ecotox data'!D59)=1,5,IF(COUNTIF('Model info'!$L$2:$L$24,'Ecotox data'!E59)=1,4,IF(COUNTIF('Model info'!$M$18:$M$24,'Ecotox data'!F59)=1,3,IF(COUNTIF('Model info'!$N$18:$N$24,'Ecotox data'!G59)=1,2,IF(COUNTIF('Model info'!$O$18:$O$24,'Ecotox data'!H59)=1,1,0)))))))</f>
        <v>7</v>
      </c>
      <c r="Y64" s="177">
        <f t="shared" si="8"/>
        <v>8</v>
      </c>
    </row>
    <row r="65" spans="5:25">
      <c r="E65" s="29">
        <v>54</v>
      </c>
      <c r="F65" s="262" t="s">
        <v>38</v>
      </c>
      <c r="G65" s="27">
        <f>IF(AND('Ecotox data'!P60&gt;='Model info'!$C$4,'Ecotox data'!P60&lt;='Model info'!$C$5),1,0)</f>
        <v>1</v>
      </c>
      <c r="H65" s="171">
        <f>IF(COUNTIF('Model info'!$H$4:$H$10,'Ecotox data'!B60)=1,7,IF(COUNTIF('Model info'!$J$4:$J$10,'Ecotox data'!C60)=1,6,IF(COUNTIF('Model info'!$K$4:$K$10,'Ecotox data'!D60)=1,5,IF(COUNTIF('Model info'!$L$4:$L$10,'Ecotox data'!E60)=1,4,IF(COUNTIF('Model info'!$M$4:$M$10,'Ecotox data'!F60)=1,3,IF(COUNTIF('Model info'!$N$4:$N$10,'Ecotox data'!G60)=1,2,IF(COUNTIF('Model info'!$O$4:$O$10,'Ecotox data'!H60)=1,1,0)))))))</f>
        <v>7</v>
      </c>
      <c r="I65" s="177">
        <f t="shared" si="0"/>
        <v>8</v>
      </c>
      <c r="J65" s="35"/>
      <c r="K65" s="27">
        <f>IF(AND('Ecotox data'!U60&gt;='Model info'!$D$8,'Ecotox data'!U60&lt;='Model info'!$D$9),1,0)</f>
        <v>1</v>
      </c>
      <c r="L65" s="163">
        <f>IF(COUNTIF('Model info'!$H$12,'Ecotox data'!B60)=1,7,IF(COUNTIF('Model info'!$J$12,'Ecotox data'!C60)=1,6,IF(COUNTIF('Model info'!$K$12,'Ecotox data'!D60)=1,5,IF(COUNTIF('Model info'!$L$12,'Ecotox data'!E60)=1,4,IF(COUNTIF('Model info'!$M$12,'Ecotox data'!F60)=1,3,IF(COUNTIF('Model info'!$N$12,'Ecotox data'!G60)=1,2,IF(COUNTIF('Model info'!$O$12,'Ecotox data'!H60)=1,1,0)))))))</f>
        <v>0</v>
      </c>
      <c r="M65" s="182">
        <f t="shared" si="5"/>
        <v>1</v>
      </c>
      <c r="N65" s="35"/>
      <c r="O65" s="27">
        <f>IF(AND('Ecotox data'!M60&gt;='Model info'!$E$12,'Ecotox data'!M60&lt;='Model info'!$E$13),1,0)</f>
        <v>1</v>
      </c>
      <c r="P65" s="172">
        <f>IF(COUNTIF('Model info'!$H$14,'Ecotox data'!B60)=1,7,IF(COUNTIF('Model info'!$J$14,'Ecotox data'!C60)=1,6,IF(COUNTIF('Model info'!$K$14,'Ecotox data'!D60)=1,5,IF(COUNTIF('Model info'!$L$14,'Ecotox data'!E60)=1,4,IF(COUNTIF('Model info'!$M$14,'Ecotox data'!F60)=1,3,IF(COUNTIF('Model info'!$N$14,'Ecotox data'!G60)=1,2,IF(COUNTIF('Model info'!$O$14,'Ecotox data'!H60)=1,1,0)))))))</f>
        <v>7</v>
      </c>
      <c r="Q65" s="177">
        <f t="shared" si="6"/>
        <v>8</v>
      </c>
      <c r="R65" s="35"/>
      <c r="S65" s="27">
        <f>IF(AND('Ecotox data'!P60&gt;='Model info'!$C$16,'Ecotox data'!P60&lt;='Model info'!$C$17,'Ecotox data'!U60&gt;='Model info'!$D$16,'Ecotox data'!U60&lt;='Model info'!$D$17,'Ecotox data'!M60&gt;='Model info'!$E$16,'Ecotox data'!M60&lt;='Model info'!$E$17),1,0)</f>
        <v>1</v>
      </c>
      <c r="T65" s="165">
        <f>IF(COUNTIF('Model info'!$H$16,'Ecotox data'!B60)=1,7,IF(COUNTIF('Model info'!$J$16,'Ecotox data'!C60)=1,6,IF(COUNTIF('Model info'!$K$16,'Ecotox data'!D60)=1,5,IF(COUNTIF('Model info'!$L$16,'Ecotox data'!E60)=1,4,IF(COUNTIF('Model info'!$M$16,'Ecotox data'!F60)=1,3,IF(COUNTIF('Model info'!$N$16,'Ecotox data'!G60)=1,2,IF(COUNTIF('Model info'!$O$16,'Ecotox data'!H60)=1,1,0)))))))</f>
        <v>1</v>
      </c>
      <c r="U65" s="182">
        <f t="shared" si="7"/>
        <v>2</v>
      </c>
      <c r="V65" s="35"/>
      <c r="W65" s="27">
        <f>IF(AND('Ecotox data'!P60&gt;='Model info'!$C$20,'Ecotox data'!P60&lt;='Model info'!$C$21,'Ecotox data'!U60&gt;='Model info'!$D$20,'Ecotox data'!U60&lt;='Model info'!$D$21,'Ecotox data'!M60&gt;='Model info'!$E$20,'Ecotox data'!M60&lt;='Model info'!$E$21),1,0)</f>
        <v>1</v>
      </c>
      <c r="X65" s="171">
        <f>IF(COUNTIF('Model info'!$H$18:$H$24,'Ecotox data'!B60)=1,7,IF(COUNTIF('Model info'!$J$18:$J$24,'Ecotox data'!C60)=1,6,IF(COUNTIF('Model info'!$K$18:$K$24,'Ecotox data'!D60)=1,5,IF(COUNTIF('Model info'!$L$2:$L$24,'Ecotox data'!E60)=1,4,IF(COUNTIF('Model info'!$M$18:$M$24,'Ecotox data'!F60)=1,3,IF(COUNTIF('Model info'!$N$18:$N$24,'Ecotox data'!G60)=1,2,IF(COUNTIF('Model info'!$O$18:$O$24,'Ecotox data'!H60)=1,1,0)))))))</f>
        <v>7</v>
      </c>
      <c r="Y65" s="177">
        <f t="shared" si="8"/>
        <v>8</v>
      </c>
    </row>
    <row r="66" spans="5:25">
      <c r="E66" s="29">
        <v>55</v>
      </c>
      <c r="F66" s="262" t="s">
        <v>38</v>
      </c>
      <c r="G66" s="27">
        <f>IF(AND('Ecotox data'!P61&gt;='Model info'!$C$4,'Ecotox data'!P61&lt;='Model info'!$C$5),1,0)</f>
        <v>1</v>
      </c>
      <c r="H66" s="171">
        <f>IF(COUNTIF('Model info'!$H$4:$H$10,'Ecotox data'!B61)=1,7,IF(COUNTIF('Model info'!$J$4:$J$10,'Ecotox data'!C61)=1,6,IF(COUNTIF('Model info'!$K$4:$K$10,'Ecotox data'!D61)=1,5,IF(COUNTIF('Model info'!$L$4:$L$10,'Ecotox data'!E61)=1,4,IF(COUNTIF('Model info'!$M$4:$M$10,'Ecotox data'!F61)=1,3,IF(COUNTIF('Model info'!$N$4:$N$10,'Ecotox data'!G61)=1,2,IF(COUNTIF('Model info'!$O$4:$O$10,'Ecotox data'!H61)=1,1,0)))))))</f>
        <v>7</v>
      </c>
      <c r="I66" s="177">
        <f t="shared" si="0"/>
        <v>8</v>
      </c>
      <c r="J66" s="35"/>
      <c r="K66" s="27">
        <f>IF(AND('Ecotox data'!U61&gt;='Model info'!$D$8,'Ecotox data'!U61&lt;='Model info'!$D$9),1,0)</f>
        <v>1</v>
      </c>
      <c r="L66" s="163">
        <f>IF(COUNTIF('Model info'!$H$12,'Ecotox data'!B61)=1,7,IF(COUNTIF('Model info'!$J$12,'Ecotox data'!C61)=1,6,IF(COUNTIF('Model info'!$K$12,'Ecotox data'!D61)=1,5,IF(COUNTIF('Model info'!$L$12,'Ecotox data'!E61)=1,4,IF(COUNTIF('Model info'!$M$12,'Ecotox data'!F61)=1,3,IF(COUNTIF('Model info'!$N$12,'Ecotox data'!G61)=1,2,IF(COUNTIF('Model info'!$O$12,'Ecotox data'!H61)=1,1,0)))))))</f>
        <v>0</v>
      </c>
      <c r="M66" s="182">
        <f t="shared" si="5"/>
        <v>1</v>
      </c>
      <c r="N66" s="35"/>
      <c r="O66" s="27">
        <f>IF(AND('Ecotox data'!M61&gt;='Model info'!$E$12,'Ecotox data'!M61&lt;='Model info'!$E$13),1,0)</f>
        <v>1</v>
      </c>
      <c r="P66" s="172">
        <f>IF(COUNTIF('Model info'!$H$14,'Ecotox data'!B61)=1,7,IF(COUNTIF('Model info'!$J$14,'Ecotox data'!C61)=1,6,IF(COUNTIF('Model info'!$K$14,'Ecotox data'!D61)=1,5,IF(COUNTIF('Model info'!$L$14,'Ecotox data'!E61)=1,4,IF(COUNTIF('Model info'!$M$14,'Ecotox data'!F61)=1,3,IF(COUNTIF('Model info'!$N$14,'Ecotox data'!G61)=1,2,IF(COUNTIF('Model info'!$O$14,'Ecotox data'!H61)=1,1,0)))))))</f>
        <v>7</v>
      </c>
      <c r="Q66" s="177">
        <f t="shared" si="6"/>
        <v>8</v>
      </c>
      <c r="R66" s="35"/>
      <c r="S66" s="27">
        <f>IF(AND('Ecotox data'!P61&gt;='Model info'!$C$16,'Ecotox data'!P61&lt;='Model info'!$C$17,'Ecotox data'!U61&gt;='Model info'!$D$16,'Ecotox data'!U61&lt;='Model info'!$D$17,'Ecotox data'!M61&gt;='Model info'!$E$16,'Ecotox data'!M61&lt;='Model info'!$E$17),1,0)</f>
        <v>1</v>
      </c>
      <c r="T66" s="165">
        <f>IF(COUNTIF('Model info'!$H$16,'Ecotox data'!B61)=1,7,IF(COUNTIF('Model info'!$J$16,'Ecotox data'!C61)=1,6,IF(COUNTIF('Model info'!$K$16,'Ecotox data'!D61)=1,5,IF(COUNTIF('Model info'!$L$16,'Ecotox data'!E61)=1,4,IF(COUNTIF('Model info'!$M$16,'Ecotox data'!F61)=1,3,IF(COUNTIF('Model info'!$N$16,'Ecotox data'!G61)=1,2,IF(COUNTIF('Model info'!$O$16,'Ecotox data'!H61)=1,1,0)))))))</f>
        <v>1</v>
      </c>
      <c r="U66" s="182">
        <f t="shared" si="7"/>
        <v>2</v>
      </c>
      <c r="V66" s="35"/>
      <c r="W66" s="27">
        <f>IF(AND('Ecotox data'!P61&gt;='Model info'!$C$20,'Ecotox data'!P61&lt;='Model info'!$C$21,'Ecotox data'!U61&gt;='Model info'!$D$20,'Ecotox data'!U61&lt;='Model info'!$D$21,'Ecotox data'!M61&gt;='Model info'!$E$20,'Ecotox data'!M61&lt;='Model info'!$E$21),1,0)</f>
        <v>1</v>
      </c>
      <c r="X66" s="171">
        <f>IF(COUNTIF('Model info'!$H$18:$H$24,'Ecotox data'!B61)=1,7,IF(COUNTIF('Model info'!$J$18:$J$24,'Ecotox data'!C61)=1,6,IF(COUNTIF('Model info'!$K$18:$K$24,'Ecotox data'!D61)=1,5,IF(COUNTIF('Model info'!$L$2:$L$24,'Ecotox data'!E61)=1,4,IF(COUNTIF('Model info'!$M$18:$M$24,'Ecotox data'!F61)=1,3,IF(COUNTIF('Model info'!$N$18:$N$24,'Ecotox data'!G61)=1,2,IF(COUNTIF('Model info'!$O$18:$O$24,'Ecotox data'!H61)=1,1,0)))))))</f>
        <v>7</v>
      </c>
      <c r="Y66" s="177">
        <f t="shared" si="8"/>
        <v>8</v>
      </c>
    </row>
    <row r="67" spans="5:25">
      <c r="E67" s="29">
        <v>56</v>
      </c>
      <c r="F67" s="262" t="s">
        <v>38</v>
      </c>
      <c r="G67" s="27">
        <f>IF(AND('Ecotox data'!P62&gt;='Model info'!$C$4,'Ecotox data'!P62&lt;='Model info'!$C$5),1,0)</f>
        <v>1</v>
      </c>
      <c r="H67" s="171">
        <f>IF(COUNTIF('Model info'!$H$4:$H$10,'Ecotox data'!B62)=1,7,IF(COUNTIF('Model info'!$J$4:$J$10,'Ecotox data'!C62)=1,6,IF(COUNTIF('Model info'!$K$4:$K$10,'Ecotox data'!D62)=1,5,IF(COUNTIF('Model info'!$L$4:$L$10,'Ecotox data'!E62)=1,4,IF(COUNTIF('Model info'!$M$4:$M$10,'Ecotox data'!F62)=1,3,IF(COUNTIF('Model info'!$N$4:$N$10,'Ecotox data'!G62)=1,2,IF(COUNTIF('Model info'!$O$4:$O$10,'Ecotox data'!H62)=1,1,0)))))))</f>
        <v>7</v>
      </c>
      <c r="I67" s="177">
        <f t="shared" si="0"/>
        <v>8</v>
      </c>
      <c r="J67" s="35"/>
      <c r="K67" s="27">
        <f>IF(AND('Ecotox data'!U62&gt;='Model info'!$D$8,'Ecotox data'!U62&lt;='Model info'!$D$9),1,0)</f>
        <v>1</v>
      </c>
      <c r="L67" s="163">
        <f>IF(COUNTIF('Model info'!$H$12,'Ecotox data'!B62)=1,7,IF(COUNTIF('Model info'!$J$12,'Ecotox data'!C62)=1,6,IF(COUNTIF('Model info'!$K$12,'Ecotox data'!D62)=1,5,IF(COUNTIF('Model info'!$L$12,'Ecotox data'!E62)=1,4,IF(COUNTIF('Model info'!$M$12,'Ecotox data'!F62)=1,3,IF(COUNTIF('Model info'!$N$12,'Ecotox data'!G62)=1,2,IF(COUNTIF('Model info'!$O$12,'Ecotox data'!H62)=1,1,0)))))))</f>
        <v>0</v>
      </c>
      <c r="M67" s="182">
        <f t="shared" si="5"/>
        <v>1</v>
      </c>
      <c r="N67" s="35"/>
      <c r="O67" s="27">
        <f>IF(AND('Ecotox data'!M62&gt;='Model info'!$E$12,'Ecotox data'!M62&lt;='Model info'!$E$13),1,0)</f>
        <v>1</v>
      </c>
      <c r="P67" s="172">
        <f>IF(COUNTIF('Model info'!$H$14,'Ecotox data'!B62)=1,7,IF(COUNTIF('Model info'!$J$14,'Ecotox data'!C62)=1,6,IF(COUNTIF('Model info'!$K$14,'Ecotox data'!D62)=1,5,IF(COUNTIF('Model info'!$L$14,'Ecotox data'!E62)=1,4,IF(COUNTIF('Model info'!$M$14,'Ecotox data'!F62)=1,3,IF(COUNTIF('Model info'!$N$14,'Ecotox data'!G62)=1,2,IF(COUNTIF('Model info'!$O$14,'Ecotox data'!H62)=1,1,0)))))))</f>
        <v>7</v>
      </c>
      <c r="Q67" s="177">
        <f t="shared" si="6"/>
        <v>8</v>
      </c>
      <c r="R67" s="35"/>
      <c r="S67" s="27">
        <f>IF(AND('Ecotox data'!P62&gt;='Model info'!$C$16,'Ecotox data'!P62&lt;='Model info'!$C$17,'Ecotox data'!U62&gt;='Model info'!$D$16,'Ecotox data'!U62&lt;='Model info'!$D$17,'Ecotox data'!M62&gt;='Model info'!$E$16,'Ecotox data'!M62&lt;='Model info'!$E$17),1,0)</f>
        <v>1</v>
      </c>
      <c r="T67" s="165">
        <f>IF(COUNTIF('Model info'!$H$16,'Ecotox data'!B62)=1,7,IF(COUNTIF('Model info'!$J$16,'Ecotox data'!C62)=1,6,IF(COUNTIF('Model info'!$K$16,'Ecotox data'!D62)=1,5,IF(COUNTIF('Model info'!$L$16,'Ecotox data'!E62)=1,4,IF(COUNTIF('Model info'!$M$16,'Ecotox data'!F62)=1,3,IF(COUNTIF('Model info'!$N$16,'Ecotox data'!G62)=1,2,IF(COUNTIF('Model info'!$O$16,'Ecotox data'!H62)=1,1,0)))))))</f>
        <v>1</v>
      </c>
      <c r="U67" s="182">
        <f t="shared" si="7"/>
        <v>2</v>
      </c>
      <c r="V67" s="35"/>
      <c r="W67" s="27">
        <f>IF(AND('Ecotox data'!P62&gt;='Model info'!$C$20,'Ecotox data'!P62&lt;='Model info'!$C$21,'Ecotox data'!U62&gt;='Model info'!$D$20,'Ecotox data'!U62&lt;='Model info'!$D$21,'Ecotox data'!M62&gt;='Model info'!$E$20,'Ecotox data'!M62&lt;='Model info'!$E$21),1,0)</f>
        <v>1</v>
      </c>
      <c r="X67" s="171">
        <f>IF(COUNTIF('Model info'!$H$18:$H$24,'Ecotox data'!B62)=1,7,IF(COUNTIF('Model info'!$J$18:$J$24,'Ecotox data'!C62)=1,6,IF(COUNTIF('Model info'!$K$18:$K$24,'Ecotox data'!D62)=1,5,IF(COUNTIF('Model info'!$L$2:$L$24,'Ecotox data'!E62)=1,4,IF(COUNTIF('Model info'!$M$18:$M$24,'Ecotox data'!F62)=1,3,IF(COUNTIF('Model info'!$N$18:$N$24,'Ecotox data'!G62)=1,2,IF(COUNTIF('Model info'!$O$18:$O$24,'Ecotox data'!H62)=1,1,0)))))))</f>
        <v>7</v>
      </c>
      <c r="Y67" s="177">
        <f t="shared" si="8"/>
        <v>8</v>
      </c>
    </row>
    <row r="68" spans="5:25">
      <c r="E68" s="29">
        <v>57</v>
      </c>
      <c r="F68" s="262" t="s">
        <v>38</v>
      </c>
      <c r="G68" s="27">
        <f>IF(AND('Ecotox data'!P63&gt;='Model info'!$C$4,'Ecotox data'!P63&lt;='Model info'!$C$5),1,0)</f>
        <v>1</v>
      </c>
      <c r="H68" s="171">
        <f>IF(COUNTIF('Model info'!$H$4:$H$10,'Ecotox data'!B63)=1,7,IF(COUNTIF('Model info'!$J$4:$J$10,'Ecotox data'!C63)=1,6,IF(COUNTIF('Model info'!$K$4:$K$10,'Ecotox data'!D63)=1,5,IF(COUNTIF('Model info'!$L$4:$L$10,'Ecotox data'!E63)=1,4,IF(COUNTIF('Model info'!$M$4:$M$10,'Ecotox data'!F63)=1,3,IF(COUNTIF('Model info'!$N$4:$N$10,'Ecotox data'!G63)=1,2,IF(COUNTIF('Model info'!$O$4:$O$10,'Ecotox data'!H63)=1,1,0)))))))</f>
        <v>7</v>
      </c>
      <c r="I68" s="177">
        <f t="shared" si="0"/>
        <v>8</v>
      </c>
      <c r="J68" s="35"/>
      <c r="K68" s="27">
        <f>IF(AND('Ecotox data'!U63&gt;='Model info'!$D$8,'Ecotox data'!U63&lt;='Model info'!$D$9),1,0)</f>
        <v>1</v>
      </c>
      <c r="L68" s="163">
        <f>IF(COUNTIF('Model info'!$H$12,'Ecotox data'!B63)=1,7,IF(COUNTIF('Model info'!$J$12,'Ecotox data'!C63)=1,6,IF(COUNTIF('Model info'!$K$12,'Ecotox data'!D63)=1,5,IF(COUNTIF('Model info'!$L$12,'Ecotox data'!E63)=1,4,IF(COUNTIF('Model info'!$M$12,'Ecotox data'!F63)=1,3,IF(COUNTIF('Model info'!$N$12,'Ecotox data'!G63)=1,2,IF(COUNTIF('Model info'!$O$12,'Ecotox data'!H63)=1,1,0)))))))</f>
        <v>0</v>
      </c>
      <c r="M68" s="182">
        <f t="shared" si="5"/>
        <v>1</v>
      </c>
      <c r="N68" s="35"/>
      <c r="O68" s="27">
        <f>IF(AND('Ecotox data'!M63&gt;='Model info'!$E$12,'Ecotox data'!M63&lt;='Model info'!$E$13),1,0)</f>
        <v>1</v>
      </c>
      <c r="P68" s="172">
        <f>IF(COUNTIF('Model info'!$H$14,'Ecotox data'!B63)=1,7,IF(COUNTIF('Model info'!$J$14,'Ecotox data'!C63)=1,6,IF(COUNTIF('Model info'!$K$14,'Ecotox data'!D63)=1,5,IF(COUNTIF('Model info'!$L$14,'Ecotox data'!E63)=1,4,IF(COUNTIF('Model info'!$M$14,'Ecotox data'!F63)=1,3,IF(COUNTIF('Model info'!$N$14,'Ecotox data'!G63)=1,2,IF(COUNTIF('Model info'!$O$14,'Ecotox data'!H63)=1,1,0)))))))</f>
        <v>7</v>
      </c>
      <c r="Q68" s="177">
        <f t="shared" si="6"/>
        <v>8</v>
      </c>
      <c r="R68" s="35"/>
      <c r="S68" s="27">
        <f>IF(AND('Ecotox data'!P63&gt;='Model info'!$C$16,'Ecotox data'!P63&lt;='Model info'!$C$17,'Ecotox data'!U63&gt;='Model info'!$D$16,'Ecotox data'!U63&lt;='Model info'!$D$17,'Ecotox data'!M63&gt;='Model info'!$E$16,'Ecotox data'!M63&lt;='Model info'!$E$17),1,0)</f>
        <v>1</v>
      </c>
      <c r="T68" s="165">
        <f>IF(COUNTIF('Model info'!$H$16,'Ecotox data'!B63)=1,7,IF(COUNTIF('Model info'!$J$16,'Ecotox data'!C63)=1,6,IF(COUNTIF('Model info'!$K$16,'Ecotox data'!D63)=1,5,IF(COUNTIF('Model info'!$L$16,'Ecotox data'!E63)=1,4,IF(COUNTIF('Model info'!$M$16,'Ecotox data'!F63)=1,3,IF(COUNTIF('Model info'!$N$16,'Ecotox data'!G63)=1,2,IF(COUNTIF('Model info'!$O$16,'Ecotox data'!H63)=1,1,0)))))))</f>
        <v>1</v>
      </c>
      <c r="U68" s="182">
        <f t="shared" si="7"/>
        <v>2</v>
      </c>
      <c r="V68" s="35"/>
      <c r="W68" s="27">
        <f>IF(AND('Ecotox data'!P63&gt;='Model info'!$C$20,'Ecotox data'!P63&lt;='Model info'!$C$21,'Ecotox data'!U63&gt;='Model info'!$D$20,'Ecotox data'!U63&lt;='Model info'!$D$21,'Ecotox data'!M63&gt;='Model info'!$E$20,'Ecotox data'!M63&lt;='Model info'!$E$21),1,0)</f>
        <v>1</v>
      </c>
      <c r="X68" s="171">
        <f>IF(COUNTIF('Model info'!$H$18:$H$24,'Ecotox data'!B63)=1,7,IF(COUNTIF('Model info'!$J$18:$J$24,'Ecotox data'!C63)=1,6,IF(COUNTIF('Model info'!$K$18:$K$24,'Ecotox data'!D63)=1,5,IF(COUNTIF('Model info'!$L$2:$L$24,'Ecotox data'!E63)=1,4,IF(COUNTIF('Model info'!$M$18:$M$24,'Ecotox data'!F63)=1,3,IF(COUNTIF('Model info'!$N$18:$N$24,'Ecotox data'!G63)=1,2,IF(COUNTIF('Model info'!$O$18:$O$24,'Ecotox data'!H63)=1,1,0)))))))</f>
        <v>7</v>
      </c>
      <c r="Y68" s="177">
        <f t="shared" si="8"/>
        <v>8</v>
      </c>
    </row>
    <row r="69" spans="5:25">
      <c r="E69" s="29">
        <v>58</v>
      </c>
      <c r="F69" s="262" t="s">
        <v>38</v>
      </c>
      <c r="G69" s="27">
        <f>IF(AND('Ecotox data'!P64&gt;='Model info'!$C$4,'Ecotox data'!P64&lt;='Model info'!$C$5),1,0)</f>
        <v>1</v>
      </c>
      <c r="H69" s="171">
        <f>IF(COUNTIF('Model info'!$H$4:$H$10,'Ecotox data'!B64)=1,7,IF(COUNTIF('Model info'!$J$4:$J$10,'Ecotox data'!C64)=1,6,IF(COUNTIF('Model info'!$K$4:$K$10,'Ecotox data'!D64)=1,5,IF(COUNTIF('Model info'!$L$4:$L$10,'Ecotox data'!E64)=1,4,IF(COUNTIF('Model info'!$M$4:$M$10,'Ecotox data'!F64)=1,3,IF(COUNTIF('Model info'!$N$4:$N$10,'Ecotox data'!G64)=1,2,IF(COUNTIF('Model info'!$O$4:$O$10,'Ecotox data'!H64)=1,1,0)))))))</f>
        <v>7</v>
      </c>
      <c r="I69" s="177">
        <f t="shared" si="0"/>
        <v>8</v>
      </c>
      <c r="J69" s="35"/>
      <c r="K69" s="27">
        <f>IF(AND('Ecotox data'!U64&gt;='Model info'!$D$8,'Ecotox data'!U64&lt;='Model info'!$D$9),1,0)</f>
        <v>1</v>
      </c>
      <c r="L69" s="163">
        <f>IF(COUNTIF('Model info'!$H$12,'Ecotox data'!B64)=1,7,IF(COUNTIF('Model info'!$J$12,'Ecotox data'!C64)=1,6,IF(COUNTIF('Model info'!$K$12,'Ecotox data'!D64)=1,5,IF(COUNTIF('Model info'!$L$12,'Ecotox data'!E64)=1,4,IF(COUNTIF('Model info'!$M$12,'Ecotox data'!F64)=1,3,IF(COUNTIF('Model info'!$N$12,'Ecotox data'!G64)=1,2,IF(COUNTIF('Model info'!$O$12,'Ecotox data'!H64)=1,1,0)))))))</f>
        <v>0</v>
      </c>
      <c r="M69" s="182">
        <f t="shared" si="5"/>
        <v>1</v>
      </c>
      <c r="N69" s="35"/>
      <c r="O69" s="27">
        <f>IF(AND('Ecotox data'!M64&gt;='Model info'!$E$12,'Ecotox data'!M64&lt;='Model info'!$E$13),1,0)</f>
        <v>1</v>
      </c>
      <c r="P69" s="172">
        <f>IF(COUNTIF('Model info'!$H$14,'Ecotox data'!B64)=1,7,IF(COUNTIF('Model info'!$J$14,'Ecotox data'!C64)=1,6,IF(COUNTIF('Model info'!$K$14,'Ecotox data'!D64)=1,5,IF(COUNTIF('Model info'!$L$14,'Ecotox data'!E64)=1,4,IF(COUNTIF('Model info'!$M$14,'Ecotox data'!F64)=1,3,IF(COUNTIF('Model info'!$N$14,'Ecotox data'!G64)=1,2,IF(COUNTIF('Model info'!$O$14,'Ecotox data'!H64)=1,1,0)))))))</f>
        <v>7</v>
      </c>
      <c r="Q69" s="177">
        <f t="shared" si="6"/>
        <v>8</v>
      </c>
      <c r="R69" s="35"/>
      <c r="S69" s="27">
        <f>IF(AND('Ecotox data'!P64&gt;='Model info'!$C$16,'Ecotox data'!P64&lt;='Model info'!$C$17,'Ecotox data'!U64&gt;='Model info'!$D$16,'Ecotox data'!U64&lt;='Model info'!$D$17,'Ecotox data'!M64&gt;='Model info'!$E$16,'Ecotox data'!M64&lt;='Model info'!$E$17),1,0)</f>
        <v>1</v>
      </c>
      <c r="T69" s="165">
        <f>IF(COUNTIF('Model info'!$H$16,'Ecotox data'!B64)=1,7,IF(COUNTIF('Model info'!$J$16,'Ecotox data'!C64)=1,6,IF(COUNTIF('Model info'!$K$16,'Ecotox data'!D64)=1,5,IF(COUNTIF('Model info'!$L$16,'Ecotox data'!E64)=1,4,IF(COUNTIF('Model info'!$M$16,'Ecotox data'!F64)=1,3,IF(COUNTIF('Model info'!$N$16,'Ecotox data'!G64)=1,2,IF(COUNTIF('Model info'!$O$16,'Ecotox data'!H64)=1,1,0)))))))</f>
        <v>1</v>
      </c>
      <c r="U69" s="182">
        <f t="shared" si="7"/>
        <v>2</v>
      </c>
      <c r="V69" s="35"/>
      <c r="W69" s="27">
        <f>IF(AND('Ecotox data'!P64&gt;='Model info'!$C$20,'Ecotox data'!P64&lt;='Model info'!$C$21,'Ecotox data'!U64&gt;='Model info'!$D$20,'Ecotox data'!U64&lt;='Model info'!$D$21,'Ecotox data'!M64&gt;='Model info'!$E$20,'Ecotox data'!M64&lt;='Model info'!$E$21),1,0)</f>
        <v>1</v>
      </c>
      <c r="X69" s="171">
        <f>IF(COUNTIF('Model info'!$H$18:$H$24,'Ecotox data'!B64)=1,7,IF(COUNTIF('Model info'!$J$18:$J$24,'Ecotox data'!C64)=1,6,IF(COUNTIF('Model info'!$K$18:$K$24,'Ecotox data'!D64)=1,5,IF(COUNTIF('Model info'!$L$2:$L$24,'Ecotox data'!E64)=1,4,IF(COUNTIF('Model info'!$M$18:$M$24,'Ecotox data'!F64)=1,3,IF(COUNTIF('Model info'!$N$18:$N$24,'Ecotox data'!G64)=1,2,IF(COUNTIF('Model info'!$O$18:$O$24,'Ecotox data'!H64)=1,1,0)))))))</f>
        <v>7</v>
      </c>
      <c r="Y69" s="177">
        <f t="shared" si="8"/>
        <v>8</v>
      </c>
    </row>
    <row r="70" spans="5:25">
      <c r="E70" s="29">
        <v>59</v>
      </c>
      <c r="F70" s="262" t="s">
        <v>38</v>
      </c>
      <c r="G70" s="27">
        <f>IF(AND('Ecotox data'!P65&gt;='Model info'!$C$4,'Ecotox data'!P65&lt;='Model info'!$C$5),1,0)</f>
        <v>1</v>
      </c>
      <c r="H70" s="171">
        <f>IF(COUNTIF('Model info'!$H$4:$H$10,'Ecotox data'!B65)=1,7,IF(COUNTIF('Model info'!$J$4:$J$10,'Ecotox data'!C65)=1,6,IF(COUNTIF('Model info'!$K$4:$K$10,'Ecotox data'!D65)=1,5,IF(COUNTIF('Model info'!$L$4:$L$10,'Ecotox data'!E65)=1,4,IF(COUNTIF('Model info'!$M$4:$M$10,'Ecotox data'!F65)=1,3,IF(COUNTIF('Model info'!$N$4:$N$10,'Ecotox data'!G65)=1,2,IF(COUNTIF('Model info'!$O$4:$O$10,'Ecotox data'!H65)=1,1,0)))))))</f>
        <v>7</v>
      </c>
      <c r="I70" s="177">
        <f t="shared" si="0"/>
        <v>8</v>
      </c>
      <c r="J70" s="35"/>
      <c r="K70" s="27">
        <f>IF(AND('Ecotox data'!U65&gt;='Model info'!$D$8,'Ecotox data'!U65&lt;='Model info'!$D$9),1,0)</f>
        <v>1</v>
      </c>
      <c r="L70" s="163">
        <f>IF(COUNTIF('Model info'!$H$12,'Ecotox data'!B65)=1,7,IF(COUNTIF('Model info'!$J$12,'Ecotox data'!C65)=1,6,IF(COUNTIF('Model info'!$K$12,'Ecotox data'!D65)=1,5,IF(COUNTIF('Model info'!$L$12,'Ecotox data'!E65)=1,4,IF(COUNTIF('Model info'!$M$12,'Ecotox data'!F65)=1,3,IF(COUNTIF('Model info'!$N$12,'Ecotox data'!G65)=1,2,IF(COUNTIF('Model info'!$O$12,'Ecotox data'!H65)=1,1,0)))))))</f>
        <v>0</v>
      </c>
      <c r="M70" s="182">
        <f t="shared" si="5"/>
        <v>1</v>
      </c>
      <c r="N70" s="35"/>
      <c r="O70" s="27">
        <f>IF(AND('Ecotox data'!M65&gt;='Model info'!$E$12,'Ecotox data'!M65&lt;='Model info'!$E$13),1,0)</f>
        <v>1</v>
      </c>
      <c r="P70" s="172">
        <f>IF(COUNTIF('Model info'!$H$14,'Ecotox data'!B65)=1,7,IF(COUNTIF('Model info'!$J$14,'Ecotox data'!C65)=1,6,IF(COUNTIF('Model info'!$K$14,'Ecotox data'!D65)=1,5,IF(COUNTIF('Model info'!$L$14,'Ecotox data'!E65)=1,4,IF(COUNTIF('Model info'!$M$14,'Ecotox data'!F65)=1,3,IF(COUNTIF('Model info'!$N$14,'Ecotox data'!G65)=1,2,IF(COUNTIF('Model info'!$O$14,'Ecotox data'!H65)=1,1,0)))))))</f>
        <v>7</v>
      </c>
      <c r="Q70" s="177">
        <f t="shared" si="6"/>
        <v>8</v>
      </c>
      <c r="R70" s="35"/>
      <c r="S70" s="27">
        <f>IF(AND('Ecotox data'!P65&gt;='Model info'!$C$16,'Ecotox data'!P65&lt;='Model info'!$C$17,'Ecotox data'!U65&gt;='Model info'!$D$16,'Ecotox data'!U65&lt;='Model info'!$D$17,'Ecotox data'!M65&gt;='Model info'!$E$16,'Ecotox data'!M65&lt;='Model info'!$E$17),1,0)</f>
        <v>1</v>
      </c>
      <c r="T70" s="165">
        <f>IF(COUNTIF('Model info'!$H$16,'Ecotox data'!B65)=1,7,IF(COUNTIF('Model info'!$J$16,'Ecotox data'!C65)=1,6,IF(COUNTIF('Model info'!$K$16,'Ecotox data'!D65)=1,5,IF(COUNTIF('Model info'!$L$16,'Ecotox data'!E65)=1,4,IF(COUNTIF('Model info'!$M$16,'Ecotox data'!F65)=1,3,IF(COUNTIF('Model info'!$N$16,'Ecotox data'!G65)=1,2,IF(COUNTIF('Model info'!$O$16,'Ecotox data'!H65)=1,1,0)))))))</f>
        <v>1</v>
      </c>
      <c r="U70" s="182">
        <f t="shared" si="7"/>
        <v>2</v>
      </c>
      <c r="V70" s="35"/>
      <c r="W70" s="27">
        <f>IF(AND('Ecotox data'!P65&gt;='Model info'!$C$20,'Ecotox data'!P65&lt;='Model info'!$C$21,'Ecotox data'!U65&gt;='Model info'!$D$20,'Ecotox data'!U65&lt;='Model info'!$D$21,'Ecotox data'!M65&gt;='Model info'!$E$20,'Ecotox data'!M65&lt;='Model info'!$E$21),1,0)</f>
        <v>1</v>
      </c>
      <c r="X70" s="171">
        <f>IF(COUNTIF('Model info'!$H$18:$H$24,'Ecotox data'!B65)=1,7,IF(COUNTIF('Model info'!$J$18:$J$24,'Ecotox data'!C65)=1,6,IF(COUNTIF('Model info'!$K$18:$K$24,'Ecotox data'!D65)=1,5,IF(COUNTIF('Model info'!$L$2:$L$24,'Ecotox data'!E65)=1,4,IF(COUNTIF('Model info'!$M$18:$M$24,'Ecotox data'!F65)=1,3,IF(COUNTIF('Model info'!$N$18:$N$24,'Ecotox data'!G65)=1,2,IF(COUNTIF('Model info'!$O$18:$O$24,'Ecotox data'!H65)=1,1,0)))))))</f>
        <v>7</v>
      </c>
      <c r="Y70" s="177">
        <f t="shared" si="8"/>
        <v>8</v>
      </c>
    </row>
    <row r="71" spans="5:25">
      <c r="E71" s="29">
        <v>60</v>
      </c>
      <c r="F71" s="262" t="s">
        <v>38</v>
      </c>
      <c r="G71" s="27">
        <f>IF(AND('Ecotox data'!P66&gt;='Model info'!$C$4,'Ecotox data'!P66&lt;='Model info'!$C$5),1,0)</f>
        <v>1</v>
      </c>
      <c r="H71" s="171">
        <f>IF(COUNTIF('Model info'!$H$4:$H$10,'Ecotox data'!B66)=1,7,IF(COUNTIF('Model info'!$J$4:$J$10,'Ecotox data'!C66)=1,6,IF(COUNTIF('Model info'!$K$4:$K$10,'Ecotox data'!D66)=1,5,IF(COUNTIF('Model info'!$L$4:$L$10,'Ecotox data'!E66)=1,4,IF(COUNTIF('Model info'!$M$4:$M$10,'Ecotox data'!F66)=1,3,IF(COUNTIF('Model info'!$N$4:$N$10,'Ecotox data'!G66)=1,2,IF(COUNTIF('Model info'!$O$4:$O$10,'Ecotox data'!H66)=1,1,0)))))))</f>
        <v>7</v>
      </c>
      <c r="I71" s="177">
        <f t="shared" si="0"/>
        <v>8</v>
      </c>
      <c r="J71" s="35"/>
      <c r="K71" s="27">
        <f>IF(AND('Ecotox data'!U66&gt;='Model info'!$D$8,'Ecotox data'!U66&lt;='Model info'!$D$9),1,0)</f>
        <v>1</v>
      </c>
      <c r="L71" s="163">
        <f>IF(COUNTIF('Model info'!$H$12,'Ecotox data'!B66)=1,7,IF(COUNTIF('Model info'!$J$12,'Ecotox data'!C66)=1,6,IF(COUNTIF('Model info'!$K$12,'Ecotox data'!D66)=1,5,IF(COUNTIF('Model info'!$L$12,'Ecotox data'!E66)=1,4,IF(COUNTIF('Model info'!$M$12,'Ecotox data'!F66)=1,3,IF(COUNTIF('Model info'!$N$12,'Ecotox data'!G66)=1,2,IF(COUNTIF('Model info'!$O$12,'Ecotox data'!H66)=1,1,0)))))))</f>
        <v>0</v>
      </c>
      <c r="M71" s="182">
        <f t="shared" si="5"/>
        <v>1</v>
      </c>
      <c r="N71" s="35"/>
      <c r="O71" s="27">
        <f>IF(AND('Ecotox data'!M66&gt;='Model info'!$E$12,'Ecotox data'!M66&lt;='Model info'!$E$13),1,0)</f>
        <v>1</v>
      </c>
      <c r="P71" s="172">
        <f>IF(COUNTIF('Model info'!$H$14,'Ecotox data'!B66)=1,7,IF(COUNTIF('Model info'!$J$14,'Ecotox data'!C66)=1,6,IF(COUNTIF('Model info'!$K$14,'Ecotox data'!D66)=1,5,IF(COUNTIF('Model info'!$L$14,'Ecotox data'!E66)=1,4,IF(COUNTIF('Model info'!$M$14,'Ecotox data'!F66)=1,3,IF(COUNTIF('Model info'!$N$14,'Ecotox data'!G66)=1,2,IF(COUNTIF('Model info'!$O$14,'Ecotox data'!H66)=1,1,0)))))))</f>
        <v>7</v>
      </c>
      <c r="Q71" s="177">
        <f t="shared" si="6"/>
        <v>8</v>
      </c>
      <c r="R71" s="35"/>
      <c r="S71" s="27">
        <f>IF(AND('Ecotox data'!P66&gt;='Model info'!$C$16,'Ecotox data'!P66&lt;='Model info'!$C$17,'Ecotox data'!U66&gt;='Model info'!$D$16,'Ecotox data'!U66&lt;='Model info'!$D$17,'Ecotox data'!M66&gt;='Model info'!$E$16,'Ecotox data'!M66&lt;='Model info'!$E$17),1,0)</f>
        <v>1</v>
      </c>
      <c r="T71" s="165">
        <f>IF(COUNTIF('Model info'!$H$16,'Ecotox data'!B66)=1,7,IF(COUNTIF('Model info'!$J$16,'Ecotox data'!C66)=1,6,IF(COUNTIF('Model info'!$K$16,'Ecotox data'!D66)=1,5,IF(COUNTIF('Model info'!$L$16,'Ecotox data'!E66)=1,4,IF(COUNTIF('Model info'!$M$16,'Ecotox data'!F66)=1,3,IF(COUNTIF('Model info'!$N$16,'Ecotox data'!G66)=1,2,IF(COUNTIF('Model info'!$O$16,'Ecotox data'!H66)=1,1,0)))))))</f>
        <v>1</v>
      </c>
      <c r="U71" s="182">
        <f t="shared" si="7"/>
        <v>2</v>
      </c>
      <c r="V71" s="35"/>
      <c r="W71" s="27">
        <f>IF(AND('Ecotox data'!P66&gt;='Model info'!$C$20,'Ecotox data'!P66&lt;='Model info'!$C$21,'Ecotox data'!U66&gt;='Model info'!$D$20,'Ecotox data'!U66&lt;='Model info'!$D$21,'Ecotox data'!M66&gt;='Model info'!$E$20,'Ecotox data'!M66&lt;='Model info'!$E$21),1,0)</f>
        <v>1</v>
      </c>
      <c r="X71" s="171">
        <f>IF(COUNTIF('Model info'!$H$18:$H$24,'Ecotox data'!B66)=1,7,IF(COUNTIF('Model info'!$J$18:$J$24,'Ecotox data'!C66)=1,6,IF(COUNTIF('Model info'!$K$18:$K$24,'Ecotox data'!D66)=1,5,IF(COUNTIF('Model info'!$L$2:$L$24,'Ecotox data'!E66)=1,4,IF(COUNTIF('Model info'!$M$18:$M$24,'Ecotox data'!F66)=1,3,IF(COUNTIF('Model info'!$N$18:$N$24,'Ecotox data'!G66)=1,2,IF(COUNTIF('Model info'!$O$18:$O$24,'Ecotox data'!H66)=1,1,0)))))))</f>
        <v>7</v>
      </c>
      <c r="Y71" s="177">
        <f t="shared" si="8"/>
        <v>8</v>
      </c>
    </row>
    <row r="72" spans="5:25">
      <c r="E72" s="29">
        <v>61</v>
      </c>
      <c r="F72" s="262" t="s">
        <v>38</v>
      </c>
      <c r="G72" s="27">
        <f>IF(AND('Ecotox data'!P67&gt;='Model info'!$C$4,'Ecotox data'!P67&lt;='Model info'!$C$5),1,0)</f>
        <v>1</v>
      </c>
      <c r="H72" s="171">
        <f>IF(COUNTIF('Model info'!$H$4:$H$10,'Ecotox data'!B67)=1,7,IF(COUNTIF('Model info'!$J$4:$J$10,'Ecotox data'!C67)=1,6,IF(COUNTIF('Model info'!$K$4:$K$10,'Ecotox data'!D67)=1,5,IF(COUNTIF('Model info'!$L$4:$L$10,'Ecotox data'!E67)=1,4,IF(COUNTIF('Model info'!$M$4:$M$10,'Ecotox data'!F67)=1,3,IF(COUNTIF('Model info'!$N$4:$N$10,'Ecotox data'!G67)=1,2,IF(COUNTIF('Model info'!$O$4:$O$10,'Ecotox data'!H67)=1,1,0)))))))</f>
        <v>7</v>
      </c>
      <c r="I72" s="177">
        <f t="shared" si="0"/>
        <v>8</v>
      </c>
      <c r="J72" s="35"/>
      <c r="K72" s="27">
        <f>IF(AND('Ecotox data'!U67&gt;='Model info'!$D$8,'Ecotox data'!U67&lt;='Model info'!$D$9),1,0)</f>
        <v>1</v>
      </c>
      <c r="L72" s="163">
        <f>IF(COUNTIF('Model info'!$H$12,'Ecotox data'!B67)=1,7,IF(COUNTIF('Model info'!$J$12,'Ecotox data'!C67)=1,6,IF(COUNTIF('Model info'!$K$12,'Ecotox data'!D67)=1,5,IF(COUNTIF('Model info'!$L$12,'Ecotox data'!E67)=1,4,IF(COUNTIF('Model info'!$M$12,'Ecotox data'!F67)=1,3,IF(COUNTIF('Model info'!$N$12,'Ecotox data'!G67)=1,2,IF(COUNTIF('Model info'!$O$12,'Ecotox data'!H67)=1,1,0)))))))</f>
        <v>0</v>
      </c>
      <c r="M72" s="182">
        <f t="shared" si="5"/>
        <v>1</v>
      </c>
      <c r="N72" s="35"/>
      <c r="O72" s="27">
        <f>IF(AND('Ecotox data'!M67&gt;='Model info'!$E$12,'Ecotox data'!M67&lt;='Model info'!$E$13),1,0)</f>
        <v>1</v>
      </c>
      <c r="P72" s="172">
        <f>IF(COUNTIF('Model info'!$H$14,'Ecotox data'!B67)=1,7,IF(COUNTIF('Model info'!$J$14,'Ecotox data'!C67)=1,6,IF(COUNTIF('Model info'!$K$14,'Ecotox data'!D67)=1,5,IF(COUNTIF('Model info'!$L$14,'Ecotox data'!E67)=1,4,IF(COUNTIF('Model info'!$M$14,'Ecotox data'!F67)=1,3,IF(COUNTIF('Model info'!$N$14,'Ecotox data'!G67)=1,2,IF(COUNTIF('Model info'!$O$14,'Ecotox data'!H67)=1,1,0)))))))</f>
        <v>7</v>
      </c>
      <c r="Q72" s="177">
        <f t="shared" si="6"/>
        <v>8</v>
      </c>
      <c r="R72" s="35"/>
      <c r="S72" s="27">
        <f>IF(AND('Ecotox data'!P67&gt;='Model info'!$C$16,'Ecotox data'!P67&lt;='Model info'!$C$17,'Ecotox data'!U67&gt;='Model info'!$D$16,'Ecotox data'!U67&lt;='Model info'!$D$17,'Ecotox data'!M67&gt;='Model info'!$E$16,'Ecotox data'!M67&lt;='Model info'!$E$17),1,0)</f>
        <v>1</v>
      </c>
      <c r="T72" s="165">
        <f>IF(COUNTIF('Model info'!$H$16,'Ecotox data'!B67)=1,7,IF(COUNTIF('Model info'!$J$16,'Ecotox data'!C67)=1,6,IF(COUNTIF('Model info'!$K$16,'Ecotox data'!D67)=1,5,IF(COUNTIF('Model info'!$L$16,'Ecotox data'!E67)=1,4,IF(COUNTIF('Model info'!$M$16,'Ecotox data'!F67)=1,3,IF(COUNTIF('Model info'!$N$16,'Ecotox data'!G67)=1,2,IF(COUNTIF('Model info'!$O$16,'Ecotox data'!H67)=1,1,0)))))))</f>
        <v>1</v>
      </c>
      <c r="U72" s="182">
        <f t="shared" si="7"/>
        <v>2</v>
      </c>
      <c r="V72" s="35"/>
      <c r="W72" s="27">
        <f>IF(AND('Ecotox data'!P67&gt;='Model info'!$C$20,'Ecotox data'!P67&lt;='Model info'!$C$21,'Ecotox data'!U67&gt;='Model info'!$D$20,'Ecotox data'!U67&lt;='Model info'!$D$21,'Ecotox data'!M67&gt;='Model info'!$E$20,'Ecotox data'!M67&lt;='Model info'!$E$21),1,0)</f>
        <v>1</v>
      </c>
      <c r="X72" s="171">
        <f>IF(COUNTIF('Model info'!$H$18:$H$24,'Ecotox data'!B67)=1,7,IF(COUNTIF('Model info'!$J$18:$J$24,'Ecotox data'!C67)=1,6,IF(COUNTIF('Model info'!$K$18:$K$24,'Ecotox data'!D67)=1,5,IF(COUNTIF('Model info'!$L$2:$L$24,'Ecotox data'!E67)=1,4,IF(COUNTIF('Model info'!$M$18:$M$24,'Ecotox data'!F67)=1,3,IF(COUNTIF('Model info'!$N$18:$N$24,'Ecotox data'!G67)=1,2,IF(COUNTIF('Model info'!$O$18:$O$24,'Ecotox data'!H67)=1,1,0)))))))</f>
        <v>7</v>
      </c>
      <c r="Y72" s="177">
        <f t="shared" si="8"/>
        <v>8</v>
      </c>
    </row>
    <row r="73" spans="5:25">
      <c r="E73" s="29">
        <v>62</v>
      </c>
      <c r="F73" s="262" t="s">
        <v>38</v>
      </c>
      <c r="G73" s="129">
        <f>IF(AND('Ecotox data'!P68&gt;='Model info'!$C$4,'Ecotox data'!P68&lt;='Model info'!$C$5),1,0)</f>
        <v>0</v>
      </c>
      <c r="H73" s="171">
        <f>IF(COUNTIF('Model info'!$H$4:$H$10,'Ecotox data'!B68)=1,7,IF(COUNTIF('Model info'!$J$4:$J$10,'Ecotox data'!C68)=1,6,IF(COUNTIF('Model info'!$K$4:$K$10,'Ecotox data'!D68)=1,5,IF(COUNTIF('Model info'!$L$4:$L$10,'Ecotox data'!E68)=1,4,IF(COUNTIF('Model info'!$M$4:$M$10,'Ecotox data'!F68)=1,3,IF(COUNTIF('Model info'!$N$4:$N$10,'Ecotox data'!G68)=1,2,IF(COUNTIF('Model info'!$O$4:$O$10,'Ecotox data'!H68)=1,1,0)))))))</f>
        <v>7</v>
      </c>
      <c r="I73" s="177">
        <f t="shared" si="0"/>
        <v>7</v>
      </c>
      <c r="J73" s="35"/>
      <c r="K73" s="27">
        <f>IF(AND('Ecotox data'!U68&gt;='Model info'!$D$8,'Ecotox data'!U68&lt;='Model info'!$D$9),1,0)</f>
        <v>1</v>
      </c>
      <c r="L73" s="163">
        <f>IF(COUNTIF('Model info'!$H$12,'Ecotox data'!B68)=1,7,IF(COUNTIF('Model info'!$J$12,'Ecotox data'!C68)=1,6,IF(COUNTIF('Model info'!$K$12,'Ecotox data'!D68)=1,5,IF(COUNTIF('Model info'!$L$12,'Ecotox data'!E68)=1,4,IF(COUNTIF('Model info'!$M$12,'Ecotox data'!F68)=1,3,IF(COUNTIF('Model info'!$N$12,'Ecotox data'!G68)=1,2,IF(COUNTIF('Model info'!$O$12,'Ecotox data'!H68)=1,1,0)))))))</f>
        <v>0</v>
      </c>
      <c r="M73" s="182">
        <f t="shared" si="5"/>
        <v>1</v>
      </c>
      <c r="N73" s="35"/>
      <c r="O73" s="27">
        <f>IF(AND('Ecotox data'!M68&gt;='Model info'!$E$12,'Ecotox data'!M68&lt;='Model info'!$E$13),1,0)</f>
        <v>1</v>
      </c>
      <c r="P73" s="172">
        <f>IF(COUNTIF('Model info'!$H$14,'Ecotox data'!B68)=1,7,IF(COUNTIF('Model info'!$J$14,'Ecotox data'!C68)=1,6,IF(COUNTIF('Model info'!$K$14,'Ecotox data'!D68)=1,5,IF(COUNTIF('Model info'!$L$14,'Ecotox data'!E68)=1,4,IF(COUNTIF('Model info'!$M$14,'Ecotox data'!F68)=1,3,IF(COUNTIF('Model info'!$N$14,'Ecotox data'!G68)=1,2,IF(COUNTIF('Model info'!$O$14,'Ecotox data'!H68)=1,1,0)))))))</f>
        <v>7</v>
      </c>
      <c r="Q73" s="177">
        <f t="shared" si="6"/>
        <v>8</v>
      </c>
      <c r="R73" s="35"/>
      <c r="S73" s="129">
        <f>IF(AND('Ecotox data'!P68&gt;='Model info'!$C$16,'Ecotox data'!P68&lt;='Model info'!$C$17,'Ecotox data'!U68&gt;='Model info'!$D$16,'Ecotox data'!U68&lt;='Model info'!$D$17,'Ecotox data'!M68&gt;='Model info'!$E$16,'Ecotox data'!M68&lt;='Model info'!$E$17),1,0)</f>
        <v>0</v>
      </c>
      <c r="T73" s="165">
        <f>IF(COUNTIF('Model info'!$H$16,'Ecotox data'!B68)=1,7,IF(COUNTIF('Model info'!$J$16,'Ecotox data'!C68)=1,6,IF(COUNTIF('Model info'!$K$16,'Ecotox data'!D68)=1,5,IF(COUNTIF('Model info'!$L$16,'Ecotox data'!E68)=1,4,IF(COUNTIF('Model info'!$M$16,'Ecotox data'!F68)=1,3,IF(COUNTIF('Model info'!$N$16,'Ecotox data'!G68)=1,2,IF(COUNTIF('Model info'!$O$16,'Ecotox data'!H68)=1,1,0)))))))</f>
        <v>1</v>
      </c>
      <c r="U73" s="182">
        <f t="shared" si="7"/>
        <v>1</v>
      </c>
      <c r="V73" s="35"/>
      <c r="W73" s="27">
        <f>IF(AND('Ecotox data'!P68&gt;='Model info'!$C$20,'Ecotox data'!P68&lt;='Model info'!$C$21,'Ecotox data'!U68&gt;='Model info'!$D$20,'Ecotox data'!U68&lt;='Model info'!$D$21,'Ecotox data'!M68&gt;='Model info'!$E$20,'Ecotox data'!M68&lt;='Model info'!$E$21),1,0)</f>
        <v>1</v>
      </c>
      <c r="X73" s="171">
        <f>IF(COUNTIF('Model info'!$H$18:$H$24,'Ecotox data'!B68)=1,7,IF(COUNTIF('Model info'!$J$18:$J$24,'Ecotox data'!C68)=1,6,IF(COUNTIF('Model info'!$K$18:$K$24,'Ecotox data'!D68)=1,5,IF(COUNTIF('Model info'!$L$2:$L$24,'Ecotox data'!E68)=1,4,IF(COUNTIF('Model info'!$M$18:$M$24,'Ecotox data'!F68)=1,3,IF(COUNTIF('Model info'!$N$18:$N$24,'Ecotox data'!G68)=1,2,IF(COUNTIF('Model info'!$O$18:$O$24,'Ecotox data'!H68)=1,1,0)))))))</f>
        <v>7</v>
      </c>
      <c r="Y73" s="177">
        <f t="shared" si="8"/>
        <v>8</v>
      </c>
    </row>
    <row r="74" spans="5:25">
      <c r="E74" s="29">
        <v>63</v>
      </c>
      <c r="F74" s="262" t="s">
        <v>38</v>
      </c>
      <c r="G74" s="27">
        <f>IF(AND('Ecotox data'!P69&gt;='Model info'!$C$4,'Ecotox data'!P69&lt;='Model info'!$C$5),1,0)</f>
        <v>1</v>
      </c>
      <c r="H74" s="171">
        <f>IF(COUNTIF('Model info'!$H$4:$H$10,'Ecotox data'!B69)=1,7,IF(COUNTIF('Model info'!$J$4:$J$10,'Ecotox data'!C69)=1,6,IF(COUNTIF('Model info'!$K$4:$K$10,'Ecotox data'!D69)=1,5,IF(COUNTIF('Model info'!$L$4:$L$10,'Ecotox data'!E69)=1,4,IF(COUNTIF('Model info'!$M$4:$M$10,'Ecotox data'!F69)=1,3,IF(COUNTIF('Model info'!$N$4:$N$10,'Ecotox data'!G69)=1,2,IF(COUNTIF('Model info'!$O$4:$O$10,'Ecotox data'!H69)=1,1,0)))))))</f>
        <v>7</v>
      </c>
      <c r="I74" s="177">
        <f t="shared" si="0"/>
        <v>8</v>
      </c>
      <c r="J74" s="35"/>
      <c r="K74" s="27">
        <f>IF(AND('Ecotox data'!U69&gt;='Model info'!$D$8,'Ecotox data'!U69&lt;='Model info'!$D$9),1,0)</f>
        <v>1</v>
      </c>
      <c r="L74" s="163">
        <f>IF(COUNTIF('Model info'!$H$12,'Ecotox data'!B69)=1,7,IF(COUNTIF('Model info'!$J$12,'Ecotox data'!C69)=1,6,IF(COUNTIF('Model info'!$K$12,'Ecotox data'!D69)=1,5,IF(COUNTIF('Model info'!$L$12,'Ecotox data'!E69)=1,4,IF(COUNTIF('Model info'!$M$12,'Ecotox data'!F69)=1,3,IF(COUNTIF('Model info'!$N$12,'Ecotox data'!G69)=1,2,IF(COUNTIF('Model info'!$O$12,'Ecotox data'!H69)=1,1,0)))))))</f>
        <v>0</v>
      </c>
      <c r="M74" s="182">
        <f t="shared" si="5"/>
        <v>1</v>
      </c>
      <c r="N74" s="35"/>
      <c r="O74" s="27">
        <f>IF(AND('Ecotox data'!M69&gt;='Model info'!$E$12,'Ecotox data'!M69&lt;='Model info'!$E$13),1,0)</f>
        <v>1</v>
      </c>
      <c r="P74" s="172">
        <f>IF(COUNTIF('Model info'!$H$14,'Ecotox data'!B69)=1,7,IF(COUNTIF('Model info'!$J$14,'Ecotox data'!C69)=1,6,IF(COUNTIF('Model info'!$K$14,'Ecotox data'!D69)=1,5,IF(COUNTIF('Model info'!$L$14,'Ecotox data'!E69)=1,4,IF(COUNTIF('Model info'!$M$14,'Ecotox data'!F69)=1,3,IF(COUNTIF('Model info'!$N$14,'Ecotox data'!G69)=1,2,IF(COUNTIF('Model info'!$O$14,'Ecotox data'!H69)=1,1,0)))))))</f>
        <v>7</v>
      </c>
      <c r="Q74" s="177">
        <f t="shared" si="6"/>
        <v>8</v>
      </c>
      <c r="R74" s="35"/>
      <c r="S74" s="27">
        <f>IF(AND('Ecotox data'!P69&gt;='Model info'!$C$16,'Ecotox data'!P69&lt;='Model info'!$C$17,'Ecotox data'!U69&gt;='Model info'!$D$16,'Ecotox data'!U69&lt;='Model info'!$D$17,'Ecotox data'!M69&gt;='Model info'!$E$16,'Ecotox data'!M69&lt;='Model info'!$E$17),1,0)</f>
        <v>1</v>
      </c>
      <c r="T74" s="165">
        <f>IF(COUNTIF('Model info'!$H$16,'Ecotox data'!B69)=1,7,IF(COUNTIF('Model info'!$J$16,'Ecotox data'!C69)=1,6,IF(COUNTIF('Model info'!$K$16,'Ecotox data'!D69)=1,5,IF(COUNTIF('Model info'!$L$16,'Ecotox data'!E69)=1,4,IF(COUNTIF('Model info'!$M$16,'Ecotox data'!F69)=1,3,IF(COUNTIF('Model info'!$N$16,'Ecotox data'!G69)=1,2,IF(COUNTIF('Model info'!$O$16,'Ecotox data'!H69)=1,1,0)))))))</f>
        <v>1</v>
      </c>
      <c r="U74" s="182">
        <f t="shared" si="7"/>
        <v>2</v>
      </c>
      <c r="V74" s="35"/>
      <c r="W74" s="27">
        <f>IF(AND('Ecotox data'!P69&gt;='Model info'!$C$20,'Ecotox data'!P69&lt;='Model info'!$C$21,'Ecotox data'!U69&gt;='Model info'!$D$20,'Ecotox data'!U69&lt;='Model info'!$D$21,'Ecotox data'!M69&gt;='Model info'!$E$20,'Ecotox data'!M69&lt;='Model info'!$E$21),1,0)</f>
        <v>1</v>
      </c>
      <c r="X74" s="171">
        <f>IF(COUNTIF('Model info'!$H$18:$H$24,'Ecotox data'!B69)=1,7,IF(COUNTIF('Model info'!$J$18:$J$24,'Ecotox data'!C69)=1,6,IF(COUNTIF('Model info'!$K$18:$K$24,'Ecotox data'!D69)=1,5,IF(COUNTIF('Model info'!$L$2:$L$24,'Ecotox data'!E69)=1,4,IF(COUNTIF('Model info'!$M$18:$M$24,'Ecotox data'!F69)=1,3,IF(COUNTIF('Model info'!$N$18:$N$24,'Ecotox data'!G69)=1,2,IF(COUNTIF('Model info'!$O$18:$O$24,'Ecotox data'!H69)=1,1,0)))))))</f>
        <v>7</v>
      </c>
      <c r="Y74" s="177">
        <f t="shared" si="8"/>
        <v>8</v>
      </c>
    </row>
    <row r="75" spans="5:25">
      <c r="E75" s="29">
        <v>64</v>
      </c>
      <c r="F75" s="262" t="s">
        <v>38</v>
      </c>
      <c r="G75" s="27">
        <f>IF(AND('Ecotox data'!P70&gt;='Model info'!$C$4,'Ecotox data'!P70&lt;='Model info'!$C$5),1,0)</f>
        <v>1</v>
      </c>
      <c r="H75" s="171">
        <f>IF(COUNTIF('Model info'!$H$4:$H$10,'Ecotox data'!B70)=1,7,IF(COUNTIF('Model info'!$J$4:$J$10,'Ecotox data'!C70)=1,6,IF(COUNTIF('Model info'!$K$4:$K$10,'Ecotox data'!D70)=1,5,IF(COUNTIF('Model info'!$L$4:$L$10,'Ecotox data'!E70)=1,4,IF(COUNTIF('Model info'!$M$4:$M$10,'Ecotox data'!F70)=1,3,IF(COUNTIF('Model info'!$N$4:$N$10,'Ecotox data'!G70)=1,2,IF(COUNTIF('Model info'!$O$4:$O$10,'Ecotox data'!H70)=1,1,0)))))))</f>
        <v>7</v>
      </c>
      <c r="I75" s="177">
        <f t="shared" ref="I75:I143" si="9">SUM(G75:H75)</f>
        <v>8</v>
      </c>
      <c r="J75" s="35"/>
      <c r="K75" s="27">
        <f>IF(AND('Ecotox data'!U70&gt;='Model info'!$D$8,'Ecotox data'!U70&lt;='Model info'!$D$9),1,0)</f>
        <v>1</v>
      </c>
      <c r="L75" s="163">
        <f>IF(COUNTIF('Model info'!$H$12,'Ecotox data'!B70)=1,7,IF(COUNTIF('Model info'!$J$12,'Ecotox data'!C70)=1,6,IF(COUNTIF('Model info'!$K$12,'Ecotox data'!D70)=1,5,IF(COUNTIF('Model info'!$L$12,'Ecotox data'!E70)=1,4,IF(COUNTIF('Model info'!$M$12,'Ecotox data'!F70)=1,3,IF(COUNTIF('Model info'!$N$12,'Ecotox data'!G70)=1,2,IF(COUNTIF('Model info'!$O$12,'Ecotox data'!H70)=1,1,0)))))))</f>
        <v>0</v>
      </c>
      <c r="M75" s="182">
        <f t="shared" si="5"/>
        <v>1</v>
      </c>
      <c r="N75" s="35"/>
      <c r="O75" s="27">
        <f>IF(AND('Ecotox data'!M70&gt;='Model info'!$E$12,'Ecotox data'!M70&lt;='Model info'!$E$13),1,0)</f>
        <v>1</v>
      </c>
      <c r="P75" s="172">
        <f>IF(COUNTIF('Model info'!$H$14,'Ecotox data'!B70)=1,7,IF(COUNTIF('Model info'!$J$14,'Ecotox data'!C70)=1,6,IF(COUNTIF('Model info'!$K$14,'Ecotox data'!D70)=1,5,IF(COUNTIF('Model info'!$L$14,'Ecotox data'!E70)=1,4,IF(COUNTIF('Model info'!$M$14,'Ecotox data'!F70)=1,3,IF(COUNTIF('Model info'!$N$14,'Ecotox data'!G70)=1,2,IF(COUNTIF('Model info'!$O$14,'Ecotox data'!H70)=1,1,0)))))))</f>
        <v>7</v>
      </c>
      <c r="Q75" s="177">
        <f t="shared" si="6"/>
        <v>8</v>
      </c>
      <c r="R75" s="35"/>
      <c r="S75" s="27">
        <f>IF(AND('Ecotox data'!P70&gt;='Model info'!$C$16,'Ecotox data'!P70&lt;='Model info'!$C$17,'Ecotox data'!U70&gt;='Model info'!$D$16,'Ecotox data'!U70&lt;='Model info'!$D$17,'Ecotox data'!M70&gt;='Model info'!$E$16,'Ecotox data'!M70&lt;='Model info'!$E$17),1,0)</f>
        <v>1</v>
      </c>
      <c r="T75" s="165">
        <f>IF(COUNTIF('Model info'!$H$16,'Ecotox data'!B70)=1,7,IF(COUNTIF('Model info'!$J$16,'Ecotox data'!C70)=1,6,IF(COUNTIF('Model info'!$K$16,'Ecotox data'!D70)=1,5,IF(COUNTIF('Model info'!$L$16,'Ecotox data'!E70)=1,4,IF(COUNTIF('Model info'!$M$16,'Ecotox data'!F70)=1,3,IF(COUNTIF('Model info'!$N$16,'Ecotox data'!G70)=1,2,IF(COUNTIF('Model info'!$O$16,'Ecotox data'!H70)=1,1,0)))))))</f>
        <v>1</v>
      </c>
      <c r="U75" s="182">
        <f t="shared" si="7"/>
        <v>2</v>
      </c>
      <c r="V75" s="35"/>
      <c r="W75" s="27">
        <f>IF(AND('Ecotox data'!P70&gt;='Model info'!$C$20,'Ecotox data'!P70&lt;='Model info'!$C$21,'Ecotox data'!U70&gt;='Model info'!$D$20,'Ecotox data'!U70&lt;='Model info'!$D$21,'Ecotox data'!M70&gt;='Model info'!$E$20,'Ecotox data'!M70&lt;='Model info'!$E$21),1,0)</f>
        <v>1</v>
      </c>
      <c r="X75" s="171">
        <f>IF(COUNTIF('Model info'!$H$18:$H$24,'Ecotox data'!B70)=1,7,IF(COUNTIF('Model info'!$J$18:$J$24,'Ecotox data'!C70)=1,6,IF(COUNTIF('Model info'!$K$18:$K$24,'Ecotox data'!D70)=1,5,IF(COUNTIF('Model info'!$L$2:$L$24,'Ecotox data'!E70)=1,4,IF(COUNTIF('Model info'!$M$18:$M$24,'Ecotox data'!F70)=1,3,IF(COUNTIF('Model info'!$N$18:$N$24,'Ecotox data'!G70)=1,2,IF(COUNTIF('Model info'!$O$18:$O$24,'Ecotox data'!H70)=1,1,0)))))))</f>
        <v>7</v>
      </c>
      <c r="Y75" s="177">
        <f t="shared" si="8"/>
        <v>8</v>
      </c>
    </row>
    <row r="76" spans="5:25">
      <c r="E76" s="29">
        <v>65</v>
      </c>
      <c r="F76" s="262" t="s">
        <v>38</v>
      </c>
      <c r="G76" s="27">
        <f>IF(AND('Ecotox data'!P71&gt;='Model info'!$C$4,'Ecotox data'!P71&lt;='Model info'!$C$5),1,0)</f>
        <v>1</v>
      </c>
      <c r="H76" s="171">
        <f>IF(COUNTIF('Model info'!$H$4:$H$10,'Ecotox data'!B71)=1,7,IF(COUNTIF('Model info'!$J$4:$J$10,'Ecotox data'!C71)=1,6,IF(COUNTIF('Model info'!$K$4:$K$10,'Ecotox data'!D71)=1,5,IF(COUNTIF('Model info'!$L$4:$L$10,'Ecotox data'!E71)=1,4,IF(COUNTIF('Model info'!$M$4:$M$10,'Ecotox data'!F71)=1,3,IF(COUNTIF('Model info'!$N$4:$N$10,'Ecotox data'!G71)=1,2,IF(COUNTIF('Model info'!$O$4:$O$10,'Ecotox data'!H71)=1,1,0)))))))</f>
        <v>7</v>
      </c>
      <c r="I76" s="177">
        <f t="shared" si="9"/>
        <v>8</v>
      </c>
      <c r="J76" s="35"/>
      <c r="K76" s="27">
        <f>IF(AND('Ecotox data'!U71&gt;='Model info'!$D$8,'Ecotox data'!U71&lt;='Model info'!$D$9),1,0)</f>
        <v>1</v>
      </c>
      <c r="L76" s="163">
        <f>IF(COUNTIF('Model info'!$H$12,'Ecotox data'!B71)=1,7,IF(COUNTIF('Model info'!$J$12,'Ecotox data'!C71)=1,6,IF(COUNTIF('Model info'!$K$12,'Ecotox data'!D71)=1,5,IF(COUNTIF('Model info'!$L$12,'Ecotox data'!E71)=1,4,IF(COUNTIF('Model info'!$M$12,'Ecotox data'!F71)=1,3,IF(COUNTIF('Model info'!$N$12,'Ecotox data'!G71)=1,2,IF(COUNTIF('Model info'!$O$12,'Ecotox data'!H71)=1,1,0)))))))</f>
        <v>0</v>
      </c>
      <c r="M76" s="182">
        <f t="shared" si="5"/>
        <v>1</v>
      </c>
      <c r="N76" s="35"/>
      <c r="O76" s="27">
        <f>IF(AND('Ecotox data'!M71&gt;='Model info'!$E$12,'Ecotox data'!M71&lt;='Model info'!$E$13),1,0)</f>
        <v>1</v>
      </c>
      <c r="P76" s="172">
        <f>IF(COUNTIF('Model info'!$H$14,'Ecotox data'!B71)=1,7,IF(COUNTIF('Model info'!$J$14,'Ecotox data'!C71)=1,6,IF(COUNTIF('Model info'!$K$14,'Ecotox data'!D71)=1,5,IF(COUNTIF('Model info'!$L$14,'Ecotox data'!E71)=1,4,IF(COUNTIF('Model info'!$M$14,'Ecotox data'!F71)=1,3,IF(COUNTIF('Model info'!$N$14,'Ecotox data'!G71)=1,2,IF(COUNTIF('Model info'!$O$14,'Ecotox data'!H71)=1,1,0)))))))</f>
        <v>7</v>
      </c>
      <c r="Q76" s="177">
        <f t="shared" si="6"/>
        <v>8</v>
      </c>
      <c r="R76" s="35"/>
      <c r="S76" s="27">
        <f>IF(AND('Ecotox data'!P71&gt;='Model info'!$C$16,'Ecotox data'!P71&lt;='Model info'!$C$17,'Ecotox data'!U71&gt;='Model info'!$D$16,'Ecotox data'!U71&lt;='Model info'!$D$17,'Ecotox data'!M71&gt;='Model info'!$E$16,'Ecotox data'!M71&lt;='Model info'!$E$17),1,0)</f>
        <v>1</v>
      </c>
      <c r="T76" s="165">
        <f>IF(COUNTIF('Model info'!$H$16,'Ecotox data'!B71)=1,7,IF(COUNTIF('Model info'!$J$16,'Ecotox data'!C71)=1,6,IF(COUNTIF('Model info'!$K$16,'Ecotox data'!D71)=1,5,IF(COUNTIF('Model info'!$L$16,'Ecotox data'!E71)=1,4,IF(COUNTIF('Model info'!$M$16,'Ecotox data'!F71)=1,3,IF(COUNTIF('Model info'!$N$16,'Ecotox data'!G71)=1,2,IF(COUNTIF('Model info'!$O$16,'Ecotox data'!H71)=1,1,0)))))))</f>
        <v>1</v>
      </c>
      <c r="U76" s="182">
        <f t="shared" si="7"/>
        <v>2</v>
      </c>
      <c r="V76" s="35"/>
      <c r="W76" s="27">
        <f>IF(AND('Ecotox data'!P71&gt;='Model info'!$C$20,'Ecotox data'!P71&lt;='Model info'!$C$21,'Ecotox data'!U71&gt;='Model info'!$D$20,'Ecotox data'!U71&lt;='Model info'!$D$21,'Ecotox data'!M71&gt;='Model info'!$E$20,'Ecotox data'!M71&lt;='Model info'!$E$21),1,0)</f>
        <v>1</v>
      </c>
      <c r="X76" s="171">
        <f>IF(COUNTIF('Model info'!$H$18:$H$24,'Ecotox data'!B71)=1,7,IF(COUNTIF('Model info'!$J$18:$J$24,'Ecotox data'!C71)=1,6,IF(COUNTIF('Model info'!$K$18:$K$24,'Ecotox data'!D71)=1,5,IF(COUNTIF('Model info'!$L$2:$L$24,'Ecotox data'!E71)=1,4,IF(COUNTIF('Model info'!$M$18:$M$24,'Ecotox data'!F71)=1,3,IF(COUNTIF('Model info'!$N$18:$N$24,'Ecotox data'!G71)=1,2,IF(COUNTIF('Model info'!$O$18:$O$24,'Ecotox data'!H71)=1,1,0)))))))</f>
        <v>7</v>
      </c>
      <c r="Y76" s="177">
        <f t="shared" si="8"/>
        <v>8</v>
      </c>
    </row>
    <row r="77" spans="5:25">
      <c r="E77" s="29">
        <v>66</v>
      </c>
      <c r="F77" s="262" t="s">
        <v>38</v>
      </c>
      <c r="G77" s="27">
        <f>IF(AND('Ecotox data'!P72&gt;='Model info'!$C$4,'Ecotox data'!P72&lt;='Model info'!$C$5),1,0)</f>
        <v>1</v>
      </c>
      <c r="H77" s="171">
        <f>IF(COUNTIF('Model info'!$H$4:$H$10,'Ecotox data'!B72)=1,7,IF(COUNTIF('Model info'!$J$4:$J$10,'Ecotox data'!C72)=1,6,IF(COUNTIF('Model info'!$K$4:$K$10,'Ecotox data'!D72)=1,5,IF(COUNTIF('Model info'!$L$4:$L$10,'Ecotox data'!E72)=1,4,IF(COUNTIF('Model info'!$M$4:$M$10,'Ecotox data'!F72)=1,3,IF(COUNTIF('Model info'!$N$4:$N$10,'Ecotox data'!G72)=1,2,IF(COUNTIF('Model info'!$O$4:$O$10,'Ecotox data'!H72)=1,1,0)))))))</f>
        <v>7</v>
      </c>
      <c r="I77" s="177">
        <f t="shared" si="9"/>
        <v>8</v>
      </c>
      <c r="J77" s="35"/>
      <c r="K77" s="27">
        <f>IF(AND('Ecotox data'!U72&gt;='Model info'!$D$8,'Ecotox data'!U72&lt;='Model info'!$D$9),1,0)</f>
        <v>1</v>
      </c>
      <c r="L77" s="163">
        <f>IF(COUNTIF('Model info'!$H$12,'Ecotox data'!B72)=1,7,IF(COUNTIF('Model info'!$J$12,'Ecotox data'!C72)=1,6,IF(COUNTIF('Model info'!$K$12,'Ecotox data'!D72)=1,5,IF(COUNTIF('Model info'!$L$12,'Ecotox data'!E72)=1,4,IF(COUNTIF('Model info'!$M$12,'Ecotox data'!F72)=1,3,IF(COUNTIF('Model info'!$N$12,'Ecotox data'!G72)=1,2,IF(COUNTIF('Model info'!$O$12,'Ecotox data'!H72)=1,1,0)))))))</f>
        <v>0</v>
      </c>
      <c r="M77" s="182">
        <f t="shared" si="5"/>
        <v>1</v>
      </c>
      <c r="N77" s="35"/>
      <c r="O77" s="27">
        <f>IF(AND('Ecotox data'!M72&gt;='Model info'!$E$12,'Ecotox data'!M72&lt;='Model info'!$E$13),1,0)</f>
        <v>1</v>
      </c>
      <c r="P77" s="172">
        <f>IF(COUNTIF('Model info'!$H$14,'Ecotox data'!B72)=1,7,IF(COUNTIF('Model info'!$J$14,'Ecotox data'!C72)=1,6,IF(COUNTIF('Model info'!$K$14,'Ecotox data'!D72)=1,5,IF(COUNTIF('Model info'!$L$14,'Ecotox data'!E72)=1,4,IF(COUNTIF('Model info'!$M$14,'Ecotox data'!F72)=1,3,IF(COUNTIF('Model info'!$N$14,'Ecotox data'!G72)=1,2,IF(COUNTIF('Model info'!$O$14,'Ecotox data'!H72)=1,1,0)))))))</f>
        <v>7</v>
      </c>
      <c r="Q77" s="177">
        <f t="shared" si="6"/>
        <v>8</v>
      </c>
      <c r="R77" s="35"/>
      <c r="S77" s="27">
        <f>IF(AND('Ecotox data'!P72&gt;='Model info'!$C$16,'Ecotox data'!P72&lt;='Model info'!$C$17,'Ecotox data'!U72&gt;='Model info'!$D$16,'Ecotox data'!U72&lt;='Model info'!$D$17,'Ecotox data'!M72&gt;='Model info'!$E$16,'Ecotox data'!M72&lt;='Model info'!$E$17),1,0)</f>
        <v>1</v>
      </c>
      <c r="T77" s="165">
        <f>IF(COUNTIF('Model info'!$H$16,'Ecotox data'!B72)=1,7,IF(COUNTIF('Model info'!$J$16,'Ecotox data'!C72)=1,6,IF(COUNTIF('Model info'!$K$16,'Ecotox data'!D72)=1,5,IF(COUNTIF('Model info'!$L$16,'Ecotox data'!E72)=1,4,IF(COUNTIF('Model info'!$M$16,'Ecotox data'!F72)=1,3,IF(COUNTIF('Model info'!$N$16,'Ecotox data'!G72)=1,2,IF(COUNTIF('Model info'!$O$16,'Ecotox data'!H72)=1,1,0)))))))</f>
        <v>1</v>
      </c>
      <c r="U77" s="182">
        <f t="shared" si="7"/>
        <v>2</v>
      </c>
      <c r="V77" s="35"/>
      <c r="W77" s="27">
        <f>IF(AND('Ecotox data'!P72&gt;='Model info'!$C$20,'Ecotox data'!P72&lt;='Model info'!$C$21,'Ecotox data'!U72&gt;='Model info'!$D$20,'Ecotox data'!U72&lt;='Model info'!$D$21,'Ecotox data'!M72&gt;='Model info'!$E$20,'Ecotox data'!M72&lt;='Model info'!$E$21),1,0)</f>
        <v>1</v>
      </c>
      <c r="X77" s="171">
        <f>IF(COUNTIF('Model info'!$H$18:$H$24,'Ecotox data'!B72)=1,7,IF(COUNTIF('Model info'!$J$18:$J$24,'Ecotox data'!C72)=1,6,IF(COUNTIF('Model info'!$K$18:$K$24,'Ecotox data'!D72)=1,5,IF(COUNTIF('Model info'!$L$2:$L$24,'Ecotox data'!E72)=1,4,IF(COUNTIF('Model info'!$M$18:$M$24,'Ecotox data'!F72)=1,3,IF(COUNTIF('Model info'!$N$18:$N$24,'Ecotox data'!G72)=1,2,IF(COUNTIF('Model info'!$O$18:$O$24,'Ecotox data'!H72)=1,1,0)))))))</f>
        <v>7</v>
      </c>
      <c r="Y77" s="177">
        <f t="shared" si="8"/>
        <v>8</v>
      </c>
    </row>
    <row r="78" spans="5:25">
      <c r="E78" s="29">
        <v>67</v>
      </c>
      <c r="F78" s="262" t="s">
        <v>38</v>
      </c>
      <c r="G78" s="27">
        <f>IF(AND('Ecotox data'!P73&gt;='Model info'!$C$4,'Ecotox data'!P73&lt;='Model info'!$C$5),1,0)</f>
        <v>1</v>
      </c>
      <c r="H78" s="171">
        <f>IF(COUNTIF('Model info'!$H$4:$H$10,'Ecotox data'!B73)=1,7,IF(COUNTIF('Model info'!$J$4:$J$10,'Ecotox data'!C73)=1,6,IF(COUNTIF('Model info'!$K$4:$K$10,'Ecotox data'!D73)=1,5,IF(COUNTIF('Model info'!$L$4:$L$10,'Ecotox data'!E73)=1,4,IF(COUNTIF('Model info'!$M$4:$M$10,'Ecotox data'!F73)=1,3,IF(COUNTIF('Model info'!$N$4:$N$10,'Ecotox data'!G73)=1,2,IF(COUNTIF('Model info'!$O$4:$O$10,'Ecotox data'!H73)=1,1,0)))))))</f>
        <v>7</v>
      </c>
      <c r="I78" s="177">
        <f t="shared" si="9"/>
        <v>8</v>
      </c>
      <c r="J78" s="35"/>
      <c r="K78" s="27">
        <f>IF(AND('Ecotox data'!U73&gt;='Model info'!$D$8,'Ecotox data'!U73&lt;='Model info'!$D$9),1,0)</f>
        <v>1</v>
      </c>
      <c r="L78" s="163">
        <f>IF(COUNTIF('Model info'!$H$12,'Ecotox data'!B73)=1,7,IF(COUNTIF('Model info'!$J$12,'Ecotox data'!C73)=1,6,IF(COUNTIF('Model info'!$K$12,'Ecotox data'!D73)=1,5,IF(COUNTIF('Model info'!$L$12,'Ecotox data'!E73)=1,4,IF(COUNTIF('Model info'!$M$12,'Ecotox data'!F73)=1,3,IF(COUNTIF('Model info'!$N$12,'Ecotox data'!G73)=1,2,IF(COUNTIF('Model info'!$O$12,'Ecotox data'!H73)=1,1,0)))))))</f>
        <v>0</v>
      </c>
      <c r="M78" s="182">
        <f t="shared" si="5"/>
        <v>1</v>
      </c>
      <c r="N78" s="35"/>
      <c r="O78" s="27">
        <f>IF(AND('Ecotox data'!M73&gt;='Model info'!$E$12,'Ecotox data'!M73&lt;='Model info'!$E$13),1,0)</f>
        <v>1</v>
      </c>
      <c r="P78" s="172">
        <f>IF(COUNTIF('Model info'!$H$14,'Ecotox data'!B73)=1,7,IF(COUNTIF('Model info'!$J$14,'Ecotox data'!C73)=1,6,IF(COUNTIF('Model info'!$K$14,'Ecotox data'!D73)=1,5,IF(COUNTIF('Model info'!$L$14,'Ecotox data'!E73)=1,4,IF(COUNTIF('Model info'!$M$14,'Ecotox data'!F73)=1,3,IF(COUNTIF('Model info'!$N$14,'Ecotox data'!G73)=1,2,IF(COUNTIF('Model info'!$O$14,'Ecotox data'!H73)=1,1,0)))))))</f>
        <v>7</v>
      </c>
      <c r="Q78" s="177">
        <f t="shared" si="6"/>
        <v>8</v>
      </c>
      <c r="R78" s="35"/>
      <c r="S78" s="27">
        <f>IF(AND('Ecotox data'!P73&gt;='Model info'!$C$16,'Ecotox data'!P73&lt;='Model info'!$C$17,'Ecotox data'!U73&gt;='Model info'!$D$16,'Ecotox data'!U73&lt;='Model info'!$D$17,'Ecotox data'!M73&gt;='Model info'!$E$16,'Ecotox data'!M73&lt;='Model info'!$E$17),1,0)</f>
        <v>1</v>
      </c>
      <c r="T78" s="165">
        <f>IF(COUNTIF('Model info'!$H$16,'Ecotox data'!B73)=1,7,IF(COUNTIF('Model info'!$J$16,'Ecotox data'!C73)=1,6,IF(COUNTIF('Model info'!$K$16,'Ecotox data'!D73)=1,5,IF(COUNTIF('Model info'!$L$16,'Ecotox data'!E73)=1,4,IF(COUNTIF('Model info'!$M$16,'Ecotox data'!F73)=1,3,IF(COUNTIF('Model info'!$N$16,'Ecotox data'!G73)=1,2,IF(COUNTIF('Model info'!$O$16,'Ecotox data'!H73)=1,1,0)))))))</f>
        <v>1</v>
      </c>
      <c r="U78" s="182">
        <f t="shared" si="7"/>
        <v>2</v>
      </c>
      <c r="V78" s="35"/>
      <c r="W78" s="27">
        <f>IF(AND('Ecotox data'!P73&gt;='Model info'!$C$20,'Ecotox data'!P73&lt;='Model info'!$C$21,'Ecotox data'!U73&gt;='Model info'!$D$20,'Ecotox data'!U73&lt;='Model info'!$D$21,'Ecotox data'!M73&gt;='Model info'!$E$20,'Ecotox data'!M73&lt;='Model info'!$E$21),1,0)</f>
        <v>1</v>
      </c>
      <c r="X78" s="171">
        <f>IF(COUNTIF('Model info'!$H$18:$H$24,'Ecotox data'!B73)=1,7,IF(COUNTIF('Model info'!$J$18:$J$24,'Ecotox data'!C73)=1,6,IF(COUNTIF('Model info'!$K$18:$K$24,'Ecotox data'!D73)=1,5,IF(COUNTIF('Model info'!$L$2:$L$24,'Ecotox data'!E73)=1,4,IF(COUNTIF('Model info'!$M$18:$M$24,'Ecotox data'!F73)=1,3,IF(COUNTIF('Model info'!$N$18:$N$24,'Ecotox data'!G73)=1,2,IF(COUNTIF('Model info'!$O$18:$O$24,'Ecotox data'!H73)=1,1,0)))))))</f>
        <v>7</v>
      </c>
      <c r="Y78" s="177">
        <f t="shared" si="8"/>
        <v>8</v>
      </c>
    </row>
    <row r="79" spans="5:25">
      <c r="E79" s="29">
        <v>68</v>
      </c>
      <c r="F79" s="262" t="s">
        <v>38</v>
      </c>
      <c r="G79" s="129">
        <f>IF(AND('Ecotox data'!P74&gt;='Model info'!$C$4,'Ecotox data'!P74&lt;='Model info'!$C$5),1,0)</f>
        <v>0</v>
      </c>
      <c r="H79" s="171">
        <f>IF(COUNTIF('Model info'!$H$4:$H$10,'Ecotox data'!B74)=1,7,IF(COUNTIF('Model info'!$J$4:$J$10,'Ecotox data'!C74)=1,6,IF(COUNTIF('Model info'!$K$4:$K$10,'Ecotox data'!D74)=1,5,IF(COUNTIF('Model info'!$L$4:$L$10,'Ecotox data'!E74)=1,4,IF(COUNTIF('Model info'!$M$4:$M$10,'Ecotox data'!F74)=1,3,IF(COUNTIF('Model info'!$N$4:$N$10,'Ecotox data'!G74)=1,2,IF(COUNTIF('Model info'!$O$4:$O$10,'Ecotox data'!H74)=1,1,0)))))))</f>
        <v>7</v>
      </c>
      <c r="I79" s="177">
        <f t="shared" si="9"/>
        <v>7</v>
      </c>
      <c r="J79" s="35"/>
      <c r="K79" s="27">
        <f>IF(AND('Ecotox data'!U74&gt;='Model info'!$D$8,'Ecotox data'!U74&lt;='Model info'!$D$9),1,0)</f>
        <v>1</v>
      </c>
      <c r="L79" s="163">
        <f>IF(COUNTIF('Model info'!$H$12,'Ecotox data'!B74)=1,7,IF(COUNTIF('Model info'!$J$12,'Ecotox data'!C74)=1,6,IF(COUNTIF('Model info'!$K$12,'Ecotox data'!D74)=1,5,IF(COUNTIF('Model info'!$L$12,'Ecotox data'!E74)=1,4,IF(COUNTIF('Model info'!$M$12,'Ecotox data'!F74)=1,3,IF(COUNTIF('Model info'!$N$12,'Ecotox data'!G74)=1,2,IF(COUNTIF('Model info'!$O$12,'Ecotox data'!H74)=1,1,0)))))))</f>
        <v>0</v>
      </c>
      <c r="M79" s="182">
        <f t="shared" si="5"/>
        <v>1</v>
      </c>
      <c r="N79" s="35"/>
      <c r="O79" s="27">
        <f>IF(AND('Ecotox data'!M74&gt;='Model info'!$E$12,'Ecotox data'!M74&lt;='Model info'!$E$13),1,0)</f>
        <v>1</v>
      </c>
      <c r="P79" s="172">
        <f>IF(COUNTIF('Model info'!$H$14,'Ecotox data'!B74)=1,7,IF(COUNTIF('Model info'!$J$14,'Ecotox data'!C74)=1,6,IF(COUNTIF('Model info'!$K$14,'Ecotox data'!D74)=1,5,IF(COUNTIF('Model info'!$L$14,'Ecotox data'!E74)=1,4,IF(COUNTIF('Model info'!$M$14,'Ecotox data'!F74)=1,3,IF(COUNTIF('Model info'!$N$14,'Ecotox data'!G74)=1,2,IF(COUNTIF('Model info'!$O$14,'Ecotox data'!H74)=1,1,0)))))))</f>
        <v>7</v>
      </c>
      <c r="Q79" s="177">
        <f t="shared" si="6"/>
        <v>8</v>
      </c>
      <c r="R79" s="35"/>
      <c r="S79" s="129">
        <f>IF(AND('Ecotox data'!P74&gt;='Model info'!$C$16,'Ecotox data'!P74&lt;='Model info'!$C$17,'Ecotox data'!U74&gt;='Model info'!$D$16,'Ecotox data'!U74&lt;='Model info'!$D$17,'Ecotox data'!M74&gt;='Model info'!$E$16,'Ecotox data'!M74&lt;='Model info'!$E$17),1,0)</f>
        <v>0</v>
      </c>
      <c r="T79" s="165">
        <f>IF(COUNTIF('Model info'!$H$16,'Ecotox data'!B74)=1,7,IF(COUNTIF('Model info'!$J$16,'Ecotox data'!C74)=1,6,IF(COUNTIF('Model info'!$K$16,'Ecotox data'!D74)=1,5,IF(COUNTIF('Model info'!$L$16,'Ecotox data'!E74)=1,4,IF(COUNTIF('Model info'!$M$16,'Ecotox data'!F74)=1,3,IF(COUNTIF('Model info'!$N$16,'Ecotox data'!G74)=1,2,IF(COUNTIF('Model info'!$O$16,'Ecotox data'!H74)=1,1,0)))))))</f>
        <v>1</v>
      </c>
      <c r="U79" s="182">
        <f t="shared" si="7"/>
        <v>1</v>
      </c>
      <c r="V79" s="35"/>
      <c r="W79" s="27">
        <f>IF(AND('Ecotox data'!P74&gt;='Model info'!$C$20,'Ecotox data'!P74&lt;='Model info'!$C$21,'Ecotox data'!U74&gt;='Model info'!$D$20,'Ecotox data'!U74&lt;='Model info'!$D$21,'Ecotox data'!M74&gt;='Model info'!$E$20,'Ecotox data'!M74&lt;='Model info'!$E$21),1,0)</f>
        <v>1</v>
      </c>
      <c r="X79" s="171">
        <f>IF(COUNTIF('Model info'!$H$18:$H$24,'Ecotox data'!B74)=1,7,IF(COUNTIF('Model info'!$J$18:$J$24,'Ecotox data'!C74)=1,6,IF(COUNTIF('Model info'!$K$18:$K$24,'Ecotox data'!D74)=1,5,IF(COUNTIF('Model info'!$L$2:$L$24,'Ecotox data'!E74)=1,4,IF(COUNTIF('Model info'!$M$18:$M$24,'Ecotox data'!F74)=1,3,IF(COUNTIF('Model info'!$N$18:$N$24,'Ecotox data'!G74)=1,2,IF(COUNTIF('Model info'!$O$18:$O$24,'Ecotox data'!H74)=1,1,0)))))))</f>
        <v>7</v>
      </c>
      <c r="Y79" s="177">
        <f t="shared" si="8"/>
        <v>8</v>
      </c>
    </row>
    <row r="80" spans="5:25">
      <c r="E80" s="29">
        <v>69</v>
      </c>
      <c r="F80" s="262" t="s">
        <v>38</v>
      </c>
      <c r="G80" s="27">
        <f>IF(AND('Ecotox data'!P75&gt;='Model info'!$C$4,'Ecotox data'!P75&lt;='Model info'!$C$5),1,0)</f>
        <v>1</v>
      </c>
      <c r="H80" s="171">
        <f>IF(COUNTIF('Model info'!$H$4:$H$10,'Ecotox data'!B75)=1,7,IF(COUNTIF('Model info'!$J$4:$J$10,'Ecotox data'!C75)=1,6,IF(COUNTIF('Model info'!$K$4:$K$10,'Ecotox data'!D75)=1,5,IF(COUNTIF('Model info'!$L$4:$L$10,'Ecotox data'!E75)=1,4,IF(COUNTIF('Model info'!$M$4:$M$10,'Ecotox data'!F75)=1,3,IF(COUNTIF('Model info'!$N$4:$N$10,'Ecotox data'!G75)=1,2,IF(COUNTIF('Model info'!$O$4:$O$10,'Ecotox data'!H75)=1,1,0)))))))</f>
        <v>7</v>
      </c>
      <c r="I80" s="177">
        <f t="shared" si="9"/>
        <v>8</v>
      </c>
      <c r="J80" s="35"/>
      <c r="K80" s="27">
        <f>IF(AND('Ecotox data'!U75&gt;='Model info'!$D$8,'Ecotox data'!U75&lt;='Model info'!$D$9),1,0)</f>
        <v>1</v>
      </c>
      <c r="L80" s="163">
        <f>IF(COUNTIF('Model info'!$H$12,'Ecotox data'!B75)=1,7,IF(COUNTIF('Model info'!$J$12,'Ecotox data'!C75)=1,6,IF(COUNTIF('Model info'!$K$12,'Ecotox data'!D75)=1,5,IF(COUNTIF('Model info'!$L$12,'Ecotox data'!E75)=1,4,IF(COUNTIF('Model info'!$M$12,'Ecotox data'!F75)=1,3,IF(COUNTIF('Model info'!$N$12,'Ecotox data'!G75)=1,2,IF(COUNTIF('Model info'!$O$12,'Ecotox data'!H75)=1,1,0)))))))</f>
        <v>0</v>
      </c>
      <c r="M80" s="182">
        <f t="shared" si="5"/>
        <v>1</v>
      </c>
      <c r="N80" s="35"/>
      <c r="O80" s="27">
        <f>IF(AND('Ecotox data'!M75&gt;='Model info'!$E$12,'Ecotox data'!M75&lt;='Model info'!$E$13),1,0)</f>
        <v>1</v>
      </c>
      <c r="P80" s="172">
        <f>IF(COUNTIF('Model info'!$H$14,'Ecotox data'!B75)=1,7,IF(COUNTIF('Model info'!$J$14,'Ecotox data'!C75)=1,6,IF(COUNTIF('Model info'!$K$14,'Ecotox data'!D75)=1,5,IF(COUNTIF('Model info'!$L$14,'Ecotox data'!E75)=1,4,IF(COUNTIF('Model info'!$M$14,'Ecotox data'!F75)=1,3,IF(COUNTIF('Model info'!$N$14,'Ecotox data'!G75)=1,2,IF(COUNTIF('Model info'!$O$14,'Ecotox data'!H75)=1,1,0)))))))</f>
        <v>7</v>
      </c>
      <c r="Q80" s="177">
        <f t="shared" si="6"/>
        <v>8</v>
      </c>
      <c r="R80" s="35"/>
      <c r="S80" s="27">
        <f>IF(AND('Ecotox data'!P75&gt;='Model info'!$C$16,'Ecotox data'!P75&lt;='Model info'!$C$17,'Ecotox data'!U75&gt;='Model info'!$D$16,'Ecotox data'!U75&lt;='Model info'!$D$17,'Ecotox data'!M75&gt;='Model info'!$E$16,'Ecotox data'!M75&lt;='Model info'!$E$17),1,0)</f>
        <v>1</v>
      </c>
      <c r="T80" s="165">
        <f>IF(COUNTIF('Model info'!$H$16,'Ecotox data'!B75)=1,7,IF(COUNTIF('Model info'!$J$16,'Ecotox data'!C75)=1,6,IF(COUNTIF('Model info'!$K$16,'Ecotox data'!D75)=1,5,IF(COUNTIF('Model info'!$L$16,'Ecotox data'!E75)=1,4,IF(COUNTIF('Model info'!$M$16,'Ecotox data'!F75)=1,3,IF(COUNTIF('Model info'!$N$16,'Ecotox data'!G75)=1,2,IF(COUNTIF('Model info'!$O$16,'Ecotox data'!H75)=1,1,0)))))))</f>
        <v>1</v>
      </c>
      <c r="U80" s="182">
        <f t="shared" si="7"/>
        <v>2</v>
      </c>
      <c r="V80" s="35"/>
      <c r="W80" s="27">
        <f>IF(AND('Ecotox data'!P75&gt;='Model info'!$C$20,'Ecotox data'!P75&lt;='Model info'!$C$21,'Ecotox data'!U75&gt;='Model info'!$D$20,'Ecotox data'!U75&lt;='Model info'!$D$21,'Ecotox data'!M75&gt;='Model info'!$E$20,'Ecotox data'!M75&lt;='Model info'!$E$21),1,0)</f>
        <v>1</v>
      </c>
      <c r="X80" s="171">
        <f>IF(COUNTIF('Model info'!$H$18:$H$24,'Ecotox data'!B75)=1,7,IF(COUNTIF('Model info'!$J$18:$J$24,'Ecotox data'!C75)=1,6,IF(COUNTIF('Model info'!$K$18:$K$24,'Ecotox data'!D75)=1,5,IF(COUNTIF('Model info'!$L$2:$L$24,'Ecotox data'!E75)=1,4,IF(COUNTIF('Model info'!$M$18:$M$24,'Ecotox data'!F75)=1,3,IF(COUNTIF('Model info'!$N$18:$N$24,'Ecotox data'!G75)=1,2,IF(COUNTIF('Model info'!$O$18:$O$24,'Ecotox data'!H75)=1,1,0)))))))</f>
        <v>7</v>
      </c>
      <c r="Y80" s="177">
        <f t="shared" si="8"/>
        <v>8</v>
      </c>
    </row>
    <row r="81" spans="5:25">
      <c r="E81" s="29">
        <v>70</v>
      </c>
      <c r="F81" s="262" t="s">
        <v>38</v>
      </c>
      <c r="G81" s="27">
        <f>IF(AND('Ecotox data'!P76&gt;='Model info'!$C$4,'Ecotox data'!P76&lt;='Model info'!$C$5),1,0)</f>
        <v>1</v>
      </c>
      <c r="H81" s="171">
        <f>IF(COUNTIF('Model info'!$H$4:$H$10,'Ecotox data'!B76)=1,7,IF(COUNTIF('Model info'!$J$4:$J$10,'Ecotox data'!C76)=1,6,IF(COUNTIF('Model info'!$K$4:$K$10,'Ecotox data'!D76)=1,5,IF(COUNTIF('Model info'!$L$4:$L$10,'Ecotox data'!E76)=1,4,IF(COUNTIF('Model info'!$M$4:$M$10,'Ecotox data'!F76)=1,3,IF(COUNTIF('Model info'!$N$4:$N$10,'Ecotox data'!G76)=1,2,IF(COUNTIF('Model info'!$O$4:$O$10,'Ecotox data'!H76)=1,1,0)))))))</f>
        <v>7</v>
      </c>
      <c r="I81" s="177">
        <f t="shared" si="9"/>
        <v>8</v>
      </c>
      <c r="J81" s="35"/>
      <c r="K81" s="27">
        <f>IF(AND('Ecotox data'!U76&gt;='Model info'!$D$8,'Ecotox data'!U76&lt;='Model info'!$D$9),1,0)</f>
        <v>1</v>
      </c>
      <c r="L81" s="163">
        <f>IF(COUNTIF('Model info'!$H$12,'Ecotox data'!B76)=1,7,IF(COUNTIF('Model info'!$J$12,'Ecotox data'!C76)=1,6,IF(COUNTIF('Model info'!$K$12,'Ecotox data'!D76)=1,5,IF(COUNTIF('Model info'!$L$12,'Ecotox data'!E76)=1,4,IF(COUNTIF('Model info'!$M$12,'Ecotox data'!F76)=1,3,IF(COUNTIF('Model info'!$N$12,'Ecotox data'!G76)=1,2,IF(COUNTIF('Model info'!$O$12,'Ecotox data'!H76)=1,1,0)))))))</f>
        <v>0</v>
      </c>
      <c r="M81" s="182">
        <f t="shared" si="5"/>
        <v>1</v>
      </c>
      <c r="N81" s="35"/>
      <c r="O81" s="27">
        <f>IF(AND('Ecotox data'!M76&gt;='Model info'!$E$12,'Ecotox data'!M76&lt;='Model info'!$E$13),1,0)</f>
        <v>1</v>
      </c>
      <c r="P81" s="172">
        <f>IF(COUNTIF('Model info'!$H$14,'Ecotox data'!B76)=1,7,IF(COUNTIF('Model info'!$J$14,'Ecotox data'!C76)=1,6,IF(COUNTIF('Model info'!$K$14,'Ecotox data'!D76)=1,5,IF(COUNTIF('Model info'!$L$14,'Ecotox data'!E76)=1,4,IF(COUNTIF('Model info'!$M$14,'Ecotox data'!F76)=1,3,IF(COUNTIF('Model info'!$N$14,'Ecotox data'!G76)=1,2,IF(COUNTIF('Model info'!$O$14,'Ecotox data'!H76)=1,1,0)))))))</f>
        <v>7</v>
      </c>
      <c r="Q81" s="177">
        <f t="shared" si="6"/>
        <v>8</v>
      </c>
      <c r="R81" s="35"/>
      <c r="S81" s="27">
        <f>IF(AND('Ecotox data'!P76&gt;='Model info'!$C$16,'Ecotox data'!P76&lt;='Model info'!$C$17,'Ecotox data'!U76&gt;='Model info'!$D$16,'Ecotox data'!U76&lt;='Model info'!$D$17,'Ecotox data'!M76&gt;='Model info'!$E$16,'Ecotox data'!M76&lt;='Model info'!$E$17),1,0)</f>
        <v>1</v>
      </c>
      <c r="T81" s="165">
        <f>IF(COUNTIF('Model info'!$H$16,'Ecotox data'!B76)=1,7,IF(COUNTIF('Model info'!$J$16,'Ecotox data'!C76)=1,6,IF(COUNTIF('Model info'!$K$16,'Ecotox data'!D76)=1,5,IF(COUNTIF('Model info'!$L$16,'Ecotox data'!E76)=1,4,IF(COUNTIF('Model info'!$M$16,'Ecotox data'!F76)=1,3,IF(COUNTIF('Model info'!$N$16,'Ecotox data'!G76)=1,2,IF(COUNTIF('Model info'!$O$16,'Ecotox data'!H76)=1,1,0)))))))</f>
        <v>1</v>
      </c>
      <c r="U81" s="182">
        <f t="shared" si="7"/>
        <v>2</v>
      </c>
      <c r="V81" s="35"/>
      <c r="W81" s="27">
        <f>IF(AND('Ecotox data'!P76&gt;='Model info'!$C$20,'Ecotox data'!P76&lt;='Model info'!$C$21,'Ecotox data'!U76&gt;='Model info'!$D$20,'Ecotox data'!U76&lt;='Model info'!$D$21,'Ecotox data'!M76&gt;='Model info'!$E$20,'Ecotox data'!M76&lt;='Model info'!$E$21),1,0)</f>
        <v>1</v>
      </c>
      <c r="X81" s="171">
        <f>IF(COUNTIF('Model info'!$H$18:$H$24,'Ecotox data'!B76)=1,7,IF(COUNTIF('Model info'!$J$18:$J$24,'Ecotox data'!C76)=1,6,IF(COUNTIF('Model info'!$K$18:$K$24,'Ecotox data'!D76)=1,5,IF(COUNTIF('Model info'!$L$2:$L$24,'Ecotox data'!E76)=1,4,IF(COUNTIF('Model info'!$M$18:$M$24,'Ecotox data'!F76)=1,3,IF(COUNTIF('Model info'!$N$18:$N$24,'Ecotox data'!G76)=1,2,IF(COUNTIF('Model info'!$O$18:$O$24,'Ecotox data'!H76)=1,1,0)))))))</f>
        <v>7</v>
      </c>
      <c r="Y81" s="177">
        <f t="shared" si="8"/>
        <v>8</v>
      </c>
    </row>
    <row r="82" spans="5:25">
      <c r="E82" s="29">
        <v>71</v>
      </c>
      <c r="F82" s="262" t="s">
        <v>38</v>
      </c>
      <c r="G82" s="27">
        <f>IF(AND('Ecotox data'!P77&gt;='Model info'!$C$4,'Ecotox data'!P77&lt;='Model info'!$C$5),1,0)</f>
        <v>1</v>
      </c>
      <c r="H82" s="171">
        <f>IF(COUNTIF('Model info'!$H$4:$H$10,'Ecotox data'!B77)=1,7,IF(COUNTIF('Model info'!$J$4:$J$10,'Ecotox data'!C77)=1,6,IF(COUNTIF('Model info'!$K$4:$K$10,'Ecotox data'!D77)=1,5,IF(COUNTIF('Model info'!$L$4:$L$10,'Ecotox data'!E77)=1,4,IF(COUNTIF('Model info'!$M$4:$M$10,'Ecotox data'!F77)=1,3,IF(COUNTIF('Model info'!$N$4:$N$10,'Ecotox data'!G77)=1,2,IF(COUNTIF('Model info'!$O$4:$O$10,'Ecotox data'!H77)=1,1,0)))))))</f>
        <v>7</v>
      </c>
      <c r="I82" s="177">
        <f t="shared" si="9"/>
        <v>8</v>
      </c>
      <c r="J82" s="35"/>
      <c r="K82" s="27">
        <f>IF(AND('Ecotox data'!U77&gt;='Model info'!$D$8,'Ecotox data'!U77&lt;='Model info'!$D$9),1,0)</f>
        <v>1</v>
      </c>
      <c r="L82" s="163">
        <f>IF(COUNTIF('Model info'!$H$12,'Ecotox data'!B77)=1,7,IF(COUNTIF('Model info'!$J$12,'Ecotox data'!C77)=1,6,IF(COUNTIF('Model info'!$K$12,'Ecotox data'!D77)=1,5,IF(COUNTIF('Model info'!$L$12,'Ecotox data'!E77)=1,4,IF(COUNTIF('Model info'!$M$12,'Ecotox data'!F77)=1,3,IF(COUNTIF('Model info'!$N$12,'Ecotox data'!G77)=1,2,IF(COUNTIF('Model info'!$O$12,'Ecotox data'!H77)=1,1,0)))))))</f>
        <v>0</v>
      </c>
      <c r="M82" s="182">
        <f t="shared" si="5"/>
        <v>1</v>
      </c>
      <c r="N82" s="35"/>
      <c r="O82" s="27">
        <f>IF(AND('Ecotox data'!M77&gt;='Model info'!$E$12,'Ecotox data'!M77&lt;='Model info'!$E$13),1,0)</f>
        <v>1</v>
      </c>
      <c r="P82" s="172">
        <f>IF(COUNTIF('Model info'!$H$14,'Ecotox data'!B77)=1,7,IF(COUNTIF('Model info'!$J$14,'Ecotox data'!C77)=1,6,IF(COUNTIF('Model info'!$K$14,'Ecotox data'!D77)=1,5,IF(COUNTIF('Model info'!$L$14,'Ecotox data'!E77)=1,4,IF(COUNTIF('Model info'!$M$14,'Ecotox data'!F77)=1,3,IF(COUNTIF('Model info'!$N$14,'Ecotox data'!G77)=1,2,IF(COUNTIF('Model info'!$O$14,'Ecotox data'!H77)=1,1,0)))))))</f>
        <v>7</v>
      </c>
      <c r="Q82" s="177">
        <f t="shared" si="6"/>
        <v>8</v>
      </c>
      <c r="R82" s="35"/>
      <c r="S82" s="27">
        <f>IF(AND('Ecotox data'!P77&gt;='Model info'!$C$16,'Ecotox data'!P77&lt;='Model info'!$C$17,'Ecotox data'!U77&gt;='Model info'!$D$16,'Ecotox data'!U77&lt;='Model info'!$D$17,'Ecotox data'!M77&gt;='Model info'!$E$16,'Ecotox data'!M77&lt;='Model info'!$E$17),1,0)</f>
        <v>1</v>
      </c>
      <c r="T82" s="165">
        <f>IF(COUNTIF('Model info'!$H$16,'Ecotox data'!B77)=1,7,IF(COUNTIF('Model info'!$J$16,'Ecotox data'!C77)=1,6,IF(COUNTIF('Model info'!$K$16,'Ecotox data'!D77)=1,5,IF(COUNTIF('Model info'!$L$16,'Ecotox data'!E77)=1,4,IF(COUNTIF('Model info'!$M$16,'Ecotox data'!F77)=1,3,IF(COUNTIF('Model info'!$N$16,'Ecotox data'!G77)=1,2,IF(COUNTIF('Model info'!$O$16,'Ecotox data'!H77)=1,1,0)))))))</f>
        <v>1</v>
      </c>
      <c r="U82" s="182">
        <f t="shared" si="7"/>
        <v>2</v>
      </c>
      <c r="V82" s="35"/>
      <c r="W82" s="27">
        <f>IF(AND('Ecotox data'!P77&gt;='Model info'!$C$20,'Ecotox data'!P77&lt;='Model info'!$C$21,'Ecotox data'!U77&gt;='Model info'!$D$20,'Ecotox data'!U77&lt;='Model info'!$D$21,'Ecotox data'!M77&gt;='Model info'!$E$20,'Ecotox data'!M77&lt;='Model info'!$E$21),1,0)</f>
        <v>1</v>
      </c>
      <c r="X82" s="171">
        <f>IF(COUNTIF('Model info'!$H$18:$H$24,'Ecotox data'!B77)=1,7,IF(COUNTIF('Model info'!$J$18:$J$24,'Ecotox data'!C77)=1,6,IF(COUNTIF('Model info'!$K$18:$K$24,'Ecotox data'!D77)=1,5,IF(COUNTIF('Model info'!$L$2:$L$24,'Ecotox data'!E77)=1,4,IF(COUNTIF('Model info'!$M$18:$M$24,'Ecotox data'!F77)=1,3,IF(COUNTIF('Model info'!$N$18:$N$24,'Ecotox data'!G77)=1,2,IF(COUNTIF('Model info'!$O$18:$O$24,'Ecotox data'!H77)=1,1,0)))))))</f>
        <v>7</v>
      </c>
      <c r="Y82" s="177">
        <f t="shared" si="8"/>
        <v>8</v>
      </c>
    </row>
    <row r="83" spans="5:25">
      <c r="E83" s="29">
        <v>72</v>
      </c>
      <c r="F83" s="262" t="s">
        <v>38</v>
      </c>
      <c r="G83" s="27">
        <f>IF(AND('Ecotox data'!P78&gt;='Model info'!$C$4,'Ecotox data'!P78&lt;='Model info'!$C$5),1,0)</f>
        <v>1</v>
      </c>
      <c r="H83" s="171">
        <f>IF(COUNTIF('Model info'!$H$4:$H$10,'Ecotox data'!B78)=1,7,IF(COUNTIF('Model info'!$J$4:$J$10,'Ecotox data'!C78)=1,6,IF(COUNTIF('Model info'!$K$4:$K$10,'Ecotox data'!D78)=1,5,IF(COUNTIF('Model info'!$L$4:$L$10,'Ecotox data'!E78)=1,4,IF(COUNTIF('Model info'!$M$4:$M$10,'Ecotox data'!F78)=1,3,IF(COUNTIF('Model info'!$N$4:$N$10,'Ecotox data'!G78)=1,2,IF(COUNTIF('Model info'!$O$4:$O$10,'Ecotox data'!H78)=1,1,0)))))))</f>
        <v>7</v>
      </c>
      <c r="I83" s="177">
        <f t="shared" si="9"/>
        <v>8</v>
      </c>
      <c r="J83" s="35"/>
      <c r="K83" s="27">
        <f>IF(AND('Ecotox data'!U78&gt;='Model info'!$D$8,'Ecotox data'!U78&lt;='Model info'!$D$9),1,0)</f>
        <v>1</v>
      </c>
      <c r="L83" s="163">
        <f>IF(COUNTIF('Model info'!$H$12,'Ecotox data'!B78)=1,7,IF(COUNTIF('Model info'!$J$12,'Ecotox data'!C78)=1,6,IF(COUNTIF('Model info'!$K$12,'Ecotox data'!D78)=1,5,IF(COUNTIF('Model info'!$L$12,'Ecotox data'!E78)=1,4,IF(COUNTIF('Model info'!$M$12,'Ecotox data'!F78)=1,3,IF(COUNTIF('Model info'!$N$12,'Ecotox data'!G78)=1,2,IF(COUNTIF('Model info'!$O$12,'Ecotox data'!H78)=1,1,0)))))))</f>
        <v>0</v>
      </c>
      <c r="M83" s="182">
        <f t="shared" si="5"/>
        <v>1</v>
      </c>
      <c r="N83" s="35"/>
      <c r="O83" s="27">
        <f>IF(AND('Ecotox data'!M78&gt;='Model info'!$E$12,'Ecotox data'!M78&lt;='Model info'!$E$13),1,0)</f>
        <v>1</v>
      </c>
      <c r="P83" s="172">
        <f>IF(COUNTIF('Model info'!$H$14,'Ecotox data'!B78)=1,7,IF(COUNTIF('Model info'!$J$14,'Ecotox data'!C78)=1,6,IF(COUNTIF('Model info'!$K$14,'Ecotox data'!D78)=1,5,IF(COUNTIF('Model info'!$L$14,'Ecotox data'!E78)=1,4,IF(COUNTIF('Model info'!$M$14,'Ecotox data'!F78)=1,3,IF(COUNTIF('Model info'!$N$14,'Ecotox data'!G78)=1,2,IF(COUNTIF('Model info'!$O$14,'Ecotox data'!H78)=1,1,0)))))))</f>
        <v>7</v>
      </c>
      <c r="Q83" s="177">
        <f t="shared" si="6"/>
        <v>8</v>
      </c>
      <c r="R83" s="35"/>
      <c r="S83" s="27">
        <f>IF(AND('Ecotox data'!P78&gt;='Model info'!$C$16,'Ecotox data'!P78&lt;='Model info'!$C$17,'Ecotox data'!U78&gt;='Model info'!$D$16,'Ecotox data'!U78&lt;='Model info'!$D$17,'Ecotox data'!M78&gt;='Model info'!$E$16,'Ecotox data'!M78&lt;='Model info'!$E$17),1,0)</f>
        <v>1</v>
      </c>
      <c r="T83" s="165">
        <f>IF(COUNTIF('Model info'!$H$16,'Ecotox data'!B78)=1,7,IF(COUNTIF('Model info'!$J$16,'Ecotox data'!C78)=1,6,IF(COUNTIF('Model info'!$K$16,'Ecotox data'!D78)=1,5,IF(COUNTIF('Model info'!$L$16,'Ecotox data'!E78)=1,4,IF(COUNTIF('Model info'!$M$16,'Ecotox data'!F78)=1,3,IF(COUNTIF('Model info'!$N$16,'Ecotox data'!G78)=1,2,IF(COUNTIF('Model info'!$O$16,'Ecotox data'!H78)=1,1,0)))))))</f>
        <v>1</v>
      </c>
      <c r="U83" s="182">
        <f t="shared" si="7"/>
        <v>2</v>
      </c>
      <c r="V83" s="35"/>
      <c r="W83" s="27">
        <f>IF(AND('Ecotox data'!P78&gt;='Model info'!$C$20,'Ecotox data'!P78&lt;='Model info'!$C$21,'Ecotox data'!U78&gt;='Model info'!$D$20,'Ecotox data'!U78&lt;='Model info'!$D$21,'Ecotox data'!M78&gt;='Model info'!$E$20,'Ecotox data'!M78&lt;='Model info'!$E$21),1,0)</f>
        <v>1</v>
      </c>
      <c r="X83" s="171">
        <f>IF(COUNTIF('Model info'!$H$18:$H$24,'Ecotox data'!B78)=1,7,IF(COUNTIF('Model info'!$J$18:$J$24,'Ecotox data'!C78)=1,6,IF(COUNTIF('Model info'!$K$18:$K$24,'Ecotox data'!D78)=1,5,IF(COUNTIF('Model info'!$L$2:$L$24,'Ecotox data'!E78)=1,4,IF(COUNTIF('Model info'!$M$18:$M$24,'Ecotox data'!F78)=1,3,IF(COUNTIF('Model info'!$N$18:$N$24,'Ecotox data'!G78)=1,2,IF(COUNTIF('Model info'!$O$18:$O$24,'Ecotox data'!H78)=1,1,0)))))))</f>
        <v>7</v>
      </c>
      <c r="Y83" s="177">
        <f t="shared" si="8"/>
        <v>8</v>
      </c>
    </row>
    <row r="84" spans="5:25">
      <c r="E84" s="29">
        <v>73</v>
      </c>
      <c r="F84" s="262" t="s">
        <v>38</v>
      </c>
      <c r="G84" s="27">
        <f>IF(AND('Ecotox data'!P79&gt;='Model info'!$C$4,'Ecotox data'!P79&lt;='Model info'!$C$5),1,0)</f>
        <v>1</v>
      </c>
      <c r="H84" s="171">
        <f>IF(COUNTIF('Model info'!$H$4:$H$10,'Ecotox data'!B79)=1,7,IF(COUNTIF('Model info'!$J$4:$J$10,'Ecotox data'!C79)=1,6,IF(COUNTIF('Model info'!$K$4:$K$10,'Ecotox data'!D79)=1,5,IF(COUNTIF('Model info'!$L$4:$L$10,'Ecotox data'!E79)=1,4,IF(COUNTIF('Model info'!$M$4:$M$10,'Ecotox data'!F79)=1,3,IF(COUNTIF('Model info'!$N$4:$N$10,'Ecotox data'!G79)=1,2,IF(COUNTIF('Model info'!$O$4:$O$10,'Ecotox data'!H79)=1,1,0)))))))</f>
        <v>7</v>
      </c>
      <c r="I84" s="177">
        <f t="shared" si="9"/>
        <v>8</v>
      </c>
      <c r="J84" s="35"/>
      <c r="K84" s="27">
        <f>IF(AND('Ecotox data'!U79&gt;='Model info'!$D$8,'Ecotox data'!U79&lt;='Model info'!$D$9),1,0)</f>
        <v>1</v>
      </c>
      <c r="L84" s="163">
        <f>IF(COUNTIF('Model info'!$H$12,'Ecotox data'!B79)=1,7,IF(COUNTIF('Model info'!$J$12,'Ecotox data'!C79)=1,6,IF(COUNTIF('Model info'!$K$12,'Ecotox data'!D79)=1,5,IF(COUNTIF('Model info'!$L$12,'Ecotox data'!E79)=1,4,IF(COUNTIF('Model info'!$M$12,'Ecotox data'!F79)=1,3,IF(COUNTIF('Model info'!$N$12,'Ecotox data'!G79)=1,2,IF(COUNTIF('Model info'!$O$12,'Ecotox data'!H79)=1,1,0)))))))</f>
        <v>0</v>
      </c>
      <c r="M84" s="182">
        <f t="shared" si="5"/>
        <v>1</v>
      </c>
      <c r="N84" s="35"/>
      <c r="O84" s="27">
        <f>IF(AND('Ecotox data'!M79&gt;='Model info'!$E$12,'Ecotox data'!M79&lt;='Model info'!$E$13),1,0)</f>
        <v>1</v>
      </c>
      <c r="P84" s="172">
        <f>IF(COUNTIF('Model info'!$H$14,'Ecotox data'!B79)=1,7,IF(COUNTIF('Model info'!$J$14,'Ecotox data'!C79)=1,6,IF(COUNTIF('Model info'!$K$14,'Ecotox data'!D79)=1,5,IF(COUNTIF('Model info'!$L$14,'Ecotox data'!E79)=1,4,IF(COUNTIF('Model info'!$M$14,'Ecotox data'!F79)=1,3,IF(COUNTIF('Model info'!$N$14,'Ecotox data'!G79)=1,2,IF(COUNTIF('Model info'!$O$14,'Ecotox data'!H79)=1,1,0)))))))</f>
        <v>7</v>
      </c>
      <c r="Q84" s="177">
        <f t="shared" si="6"/>
        <v>8</v>
      </c>
      <c r="R84" s="35"/>
      <c r="S84" s="27">
        <f>IF(AND('Ecotox data'!P79&gt;='Model info'!$C$16,'Ecotox data'!P79&lt;='Model info'!$C$17,'Ecotox data'!U79&gt;='Model info'!$D$16,'Ecotox data'!U79&lt;='Model info'!$D$17,'Ecotox data'!M79&gt;='Model info'!$E$16,'Ecotox data'!M79&lt;='Model info'!$E$17),1,0)</f>
        <v>1</v>
      </c>
      <c r="T84" s="165">
        <f>IF(COUNTIF('Model info'!$H$16,'Ecotox data'!B79)=1,7,IF(COUNTIF('Model info'!$J$16,'Ecotox data'!C79)=1,6,IF(COUNTIF('Model info'!$K$16,'Ecotox data'!D79)=1,5,IF(COUNTIF('Model info'!$L$16,'Ecotox data'!E79)=1,4,IF(COUNTIF('Model info'!$M$16,'Ecotox data'!F79)=1,3,IF(COUNTIF('Model info'!$N$16,'Ecotox data'!G79)=1,2,IF(COUNTIF('Model info'!$O$16,'Ecotox data'!H79)=1,1,0)))))))</f>
        <v>1</v>
      </c>
      <c r="U84" s="182">
        <f t="shared" si="7"/>
        <v>2</v>
      </c>
      <c r="V84" s="35"/>
      <c r="W84" s="27">
        <f>IF(AND('Ecotox data'!P79&gt;='Model info'!$C$20,'Ecotox data'!P79&lt;='Model info'!$C$21,'Ecotox data'!U79&gt;='Model info'!$D$20,'Ecotox data'!U79&lt;='Model info'!$D$21,'Ecotox data'!M79&gt;='Model info'!$E$20,'Ecotox data'!M79&lt;='Model info'!$E$21),1,0)</f>
        <v>1</v>
      </c>
      <c r="X84" s="171">
        <f>IF(COUNTIF('Model info'!$H$18:$H$24,'Ecotox data'!B79)=1,7,IF(COUNTIF('Model info'!$J$18:$J$24,'Ecotox data'!C79)=1,6,IF(COUNTIF('Model info'!$K$18:$K$24,'Ecotox data'!D79)=1,5,IF(COUNTIF('Model info'!$L$2:$L$24,'Ecotox data'!E79)=1,4,IF(COUNTIF('Model info'!$M$18:$M$24,'Ecotox data'!F79)=1,3,IF(COUNTIF('Model info'!$N$18:$N$24,'Ecotox data'!G79)=1,2,IF(COUNTIF('Model info'!$O$18:$O$24,'Ecotox data'!H79)=1,1,0)))))))</f>
        <v>7</v>
      </c>
      <c r="Y84" s="177">
        <f t="shared" si="8"/>
        <v>8</v>
      </c>
    </row>
    <row r="85" spans="5:25">
      <c r="E85" s="29">
        <v>74</v>
      </c>
      <c r="F85" s="262" t="s">
        <v>38</v>
      </c>
      <c r="G85" s="27">
        <f>IF(AND('Ecotox data'!P80&gt;='Model info'!$C$4,'Ecotox data'!P80&lt;='Model info'!$C$5),1,0)</f>
        <v>1</v>
      </c>
      <c r="H85" s="171">
        <f>IF(COUNTIF('Model info'!$H$4:$H$10,'Ecotox data'!B80)=1,7,IF(COUNTIF('Model info'!$J$4:$J$10,'Ecotox data'!C80)=1,6,IF(COUNTIF('Model info'!$K$4:$K$10,'Ecotox data'!D80)=1,5,IF(COUNTIF('Model info'!$L$4:$L$10,'Ecotox data'!E80)=1,4,IF(COUNTIF('Model info'!$M$4:$M$10,'Ecotox data'!F80)=1,3,IF(COUNTIF('Model info'!$N$4:$N$10,'Ecotox data'!G80)=1,2,IF(COUNTIF('Model info'!$O$4:$O$10,'Ecotox data'!H80)=1,1,0)))))))</f>
        <v>7</v>
      </c>
      <c r="I85" s="177">
        <f t="shared" si="9"/>
        <v>8</v>
      </c>
      <c r="J85" s="35"/>
      <c r="K85" s="27">
        <f>IF(AND('Ecotox data'!U80&gt;='Model info'!$D$8,'Ecotox data'!U80&lt;='Model info'!$D$9),1,0)</f>
        <v>1</v>
      </c>
      <c r="L85" s="163">
        <f>IF(COUNTIF('Model info'!$H$12,'Ecotox data'!B80)=1,7,IF(COUNTIF('Model info'!$J$12,'Ecotox data'!C80)=1,6,IF(COUNTIF('Model info'!$K$12,'Ecotox data'!D80)=1,5,IF(COUNTIF('Model info'!$L$12,'Ecotox data'!E80)=1,4,IF(COUNTIF('Model info'!$M$12,'Ecotox data'!F80)=1,3,IF(COUNTIF('Model info'!$N$12,'Ecotox data'!G80)=1,2,IF(COUNTIF('Model info'!$O$12,'Ecotox data'!H80)=1,1,0)))))))</f>
        <v>0</v>
      </c>
      <c r="M85" s="182">
        <f t="shared" si="5"/>
        <v>1</v>
      </c>
      <c r="N85" s="35"/>
      <c r="O85" s="27">
        <f>IF(AND('Ecotox data'!M80&gt;='Model info'!$E$12,'Ecotox data'!M80&lt;='Model info'!$E$13),1,0)</f>
        <v>1</v>
      </c>
      <c r="P85" s="172">
        <f>IF(COUNTIF('Model info'!$H$14,'Ecotox data'!B80)=1,7,IF(COUNTIF('Model info'!$J$14,'Ecotox data'!C80)=1,6,IF(COUNTIF('Model info'!$K$14,'Ecotox data'!D80)=1,5,IF(COUNTIF('Model info'!$L$14,'Ecotox data'!E80)=1,4,IF(COUNTIF('Model info'!$M$14,'Ecotox data'!F80)=1,3,IF(COUNTIF('Model info'!$N$14,'Ecotox data'!G80)=1,2,IF(COUNTIF('Model info'!$O$14,'Ecotox data'!H80)=1,1,0)))))))</f>
        <v>7</v>
      </c>
      <c r="Q85" s="177">
        <f t="shared" si="6"/>
        <v>8</v>
      </c>
      <c r="R85" s="35"/>
      <c r="S85" s="27">
        <f>IF(AND('Ecotox data'!P80&gt;='Model info'!$C$16,'Ecotox data'!P80&lt;='Model info'!$C$17,'Ecotox data'!U80&gt;='Model info'!$D$16,'Ecotox data'!U80&lt;='Model info'!$D$17,'Ecotox data'!M80&gt;='Model info'!$E$16,'Ecotox data'!M80&lt;='Model info'!$E$17),1,0)</f>
        <v>1</v>
      </c>
      <c r="T85" s="165">
        <f>IF(COUNTIF('Model info'!$H$16,'Ecotox data'!B80)=1,7,IF(COUNTIF('Model info'!$J$16,'Ecotox data'!C80)=1,6,IF(COUNTIF('Model info'!$K$16,'Ecotox data'!D80)=1,5,IF(COUNTIF('Model info'!$L$16,'Ecotox data'!E80)=1,4,IF(COUNTIF('Model info'!$M$16,'Ecotox data'!F80)=1,3,IF(COUNTIF('Model info'!$N$16,'Ecotox data'!G80)=1,2,IF(COUNTIF('Model info'!$O$16,'Ecotox data'!H80)=1,1,0)))))))</f>
        <v>1</v>
      </c>
      <c r="U85" s="182">
        <f t="shared" si="7"/>
        <v>2</v>
      </c>
      <c r="V85" s="35"/>
      <c r="W85" s="27">
        <f>IF(AND('Ecotox data'!P80&gt;='Model info'!$C$20,'Ecotox data'!P80&lt;='Model info'!$C$21,'Ecotox data'!U80&gt;='Model info'!$D$20,'Ecotox data'!U80&lt;='Model info'!$D$21,'Ecotox data'!M80&gt;='Model info'!$E$20,'Ecotox data'!M80&lt;='Model info'!$E$21),1,0)</f>
        <v>1</v>
      </c>
      <c r="X85" s="171">
        <f>IF(COUNTIF('Model info'!$H$18:$H$24,'Ecotox data'!B80)=1,7,IF(COUNTIF('Model info'!$J$18:$J$24,'Ecotox data'!C80)=1,6,IF(COUNTIF('Model info'!$K$18:$K$24,'Ecotox data'!D80)=1,5,IF(COUNTIF('Model info'!$L$2:$L$24,'Ecotox data'!E80)=1,4,IF(COUNTIF('Model info'!$M$18:$M$24,'Ecotox data'!F80)=1,3,IF(COUNTIF('Model info'!$N$18:$N$24,'Ecotox data'!G80)=1,2,IF(COUNTIF('Model info'!$O$18:$O$24,'Ecotox data'!H80)=1,1,0)))))))</f>
        <v>7</v>
      </c>
      <c r="Y85" s="177">
        <f t="shared" si="8"/>
        <v>8</v>
      </c>
    </row>
    <row r="86" spans="5:25">
      <c r="E86" s="29">
        <v>75</v>
      </c>
      <c r="F86" s="262" t="s">
        <v>38</v>
      </c>
      <c r="G86" s="27">
        <f>IF(AND('Ecotox data'!P81&gt;='Model info'!$C$4,'Ecotox data'!P81&lt;='Model info'!$C$5),1,0)</f>
        <v>1</v>
      </c>
      <c r="H86" s="171">
        <f>IF(COUNTIF('Model info'!$H$4:$H$10,'Ecotox data'!B81)=1,7,IF(COUNTIF('Model info'!$J$4:$J$10,'Ecotox data'!C81)=1,6,IF(COUNTIF('Model info'!$K$4:$K$10,'Ecotox data'!D81)=1,5,IF(COUNTIF('Model info'!$L$4:$L$10,'Ecotox data'!E81)=1,4,IF(COUNTIF('Model info'!$M$4:$M$10,'Ecotox data'!F81)=1,3,IF(COUNTIF('Model info'!$N$4:$N$10,'Ecotox data'!G81)=1,2,IF(COUNTIF('Model info'!$O$4:$O$10,'Ecotox data'!H81)=1,1,0)))))))</f>
        <v>7</v>
      </c>
      <c r="I86" s="177">
        <f t="shared" si="9"/>
        <v>8</v>
      </c>
      <c r="J86" s="35"/>
      <c r="K86" s="27">
        <f>IF(AND('Ecotox data'!U81&gt;='Model info'!$D$8,'Ecotox data'!U81&lt;='Model info'!$D$9),1,0)</f>
        <v>1</v>
      </c>
      <c r="L86" s="163">
        <f>IF(COUNTIF('Model info'!$H$12,'Ecotox data'!B81)=1,7,IF(COUNTIF('Model info'!$J$12,'Ecotox data'!C81)=1,6,IF(COUNTIF('Model info'!$K$12,'Ecotox data'!D81)=1,5,IF(COUNTIF('Model info'!$L$12,'Ecotox data'!E81)=1,4,IF(COUNTIF('Model info'!$M$12,'Ecotox data'!F81)=1,3,IF(COUNTIF('Model info'!$N$12,'Ecotox data'!G81)=1,2,IF(COUNTIF('Model info'!$O$12,'Ecotox data'!H81)=1,1,0)))))))</f>
        <v>0</v>
      </c>
      <c r="M86" s="182">
        <f t="shared" si="5"/>
        <v>1</v>
      </c>
      <c r="N86" s="35"/>
      <c r="O86" s="27">
        <f>IF(AND('Ecotox data'!M81&gt;='Model info'!$E$12,'Ecotox data'!M81&lt;='Model info'!$E$13),1,0)</f>
        <v>1</v>
      </c>
      <c r="P86" s="172">
        <f>IF(COUNTIF('Model info'!$H$14,'Ecotox data'!B81)=1,7,IF(COUNTIF('Model info'!$J$14,'Ecotox data'!C81)=1,6,IF(COUNTIF('Model info'!$K$14,'Ecotox data'!D81)=1,5,IF(COUNTIF('Model info'!$L$14,'Ecotox data'!E81)=1,4,IF(COUNTIF('Model info'!$M$14,'Ecotox data'!F81)=1,3,IF(COUNTIF('Model info'!$N$14,'Ecotox data'!G81)=1,2,IF(COUNTIF('Model info'!$O$14,'Ecotox data'!H81)=1,1,0)))))))</f>
        <v>7</v>
      </c>
      <c r="Q86" s="177">
        <f t="shared" si="6"/>
        <v>8</v>
      </c>
      <c r="R86" s="35"/>
      <c r="S86" s="27">
        <f>IF(AND('Ecotox data'!P81&gt;='Model info'!$C$16,'Ecotox data'!P81&lt;='Model info'!$C$17,'Ecotox data'!U81&gt;='Model info'!$D$16,'Ecotox data'!U81&lt;='Model info'!$D$17,'Ecotox data'!M81&gt;='Model info'!$E$16,'Ecotox data'!M81&lt;='Model info'!$E$17),1,0)</f>
        <v>1</v>
      </c>
      <c r="T86" s="165">
        <f>IF(COUNTIF('Model info'!$H$16,'Ecotox data'!B81)=1,7,IF(COUNTIF('Model info'!$J$16,'Ecotox data'!C81)=1,6,IF(COUNTIF('Model info'!$K$16,'Ecotox data'!D81)=1,5,IF(COUNTIF('Model info'!$L$16,'Ecotox data'!E81)=1,4,IF(COUNTIF('Model info'!$M$16,'Ecotox data'!F81)=1,3,IF(COUNTIF('Model info'!$N$16,'Ecotox data'!G81)=1,2,IF(COUNTIF('Model info'!$O$16,'Ecotox data'!H81)=1,1,0)))))))</f>
        <v>1</v>
      </c>
      <c r="U86" s="182">
        <f t="shared" si="7"/>
        <v>2</v>
      </c>
      <c r="V86" s="35"/>
      <c r="W86" s="27">
        <f>IF(AND('Ecotox data'!P81&gt;='Model info'!$C$20,'Ecotox data'!P81&lt;='Model info'!$C$21,'Ecotox data'!U81&gt;='Model info'!$D$20,'Ecotox data'!U81&lt;='Model info'!$D$21,'Ecotox data'!M81&gt;='Model info'!$E$20,'Ecotox data'!M81&lt;='Model info'!$E$21),1,0)</f>
        <v>1</v>
      </c>
      <c r="X86" s="171">
        <f>IF(COUNTIF('Model info'!$H$18:$H$24,'Ecotox data'!B81)=1,7,IF(COUNTIF('Model info'!$J$18:$J$24,'Ecotox data'!C81)=1,6,IF(COUNTIF('Model info'!$K$18:$K$24,'Ecotox data'!D81)=1,5,IF(COUNTIF('Model info'!$L$2:$L$24,'Ecotox data'!E81)=1,4,IF(COUNTIF('Model info'!$M$18:$M$24,'Ecotox data'!F81)=1,3,IF(COUNTIF('Model info'!$N$18:$N$24,'Ecotox data'!G81)=1,2,IF(COUNTIF('Model info'!$O$18:$O$24,'Ecotox data'!H81)=1,1,0)))))))</f>
        <v>7</v>
      </c>
      <c r="Y86" s="177">
        <f t="shared" si="8"/>
        <v>8</v>
      </c>
    </row>
    <row r="87" spans="5:25">
      <c r="E87" s="29">
        <v>76</v>
      </c>
      <c r="F87" s="262" t="s">
        <v>38</v>
      </c>
      <c r="G87" s="27">
        <f>IF(AND('Ecotox data'!P82&gt;='Model info'!$C$4,'Ecotox data'!P82&lt;='Model info'!$C$5),1,0)</f>
        <v>1</v>
      </c>
      <c r="H87" s="171">
        <f>IF(COUNTIF('Model info'!$H$4:$H$10,'Ecotox data'!B82)=1,7,IF(COUNTIF('Model info'!$J$4:$J$10,'Ecotox data'!C82)=1,6,IF(COUNTIF('Model info'!$K$4:$K$10,'Ecotox data'!D82)=1,5,IF(COUNTIF('Model info'!$L$4:$L$10,'Ecotox data'!E82)=1,4,IF(COUNTIF('Model info'!$M$4:$M$10,'Ecotox data'!F82)=1,3,IF(COUNTIF('Model info'!$N$4:$N$10,'Ecotox data'!G82)=1,2,IF(COUNTIF('Model info'!$O$4:$O$10,'Ecotox data'!H82)=1,1,0)))))))</f>
        <v>7</v>
      </c>
      <c r="I87" s="177">
        <f t="shared" si="9"/>
        <v>8</v>
      </c>
      <c r="J87" s="35"/>
      <c r="K87" s="27">
        <f>IF(AND('Ecotox data'!U82&gt;='Model info'!$D$8,'Ecotox data'!U82&lt;='Model info'!$D$9),1,0)</f>
        <v>1</v>
      </c>
      <c r="L87" s="163">
        <f>IF(COUNTIF('Model info'!$H$12,'Ecotox data'!B82)=1,7,IF(COUNTIF('Model info'!$J$12,'Ecotox data'!C82)=1,6,IF(COUNTIF('Model info'!$K$12,'Ecotox data'!D82)=1,5,IF(COUNTIF('Model info'!$L$12,'Ecotox data'!E82)=1,4,IF(COUNTIF('Model info'!$M$12,'Ecotox data'!F82)=1,3,IF(COUNTIF('Model info'!$N$12,'Ecotox data'!G82)=1,2,IF(COUNTIF('Model info'!$O$12,'Ecotox data'!H82)=1,1,0)))))))</f>
        <v>0</v>
      </c>
      <c r="M87" s="182">
        <f t="shared" si="5"/>
        <v>1</v>
      </c>
      <c r="N87" s="35"/>
      <c r="O87" s="27">
        <f>IF(AND('Ecotox data'!M82&gt;='Model info'!$E$12,'Ecotox data'!M82&lt;='Model info'!$E$13),1,0)</f>
        <v>1</v>
      </c>
      <c r="P87" s="172">
        <f>IF(COUNTIF('Model info'!$H$14,'Ecotox data'!B82)=1,7,IF(COUNTIF('Model info'!$J$14,'Ecotox data'!C82)=1,6,IF(COUNTIF('Model info'!$K$14,'Ecotox data'!D82)=1,5,IF(COUNTIF('Model info'!$L$14,'Ecotox data'!E82)=1,4,IF(COUNTIF('Model info'!$M$14,'Ecotox data'!F82)=1,3,IF(COUNTIF('Model info'!$N$14,'Ecotox data'!G82)=1,2,IF(COUNTIF('Model info'!$O$14,'Ecotox data'!H82)=1,1,0)))))))</f>
        <v>7</v>
      </c>
      <c r="Q87" s="177">
        <f t="shared" si="6"/>
        <v>8</v>
      </c>
      <c r="R87" s="35"/>
      <c r="S87" s="27">
        <f>IF(AND('Ecotox data'!P82&gt;='Model info'!$C$16,'Ecotox data'!P82&lt;='Model info'!$C$17,'Ecotox data'!U82&gt;='Model info'!$D$16,'Ecotox data'!U82&lt;='Model info'!$D$17,'Ecotox data'!M82&gt;='Model info'!$E$16,'Ecotox data'!M82&lt;='Model info'!$E$17),1,0)</f>
        <v>1</v>
      </c>
      <c r="T87" s="165">
        <f>IF(COUNTIF('Model info'!$H$16,'Ecotox data'!B82)=1,7,IF(COUNTIF('Model info'!$J$16,'Ecotox data'!C82)=1,6,IF(COUNTIF('Model info'!$K$16,'Ecotox data'!D82)=1,5,IF(COUNTIF('Model info'!$L$16,'Ecotox data'!E82)=1,4,IF(COUNTIF('Model info'!$M$16,'Ecotox data'!F82)=1,3,IF(COUNTIF('Model info'!$N$16,'Ecotox data'!G82)=1,2,IF(COUNTIF('Model info'!$O$16,'Ecotox data'!H82)=1,1,0)))))))</f>
        <v>1</v>
      </c>
      <c r="U87" s="182">
        <f t="shared" si="7"/>
        <v>2</v>
      </c>
      <c r="V87" s="35"/>
      <c r="W87" s="27">
        <f>IF(AND('Ecotox data'!P82&gt;='Model info'!$C$20,'Ecotox data'!P82&lt;='Model info'!$C$21,'Ecotox data'!U82&gt;='Model info'!$D$20,'Ecotox data'!U82&lt;='Model info'!$D$21,'Ecotox data'!M82&gt;='Model info'!$E$20,'Ecotox data'!M82&lt;='Model info'!$E$21),1,0)</f>
        <v>1</v>
      </c>
      <c r="X87" s="171">
        <f>IF(COUNTIF('Model info'!$H$18:$H$24,'Ecotox data'!B82)=1,7,IF(COUNTIF('Model info'!$J$18:$J$24,'Ecotox data'!C82)=1,6,IF(COUNTIF('Model info'!$K$18:$K$24,'Ecotox data'!D82)=1,5,IF(COUNTIF('Model info'!$L$2:$L$24,'Ecotox data'!E82)=1,4,IF(COUNTIF('Model info'!$M$18:$M$24,'Ecotox data'!F82)=1,3,IF(COUNTIF('Model info'!$N$18:$N$24,'Ecotox data'!G82)=1,2,IF(COUNTIF('Model info'!$O$18:$O$24,'Ecotox data'!H82)=1,1,0)))))))</f>
        <v>7</v>
      </c>
      <c r="Y87" s="177">
        <f t="shared" si="8"/>
        <v>8</v>
      </c>
    </row>
    <row r="88" spans="5:25">
      <c r="E88" s="29">
        <v>77</v>
      </c>
      <c r="F88" s="262" t="s">
        <v>38</v>
      </c>
      <c r="G88" s="27">
        <f>IF(AND('Ecotox data'!P83&gt;='Model info'!$C$4,'Ecotox data'!P83&lt;='Model info'!$C$5),1,0)</f>
        <v>1</v>
      </c>
      <c r="H88" s="171">
        <f>IF(COUNTIF('Model info'!$H$4:$H$10,'Ecotox data'!B83)=1,7,IF(COUNTIF('Model info'!$J$4:$J$10,'Ecotox data'!C83)=1,6,IF(COUNTIF('Model info'!$K$4:$K$10,'Ecotox data'!D83)=1,5,IF(COUNTIF('Model info'!$L$4:$L$10,'Ecotox data'!E83)=1,4,IF(COUNTIF('Model info'!$M$4:$M$10,'Ecotox data'!F83)=1,3,IF(COUNTIF('Model info'!$N$4:$N$10,'Ecotox data'!G83)=1,2,IF(COUNTIF('Model info'!$O$4:$O$10,'Ecotox data'!H83)=1,1,0)))))))</f>
        <v>7</v>
      </c>
      <c r="I88" s="177">
        <f t="shared" si="9"/>
        <v>8</v>
      </c>
      <c r="J88" s="35"/>
      <c r="K88" s="27">
        <f>IF(AND('Ecotox data'!U83&gt;='Model info'!$D$8,'Ecotox data'!U83&lt;='Model info'!$D$9),1,0)</f>
        <v>1</v>
      </c>
      <c r="L88" s="163">
        <f>IF(COUNTIF('Model info'!$H$12,'Ecotox data'!B83)=1,7,IF(COUNTIF('Model info'!$J$12,'Ecotox data'!C83)=1,6,IF(COUNTIF('Model info'!$K$12,'Ecotox data'!D83)=1,5,IF(COUNTIF('Model info'!$L$12,'Ecotox data'!E83)=1,4,IF(COUNTIF('Model info'!$M$12,'Ecotox data'!F83)=1,3,IF(COUNTIF('Model info'!$N$12,'Ecotox data'!G83)=1,2,IF(COUNTIF('Model info'!$O$12,'Ecotox data'!H83)=1,1,0)))))))</f>
        <v>0</v>
      </c>
      <c r="M88" s="182">
        <f t="shared" si="5"/>
        <v>1</v>
      </c>
      <c r="N88" s="35"/>
      <c r="O88" s="27">
        <f>IF(AND('Ecotox data'!M83&gt;='Model info'!$E$12,'Ecotox data'!M83&lt;='Model info'!$E$13),1,0)</f>
        <v>1</v>
      </c>
      <c r="P88" s="172">
        <f>IF(COUNTIF('Model info'!$H$14,'Ecotox data'!B83)=1,7,IF(COUNTIF('Model info'!$J$14,'Ecotox data'!C83)=1,6,IF(COUNTIF('Model info'!$K$14,'Ecotox data'!D83)=1,5,IF(COUNTIF('Model info'!$L$14,'Ecotox data'!E83)=1,4,IF(COUNTIF('Model info'!$M$14,'Ecotox data'!F83)=1,3,IF(COUNTIF('Model info'!$N$14,'Ecotox data'!G83)=1,2,IF(COUNTIF('Model info'!$O$14,'Ecotox data'!H83)=1,1,0)))))))</f>
        <v>7</v>
      </c>
      <c r="Q88" s="177">
        <f t="shared" si="6"/>
        <v>8</v>
      </c>
      <c r="R88" s="35"/>
      <c r="S88" s="27">
        <f>IF(AND('Ecotox data'!P83&gt;='Model info'!$C$16,'Ecotox data'!P83&lt;='Model info'!$C$17,'Ecotox data'!U83&gt;='Model info'!$D$16,'Ecotox data'!U83&lt;='Model info'!$D$17,'Ecotox data'!M83&gt;='Model info'!$E$16,'Ecotox data'!M83&lt;='Model info'!$E$17),1,0)</f>
        <v>1</v>
      </c>
      <c r="T88" s="165">
        <f>IF(COUNTIF('Model info'!$H$16,'Ecotox data'!B83)=1,7,IF(COUNTIF('Model info'!$J$16,'Ecotox data'!C83)=1,6,IF(COUNTIF('Model info'!$K$16,'Ecotox data'!D83)=1,5,IF(COUNTIF('Model info'!$L$16,'Ecotox data'!E83)=1,4,IF(COUNTIF('Model info'!$M$16,'Ecotox data'!F83)=1,3,IF(COUNTIF('Model info'!$N$16,'Ecotox data'!G83)=1,2,IF(COUNTIF('Model info'!$O$16,'Ecotox data'!H83)=1,1,0)))))))</f>
        <v>1</v>
      </c>
      <c r="U88" s="182">
        <f t="shared" si="7"/>
        <v>2</v>
      </c>
      <c r="V88" s="35"/>
      <c r="W88" s="27">
        <f>IF(AND('Ecotox data'!P83&gt;='Model info'!$C$20,'Ecotox data'!P83&lt;='Model info'!$C$21,'Ecotox data'!U83&gt;='Model info'!$D$20,'Ecotox data'!U83&lt;='Model info'!$D$21,'Ecotox data'!M83&gt;='Model info'!$E$20,'Ecotox data'!M83&lt;='Model info'!$E$21),1,0)</f>
        <v>1</v>
      </c>
      <c r="X88" s="171">
        <f>IF(COUNTIF('Model info'!$H$18:$H$24,'Ecotox data'!B83)=1,7,IF(COUNTIF('Model info'!$J$18:$J$24,'Ecotox data'!C83)=1,6,IF(COUNTIF('Model info'!$K$18:$K$24,'Ecotox data'!D83)=1,5,IF(COUNTIF('Model info'!$L$2:$L$24,'Ecotox data'!E83)=1,4,IF(COUNTIF('Model info'!$M$18:$M$24,'Ecotox data'!F83)=1,3,IF(COUNTIF('Model info'!$N$18:$N$24,'Ecotox data'!G83)=1,2,IF(COUNTIF('Model info'!$O$18:$O$24,'Ecotox data'!H83)=1,1,0)))))))</f>
        <v>7</v>
      </c>
      <c r="Y88" s="177">
        <f t="shared" si="8"/>
        <v>8</v>
      </c>
    </row>
    <row r="89" spans="5:25">
      <c r="E89" s="29">
        <v>78</v>
      </c>
      <c r="F89" s="262" t="s">
        <v>38</v>
      </c>
      <c r="G89" s="27">
        <f>IF(AND('Ecotox data'!P84&gt;='Model info'!$C$4,'Ecotox data'!P84&lt;='Model info'!$C$5),1,0)</f>
        <v>1</v>
      </c>
      <c r="H89" s="171">
        <f>IF(COUNTIF('Model info'!$H$4:$H$10,'Ecotox data'!B84)=1,7,IF(COUNTIF('Model info'!$J$4:$J$10,'Ecotox data'!C84)=1,6,IF(COUNTIF('Model info'!$K$4:$K$10,'Ecotox data'!D84)=1,5,IF(COUNTIF('Model info'!$L$4:$L$10,'Ecotox data'!E84)=1,4,IF(COUNTIF('Model info'!$M$4:$M$10,'Ecotox data'!F84)=1,3,IF(COUNTIF('Model info'!$N$4:$N$10,'Ecotox data'!G84)=1,2,IF(COUNTIF('Model info'!$O$4:$O$10,'Ecotox data'!H84)=1,1,0)))))))</f>
        <v>7</v>
      </c>
      <c r="I89" s="177">
        <f t="shared" si="9"/>
        <v>8</v>
      </c>
      <c r="J89" s="35"/>
      <c r="K89" s="27">
        <f>IF(AND('Ecotox data'!U84&gt;='Model info'!$D$8,'Ecotox data'!U84&lt;='Model info'!$D$9),1,0)</f>
        <v>1</v>
      </c>
      <c r="L89" s="163">
        <f>IF(COUNTIF('Model info'!$H$12,'Ecotox data'!B84)=1,7,IF(COUNTIF('Model info'!$J$12,'Ecotox data'!C84)=1,6,IF(COUNTIF('Model info'!$K$12,'Ecotox data'!D84)=1,5,IF(COUNTIF('Model info'!$L$12,'Ecotox data'!E84)=1,4,IF(COUNTIF('Model info'!$M$12,'Ecotox data'!F84)=1,3,IF(COUNTIF('Model info'!$N$12,'Ecotox data'!G84)=1,2,IF(COUNTIF('Model info'!$O$12,'Ecotox data'!H84)=1,1,0)))))))</f>
        <v>0</v>
      </c>
      <c r="M89" s="182">
        <f t="shared" si="5"/>
        <v>1</v>
      </c>
      <c r="N89" s="35"/>
      <c r="O89" s="27">
        <f>IF(AND('Ecotox data'!M84&gt;='Model info'!$E$12,'Ecotox data'!M84&lt;='Model info'!$E$13),1,0)</f>
        <v>1</v>
      </c>
      <c r="P89" s="172">
        <f>IF(COUNTIF('Model info'!$H$14,'Ecotox data'!B84)=1,7,IF(COUNTIF('Model info'!$J$14,'Ecotox data'!C84)=1,6,IF(COUNTIF('Model info'!$K$14,'Ecotox data'!D84)=1,5,IF(COUNTIF('Model info'!$L$14,'Ecotox data'!E84)=1,4,IF(COUNTIF('Model info'!$M$14,'Ecotox data'!F84)=1,3,IF(COUNTIF('Model info'!$N$14,'Ecotox data'!G84)=1,2,IF(COUNTIF('Model info'!$O$14,'Ecotox data'!H84)=1,1,0)))))))</f>
        <v>7</v>
      </c>
      <c r="Q89" s="177">
        <f t="shared" si="6"/>
        <v>8</v>
      </c>
      <c r="R89" s="35"/>
      <c r="S89" s="27">
        <f>IF(AND('Ecotox data'!P84&gt;='Model info'!$C$16,'Ecotox data'!P84&lt;='Model info'!$C$17,'Ecotox data'!U84&gt;='Model info'!$D$16,'Ecotox data'!U84&lt;='Model info'!$D$17,'Ecotox data'!M84&gt;='Model info'!$E$16,'Ecotox data'!M84&lt;='Model info'!$E$17),1,0)</f>
        <v>1</v>
      </c>
      <c r="T89" s="165">
        <f>IF(COUNTIF('Model info'!$H$16,'Ecotox data'!B84)=1,7,IF(COUNTIF('Model info'!$J$16,'Ecotox data'!C84)=1,6,IF(COUNTIF('Model info'!$K$16,'Ecotox data'!D84)=1,5,IF(COUNTIF('Model info'!$L$16,'Ecotox data'!E84)=1,4,IF(COUNTIF('Model info'!$M$16,'Ecotox data'!F84)=1,3,IF(COUNTIF('Model info'!$N$16,'Ecotox data'!G84)=1,2,IF(COUNTIF('Model info'!$O$16,'Ecotox data'!H84)=1,1,0)))))))</f>
        <v>1</v>
      </c>
      <c r="U89" s="182">
        <f t="shared" si="7"/>
        <v>2</v>
      </c>
      <c r="V89" s="35"/>
      <c r="W89" s="27">
        <f>IF(AND('Ecotox data'!P84&gt;='Model info'!$C$20,'Ecotox data'!P84&lt;='Model info'!$C$21,'Ecotox data'!U84&gt;='Model info'!$D$20,'Ecotox data'!U84&lt;='Model info'!$D$21,'Ecotox data'!M84&gt;='Model info'!$E$20,'Ecotox data'!M84&lt;='Model info'!$E$21),1,0)</f>
        <v>1</v>
      </c>
      <c r="X89" s="171">
        <f>IF(COUNTIF('Model info'!$H$18:$H$24,'Ecotox data'!B84)=1,7,IF(COUNTIF('Model info'!$J$18:$J$24,'Ecotox data'!C84)=1,6,IF(COUNTIF('Model info'!$K$18:$K$24,'Ecotox data'!D84)=1,5,IF(COUNTIF('Model info'!$L$2:$L$24,'Ecotox data'!E84)=1,4,IF(COUNTIF('Model info'!$M$18:$M$24,'Ecotox data'!F84)=1,3,IF(COUNTIF('Model info'!$N$18:$N$24,'Ecotox data'!G84)=1,2,IF(COUNTIF('Model info'!$O$18:$O$24,'Ecotox data'!H84)=1,1,0)))))))</f>
        <v>7</v>
      </c>
      <c r="Y89" s="177">
        <f t="shared" si="8"/>
        <v>8</v>
      </c>
    </row>
    <row r="90" spans="5:25">
      <c r="E90" s="29">
        <v>79</v>
      </c>
      <c r="F90" s="262" t="s">
        <v>38</v>
      </c>
      <c r="G90" s="27">
        <f>IF(AND('Ecotox data'!P85&gt;='Model info'!$C$4,'Ecotox data'!P85&lt;='Model info'!$C$5),1,0)</f>
        <v>1</v>
      </c>
      <c r="H90" s="171">
        <f>IF(COUNTIF('Model info'!$H$4:$H$10,'Ecotox data'!B85)=1,7,IF(COUNTIF('Model info'!$J$4:$J$10,'Ecotox data'!C85)=1,6,IF(COUNTIF('Model info'!$K$4:$K$10,'Ecotox data'!D85)=1,5,IF(COUNTIF('Model info'!$L$4:$L$10,'Ecotox data'!E85)=1,4,IF(COUNTIF('Model info'!$M$4:$M$10,'Ecotox data'!F85)=1,3,IF(COUNTIF('Model info'!$N$4:$N$10,'Ecotox data'!G85)=1,2,IF(COUNTIF('Model info'!$O$4:$O$10,'Ecotox data'!H85)=1,1,0)))))))</f>
        <v>7</v>
      </c>
      <c r="I90" s="177">
        <f t="shared" si="9"/>
        <v>8</v>
      </c>
      <c r="J90" s="35"/>
      <c r="K90" s="27">
        <f>IF(AND('Ecotox data'!U85&gt;='Model info'!$D$8,'Ecotox data'!U85&lt;='Model info'!$D$9),1,0)</f>
        <v>1</v>
      </c>
      <c r="L90" s="163">
        <f>IF(COUNTIF('Model info'!$H$12,'Ecotox data'!B85)=1,7,IF(COUNTIF('Model info'!$J$12,'Ecotox data'!C85)=1,6,IF(COUNTIF('Model info'!$K$12,'Ecotox data'!D85)=1,5,IF(COUNTIF('Model info'!$L$12,'Ecotox data'!E85)=1,4,IF(COUNTIF('Model info'!$M$12,'Ecotox data'!F85)=1,3,IF(COUNTIF('Model info'!$N$12,'Ecotox data'!G85)=1,2,IF(COUNTIF('Model info'!$O$12,'Ecotox data'!H85)=1,1,0)))))))</f>
        <v>0</v>
      </c>
      <c r="M90" s="182">
        <f t="shared" si="5"/>
        <v>1</v>
      </c>
      <c r="N90" s="35"/>
      <c r="O90" s="27">
        <f>IF(AND('Ecotox data'!M85&gt;='Model info'!$E$12,'Ecotox data'!M85&lt;='Model info'!$E$13),1,0)</f>
        <v>1</v>
      </c>
      <c r="P90" s="172">
        <f>IF(COUNTIF('Model info'!$H$14,'Ecotox data'!B85)=1,7,IF(COUNTIF('Model info'!$J$14,'Ecotox data'!C85)=1,6,IF(COUNTIF('Model info'!$K$14,'Ecotox data'!D85)=1,5,IF(COUNTIF('Model info'!$L$14,'Ecotox data'!E85)=1,4,IF(COUNTIF('Model info'!$M$14,'Ecotox data'!F85)=1,3,IF(COUNTIF('Model info'!$N$14,'Ecotox data'!G85)=1,2,IF(COUNTIF('Model info'!$O$14,'Ecotox data'!H85)=1,1,0)))))))</f>
        <v>7</v>
      </c>
      <c r="Q90" s="177">
        <f t="shared" si="6"/>
        <v>8</v>
      </c>
      <c r="R90" s="35"/>
      <c r="S90" s="27">
        <f>IF(AND('Ecotox data'!P85&gt;='Model info'!$C$16,'Ecotox data'!P85&lt;='Model info'!$C$17,'Ecotox data'!U85&gt;='Model info'!$D$16,'Ecotox data'!U85&lt;='Model info'!$D$17,'Ecotox data'!M85&gt;='Model info'!$E$16,'Ecotox data'!M85&lt;='Model info'!$E$17),1,0)</f>
        <v>1</v>
      </c>
      <c r="T90" s="165">
        <f>IF(COUNTIF('Model info'!$H$16,'Ecotox data'!B85)=1,7,IF(COUNTIF('Model info'!$J$16,'Ecotox data'!C85)=1,6,IF(COUNTIF('Model info'!$K$16,'Ecotox data'!D85)=1,5,IF(COUNTIF('Model info'!$L$16,'Ecotox data'!E85)=1,4,IF(COUNTIF('Model info'!$M$16,'Ecotox data'!F85)=1,3,IF(COUNTIF('Model info'!$N$16,'Ecotox data'!G85)=1,2,IF(COUNTIF('Model info'!$O$16,'Ecotox data'!H85)=1,1,0)))))))</f>
        <v>1</v>
      </c>
      <c r="U90" s="182">
        <f t="shared" si="7"/>
        <v>2</v>
      </c>
      <c r="V90" s="35"/>
      <c r="W90" s="27">
        <f>IF(AND('Ecotox data'!P85&gt;='Model info'!$C$20,'Ecotox data'!P85&lt;='Model info'!$C$21,'Ecotox data'!U85&gt;='Model info'!$D$20,'Ecotox data'!U85&lt;='Model info'!$D$21,'Ecotox data'!M85&gt;='Model info'!$E$20,'Ecotox data'!M85&lt;='Model info'!$E$21),1,0)</f>
        <v>1</v>
      </c>
      <c r="X90" s="171">
        <f>IF(COUNTIF('Model info'!$H$18:$H$24,'Ecotox data'!B85)=1,7,IF(COUNTIF('Model info'!$J$18:$J$24,'Ecotox data'!C85)=1,6,IF(COUNTIF('Model info'!$K$18:$K$24,'Ecotox data'!D85)=1,5,IF(COUNTIF('Model info'!$L$2:$L$24,'Ecotox data'!E85)=1,4,IF(COUNTIF('Model info'!$M$18:$M$24,'Ecotox data'!F85)=1,3,IF(COUNTIF('Model info'!$N$18:$N$24,'Ecotox data'!G85)=1,2,IF(COUNTIF('Model info'!$O$18:$O$24,'Ecotox data'!H85)=1,1,0)))))))</f>
        <v>7</v>
      </c>
      <c r="Y90" s="177">
        <f t="shared" si="8"/>
        <v>8</v>
      </c>
    </row>
    <row r="91" spans="5:25">
      <c r="E91" s="29">
        <v>80</v>
      </c>
      <c r="F91" s="262" t="s">
        <v>38</v>
      </c>
      <c r="G91" s="27">
        <f>IF(AND('Ecotox data'!P86&gt;='Model info'!$C$4,'Ecotox data'!P86&lt;='Model info'!$C$5),1,0)</f>
        <v>1</v>
      </c>
      <c r="H91" s="171">
        <f>IF(COUNTIF('Model info'!$H$4:$H$10,'Ecotox data'!B86)=1,7,IF(COUNTIF('Model info'!$J$4:$J$10,'Ecotox data'!C86)=1,6,IF(COUNTIF('Model info'!$K$4:$K$10,'Ecotox data'!D86)=1,5,IF(COUNTIF('Model info'!$L$4:$L$10,'Ecotox data'!E86)=1,4,IF(COUNTIF('Model info'!$M$4:$M$10,'Ecotox data'!F86)=1,3,IF(COUNTIF('Model info'!$N$4:$N$10,'Ecotox data'!G86)=1,2,IF(COUNTIF('Model info'!$O$4:$O$10,'Ecotox data'!H86)=1,1,0)))))))</f>
        <v>7</v>
      </c>
      <c r="I91" s="177">
        <f t="shared" si="9"/>
        <v>8</v>
      </c>
      <c r="J91" s="35"/>
      <c r="K91" s="27">
        <f>IF(AND('Ecotox data'!U86&gt;='Model info'!$D$8,'Ecotox data'!U86&lt;='Model info'!$D$9),1,0)</f>
        <v>1</v>
      </c>
      <c r="L91" s="163">
        <f>IF(COUNTIF('Model info'!$H$12,'Ecotox data'!B86)=1,7,IF(COUNTIF('Model info'!$J$12,'Ecotox data'!C86)=1,6,IF(COUNTIF('Model info'!$K$12,'Ecotox data'!D86)=1,5,IF(COUNTIF('Model info'!$L$12,'Ecotox data'!E86)=1,4,IF(COUNTIF('Model info'!$M$12,'Ecotox data'!F86)=1,3,IF(COUNTIF('Model info'!$N$12,'Ecotox data'!G86)=1,2,IF(COUNTIF('Model info'!$O$12,'Ecotox data'!H86)=1,1,0)))))))</f>
        <v>0</v>
      </c>
      <c r="M91" s="182">
        <f t="shared" si="5"/>
        <v>1</v>
      </c>
      <c r="N91" s="35"/>
      <c r="O91" s="27">
        <f>IF(AND('Ecotox data'!M86&gt;='Model info'!$E$12,'Ecotox data'!M86&lt;='Model info'!$E$13),1,0)</f>
        <v>1</v>
      </c>
      <c r="P91" s="172">
        <f>IF(COUNTIF('Model info'!$H$14,'Ecotox data'!B86)=1,7,IF(COUNTIF('Model info'!$J$14,'Ecotox data'!C86)=1,6,IF(COUNTIF('Model info'!$K$14,'Ecotox data'!D86)=1,5,IF(COUNTIF('Model info'!$L$14,'Ecotox data'!E86)=1,4,IF(COUNTIF('Model info'!$M$14,'Ecotox data'!F86)=1,3,IF(COUNTIF('Model info'!$N$14,'Ecotox data'!G86)=1,2,IF(COUNTIF('Model info'!$O$14,'Ecotox data'!H86)=1,1,0)))))))</f>
        <v>7</v>
      </c>
      <c r="Q91" s="177">
        <f t="shared" si="6"/>
        <v>8</v>
      </c>
      <c r="R91" s="35"/>
      <c r="S91" s="129">
        <f>IF(AND('Ecotox data'!P86&gt;='Model info'!$C$16,'Ecotox data'!P86&lt;='Model info'!$C$17,'Ecotox data'!U86&gt;='Model info'!$D$16,'Ecotox data'!U86&lt;='Model info'!$D$17,'Ecotox data'!M86&gt;='Model info'!$E$16,'Ecotox data'!M86&lt;='Model info'!$E$17),1,0)</f>
        <v>0</v>
      </c>
      <c r="T91" s="165">
        <f>IF(COUNTIF('Model info'!$H$16,'Ecotox data'!B86)=1,7,IF(COUNTIF('Model info'!$J$16,'Ecotox data'!C86)=1,6,IF(COUNTIF('Model info'!$K$16,'Ecotox data'!D86)=1,5,IF(COUNTIF('Model info'!$L$16,'Ecotox data'!E86)=1,4,IF(COUNTIF('Model info'!$M$16,'Ecotox data'!F86)=1,3,IF(COUNTIF('Model info'!$N$16,'Ecotox data'!G86)=1,2,IF(COUNTIF('Model info'!$O$16,'Ecotox data'!H86)=1,1,0)))))))</f>
        <v>1</v>
      </c>
      <c r="U91" s="182">
        <f t="shared" si="7"/>
        <v>1</v>
      </c>
      <c r="V91" s="35"/>
      <c r="W91" s="129">
        <f>IF(AND('Ecotox data'!P86&gt;='Model info'!$C$20,'Ecotox data'!P86&lt;='Model info'!$C$21,'Ecotox data'!U86&gt;='Model info'!$D$20,'Ecotox data'!U86&lt;='Model info'!$D$21,'Ecotox data'!M86&gt;='Model info'!$E$20,'Ecotox data'!M86&lt;='Model info'!$E$21),1,0)</f>
        <v>0</v>
      </c>
      <c r="X91" s="171">
        <f>IF(COUNTIF('Model info'!$H$18:$H$24,'Ecotox data'!B86)=1,7,IF(COUNTIF('Model info'!$J$18:$J$24,'Ecotox data'!C86)=1,6,IF(COUNTIF('Model info'!$K$18:$K$24,'Ecotox data'!D86)=1,5,IF(COUNTIF('Model info'!$L$2:$L$24,'Ecotox data'!E86)=1,4,IF(COUNTIF('Model info'!$M$18:$M$24,'Ecotox data'!F86)=1,3,IF(COUNTIF('Model info'!$N$18:$N$24,'Ecotox data'!G86)=1,2,IF(COUNTIF('Model info'!$O$18:$O$24,'Ecotox data'!H86)=1,1,0)))))))</f>
        <v>7</v>
      </c>
      <c r="Y91" s="177">
        <f t="shared" si="8"/>
        <v>7</v>
      </c>
    </row>
    <row r="92" spans="5:25">
      <c r="E92" s="29">
        <v>81</v>
      </c>
      <c r="F92" s="262" t="s">
        <v>38</v>
      </c>
      <c r="G92" s="27">
        <f>IF(AND('Ecotox data'!P87&gt;='Model info'!$C$4,'Ecotox data'!P87&lt;='Model info'!$C$5),1,0)</f>
        <v>1</v>
      </c>
      <c r="H92" s="171">
        <f>IF(COUNTIF('Model info'!$H$4:$H$10,'Ecotox data'!B87)=1,7,IF(COUNTIF('Model info'!$J$4:$J$10,'Ecotox data'!C87)=1,6,IF(COUNTIF('Model info'!$K$4:$K$10,'Ecotox data'!D87)=1,5,IF(COUNTIF('Model info'!$L$4:$L$10,'Ecotox data'!E87)=1,4,IF(COUNTIF('Model info'!$M$4:$M$10,'Ecotox data'!F87)=1,3,IF(COUNTIF('Model info'!$N$4:$N$10,'Ecotox data'!G87)=1,2,IF(COUNTIF('Model info'!$O$4:$O$10,'Ecotox data'!H87)=1,1,0)))))))</f>
        <v>7</v>
      </c>
      <c r="I92" s="177">
        <f t="shared" si="9"/>
        <v>8</v>
      </c>
      <c r="J92" s="35"/>
      <c r="K92" s="27">
        <f>IF(AND('Ecotox data'!U87&gt;='Model info'!$D$8,'Ecotox data'!U87&lt;='Model info'!$D$9),1,0)</f>
        <v>1</v>
      </c>
      <c r="L92" s="163">
        <f>IF(COUNTIF('Model info'!$H$12,'Ecotox data'!B87)=1,7,IF(COUNTIF('Model info'!$J$12,'Ecotox data'!C87)=1,6,IF(COUNTIF('Model info'!$K$12,'Ecotox data'!D87)=1,5,IF(COUNTIF('Model info'!$L$12,'Ecotox data'!E87)=1,4,IF(COUNTIF('Model info'!$M$12,'Ecotox data'!F87)=1,3,IF(COUNTIF('Model info'!$N$12,'Ecotox data'!G87)=1,2,IF(COUNTIF('Model info'!$O$12,'Ecotox data'!H87)=1,1,0)))))))</f>
        <v>0</v>
      </c>
      <c r="M92" s="182">
        <f t="shared" si="5"/>
        <v>1</v>
      </c>
      <c r="N92" s="35"/>
      <c r="O92" s="27">
        <f>IF(AND('Ecotox data'!M87&gt;='Model info'!$E$12,'Ecotox data'!M87&lt;='Model info'!$E$13),1,0)</f>
        <v>1</v>
      </c>
      <c r="P92" s="172">
        <f>IF(COUNTIF('Model info'!$H$14,'Ecotox data'!B87)=1,7,IF(COUNTIF('Model info'!$J$14,'Ecotox data'!C87)=1,6,IF(COUNTIF('Model info'!$K$14,'Ecotox data'!D87)=1,5,IF(COUNTIF('Model info'!$L$14,'Ecotox data'!E87)=1,4,IF(COUNTIF('Model info'!$M$14,'Ecotox data'!F87)=1,3,IF(COUNTIF('Model info'!$N$14,'Ecotox data'!G87)=1,2,IF(COUNTIF('Model info'!$O$14,'Ecotox data'!H87)=1,1,0)))))))</f>
        <v>7</v>
      </c>
      <c r="Q92" s="177">
        <f t="shared" si="6"/>
        <v>8</v>
      </c>
      <c r="R92" s="35"/>
      <c r="S92" s="27">
        <f>IF(AND('Ecotox data'!P87&gt;='Model info'!$C$16,'Ecotox data'!P87&lt;='Model info'!$C$17,'Ecotox data'!U87&gt;='Model info'!$D$16,'Ecotox data'!U87&lt;='Model info'!$D$17,'Ecotox data'!M87&gt;='Model info'!$E$16,'Ecotox data'!M87&lt;='Model info'!$E$17),1,0)</f>
        <v>1</v>
      </c>
      <c r="T92" s="165">
        <f>IF(COUNTIF('Model info'!$H$16,'Ecotox data'!B87)=1,7,IF(COUNTIF('Model info'!$J$16,'Ecotox data'!C87)=1,6,IF(COUNTIF('Model info'!$K$16,'Ecotox data'!D87)=1,5,IF(COUNTIF('Model info'!$L$16,'Ecotox data'!E87)=1,4,IF(COUNTIF('Model info'!$M$16,'Ecotox data'!F87)=1,3,IF(COUNTIF('Model info'!$N$16,'Ecotox data'!G87)=1,2,IF(COUNTIF('Model info'!$O$16,'Ecotox data'!H87)=1,1,0)))))))</f>
        <v>1</v>
      </c>
      <c r="U92" s="182">
        <f t="shared" si="7"/>
        <v>2</v>
      </c>
      <c r="V92" s="35"/>
      <c r="W92" s="27">
        <f>IF(AND('Ecotox data'!P87&gt;='Model info'!$C$20,'Ecotox data'!P87&lt;='Model info'!$C$21,'Ecotox data'!U87&gt;='Model info'!$D$20,'Ecotox data'!U87&lt;='Model info'!$D$21,'Ecotox data'!M87&gt;='Model info'!$E$20,'Ecotox data'!M87&lt;='Model info'!$E$21),1,0)</f>
        <v>1</v>
      </c>
      <c r="X92" s="171">
        <f>IF(COUNTIF('Model info'!$H$18:$H$24,'Ecotox data'!B87)=1,7,IF(COUNTIF('Model info'!$J$18:$J$24,'Ecotox data'!C87)=1,6,IF(COUNTIF('Model info'!$K$18:$K$24,'Ecotox data'!D87)=1,5,IF(COUNTIF('Model info'!$L$2:$L$24,'Ecotox data'!E87)=1,4,IF(COUNTIF('Model info'!$M$18:$M$24,'Ecotox data'!F87)=1,3,IF(COUNTIF('Model info'!$N$18:$N$24,'Ecotox data'!G87)=1,2,IF(COUNTIF('Model info'!$O$18:$O$24,'Ecotox data'!H87)=1,1,0)))))))</f>
        <v>7</v>
      </c>
      <c r="Y92" s="177">
        <f t="shared" si="8"/>
        <v>8</v>
      </c>
    </row>
    <row r="93" spans="5:25">
      <c r="E93" s="29">
        <v>82</v>
      </c>
      <c r="F93" s="262" t="s">
        <v>38</v>
      </c>
      <c r="G93" s="27">
        <f>IF(AND('Ecotox data'!P88&gt;='Model info'!$C$4,'Ecotox data'!P88&lt;='Model info'!$C$5),1,0)</f>
        <v>1</v>
      </c>
      <c r="H93" s="171">
        <f>IF(COUNTIF('Model info'!$H$4:$H$10,'Ecotox data'!B88)=1,7,IF(COUNTIF('Model info'!$J$4:$J$10,'Ecotox data'!C88)=1,6,IF(COUNTIF('Model info'!$K$4:$K$10,'Ecotox data'!D88)=1,5,IF(COUNTIF('Model info'!$L$4:$L$10,'Ecotox data'!E88)=1,4,IF(COUNTIF('Model info'!$M$4:$M$10,'Ecotox data'!F88)=1,3,IF(COUNTIF('Model info'!$N$4:$N$10,'Ecotox data'!G88)=1,2,IF(COUNTIF('Model info'!$O$4:$O$10,'Ecotox data'!H88)=1,1,0)))))))</f>
        <v>7</v>
      </c>
      <c r="I93" s="177">
        <f t="shared" si="9"/>
        <v>8</v>
      </c>
      <c r="J93" s="35"/>
      <c r="K93" s="27">
        <f>IF(AND('Ecotox data'!U88&gt;='Model info'!$D$8,'Ecotox data'!U88&lt;='Model info'!$D$9),1,0)</f>
        <v>1</v>
      </c>
      <c r="L93" s="163">
        <f>IF(COUNTIF('Model info'!$H$12,'Ecotox data'!B88)=1,7,IF(COUNTIF('Model info'!$J$12,'Ecotox data'!C88)=1,6,IF(COUNTIF('Model info'!$K$12,'Ecotox data'!D88)=1,5,IF(COUNTIF('Model info'!$L$12,'Ecotox data'!E88)=1,4,IF(COUNTIF('Model info'!$M$12,'Ecotox data'!F88)=1,3,IF(COUNTIF('Model info'!$N$12,'Ecotox data'!G88)=1,2,IF(COUNTIF('Model info'!$O$12,'Ecotox data'!H88)=1,1,0)))))))</f>
        <v>0</v>
      </c>
      <c r="M93" s="182">
        <f t="shared" si="5"/>
        <v>1</v>
      </c>
      <c r="N93" s="35"/>
      <c r="O93" s="27">
        <f>IF(AND('Ecotox data'!M88&gt;='Model info'!$E$12,'Ecotox data'!M88&lt;='Model info'!$E$13),1,0)</f>
        <v>1</v>
      </c>
      <c r="P93" s="172">
        <f>IF(COUNTIF('Model info'!$H$14,'Ecotox data'!B88)=1,7,IF(COUNTIF('Model info'!$J$14,'Ecotox data'!C88)=1,6,IF(COUNTIF('Model info'!$K$14,'Ecotox data'!D88)=1,5,IF(COUNTIF('Model info'!$L$14,'Ecotox data'!E88)=1,4,IF(COUNTIF('Model info'!$M$14,'Ecotox data'!F88)=1,3,IF(COUNTIF('Model info'!$N$14,'Ecotox data'!G88)=1,2,IF(COUNTIF('Model info'!$O$14,'Ecotox data'!H88)=1,1,0)))))))</f>
        <v>7</v>
      </c>
      <c r="Q93" s="177">
        <f t="shared" si="6"/>
        <v>8</v>
      </c>
      <c r="R93" s="35"/>
      <c r="S93" s="27">
        <f>IF(AND('Ecotox data'!P88&gt;='Model info'!$C$16,'Ecotox data'!P88&lt;='Model info'!$C$17,'Ecotox data'!U88&gt;='Model info'!$D$16,'Ecotox data'!U88&lt;='Model info'!$D$17,'Ecotox data'!M88&gt;='Model info'!$E$16,'Ecotox data'!M88&lt;='Model info'!$E$17),1,0)</f>
        <v>1</v>
      </c>
      <c r="T93" s="165">
        <f>IF(COUNTIF('Model info'!$H$16,'Ecotox data'!B88)=1,7,IF(COUNTIF('Model info'!$J$16,'Ecotox data'!C88)=1,6,IF(COUNTIF('Model info'!$K$16,'Ecotox data'!D88)=1,5,IF(COUNTIF('Model info'!$L$16,'Ecotox data'!E88)=1,4,IF(COUNTIF('Model info'!$M$16,'Ecotox data'!F88)=1,3,IF(COUNTIF('Model info'!$N$16,'Ecotox data'!G88)=1,2,IF(COUNTIF('Model info'!$O$16,'Ecotox data'!H88)=1,1,0)))))))</f>
        <v>1</v>
      </c>
      <c r="U93" s="182">
        <f t="shared" si="7"/>
        <v>2</v>
      </c>
      <c r="V93" s="35"/>
      <c r="W93" s="27">
        <f>IF(AND('Ecotox data'!P88&gt;='Model info'!$C$20,'Ecotox data'!P88&lt;='Model info'!$C$21,'Ecotox data'!U88&gt;='Model info'!$D$20,'Ecotox data'!U88&lt;='Model info'!$D$21,'Ecotox data'!M88&gt;='Model info'!$E$20,'Ecotox data'!M88&lt;='Model info'!$E$21),1,0)</f>
        <v>1</v>
      </c>
      <c r="X93" s="171">
        <f>IF(COUNTIF('Model info'!$H$18:$H$24,'Ecotox data'!B88)=1,7,IF(COUNTIF('Model info'!$J$18:$J$24,'Ecotox data'!C88)=1,6,IF(COUNTIF('Model info'!$K$18:$K$24,'Ecotox data'!D88)=1,5,IF(COUNTIF('Model info'!$L$2:$L$24,'Ecotox data'!E88)=1,4,IF(COUNTIF('Model info'!$M$18:$M$24,'Ecotox data'!F88)=1,3,IF(COUNTIF('Model info'!$N$18:$N$24,'Ecotox data'!G88)=1,2,IF(COUNTIF('Model info'!$O$18:$O$24,'Ecotox data'!H88)=1,1,0)))))))</f>
        <v>7</v>
      </c>
      <c r="Y93" s="177">
        <f t="shared" si="8"/>
        <v>8</v>
      </c>
    </row>
    <row r="94" spans="5:25">
      <c r="E94" s="29">
        <v>83</v>
      </c>
      <c r="F94" s="262" t="s">
        <v>38</v>
      </c>
      <c r="G94" s="27">
        <f>IF(AND('Ecotox data'!P89&gt;='Model info'!$C$4,'Ecotox data'!P89&lt;='Model info'!$C$5),1,0)</f>
        <v>1</v>
      </c>
      <c r="H94" s="171">
        <f>IF(COUNTIF('Model info'!$H$4:$H$10,'Ecotox data'!B89)=1,7,IF(COUNTIF('Model info'!$J$4:$J$10,'Ecotox data'!C89)=1,6,IF(COUNTIF('Model info'!$K$4:$K$10,'Ecotox data'!D89)=1,5,IF(COUNTIF('Model info'!$L$4:$L$10,'Ecotox data'!E89)=1,4,IF(COUNTIF('Model info'!$M$4:$M$10,'Ecotox data'!F89)=1,3,IF(COUNTIF('Model info'!$N$4:$N$10,'Ecotox data'!G89)=1,2,IF(COUNTIF('Model info'!$O$4:$O$10,'Ecotox data'!H89)=1,1,0)))))))</f>
        <v>7</v>
      </c>
      <c r="I94" s="177">
        <f t="shared" si="9"/>
        <v>8</v>
      </c>
      <c r="J94" s="35"/>
      <c r="K94" s="27">
        <f>IF(AND('Ecotox data'!U89&gt;='Model info'!$D$8,'Ecotox data'!U89&lt;='Model info'!$D$9),1,0)</f>
        <v>1</v>
      </c>
      <c r="L94" s="163">
        <f>IF(COUNTIF('Model info'!$H$12,'Ecotox data'!B89)=1,7,IF(COUNTIF('Model info'!$J$12,'Ecotox data'!C89)=1,6,IF(COUNTIF('Model info'!$K$12,'Ecotox data'!D89)=1,5,IF(COUNTIF('Model info'!$L$12,'Ecotox data'!E89)=1,4,IF(COUNTIF('Model info'!$M$12,'Ecotox data'!F89)=1,3,IF(COUNTIF('Model info'!$N$12,'Ecotox data'!G89)=1,2,IF(COUNTIF('Model info'!$O$12,'Ecotox data'!H89)=1,1,0)))))))</f>
        <v>0</v>
      </c>
      <c r="M94" s="182">
        <f t="shared" si="5"/>
        <v>1</v>
      </c>
      <c r="N94" s="35"/>
      <c r="O94" s="27">
        <f>IF(AND('Ecotox data'!M89&gt;='Model info'!$E$12,'Ecotox data'!M89&lt;='Model info'!$E$13),1,0)</f>
        <v>1</v>
      </c>
      <c r="P94" s="172">
        <f>IF(COUNTIF('Model info'!$H$14,'Ecotox data'!B89)=1,7,IF(COUNTIF('Model info'!$J$14,'Ecotox data'!C89)=1,6,IF(COUNTIF('Model info'!$K$14,'Ecotox data'!D89)=1,5,IF(COUNTIF('Model info'!$L$14,'Ecotox data'!E89)=1,4,IF(COUNTIF('Model info'!$M$14,'Ecotox data'!F89)=1,3,IF(COUNTIF('Model info'!$N$14,'Ecotox data'!G89)=1,2,IF(COUNTIF('Model info'!$O$14,'Ecotox data'!H89)=1,1,0)))))))</f>
        <v>7</v>
      </c>
      <c r="Q94" s="177">
        <f t="shared" si="6"/>
        <v>8</v>
      </c>
      <c r="R94" s="35"/>
      <c r="S94" s="27">
        <f>IF(AND('Ecotox data'!P89&gt;='Model info'!$C$16,'Ecotox data'!P89&lt;='Model info'!$C$17,'Ecotox data'!U89&gt;='Model info'!$D$16,'Ecotox data'!U89&lt;='Model info'!$D$17,'Ecotox data'!M89&gt;='Model info'!$E$16,'Ecotox data'!M89&lt;='Model info'!$E$17),1,0)</f>
        <v>1</v>
      </c>
      <c r="T94" s="165">
        <f>IF(COUNTIF('Model info'!$H$16,'Ecotox data'!B89)=1,7,IF(COUNTIF('Model info'!$J$16,'Ecotox data'!C89)=1,6,IF(COUNTIF('Model info'!$K$16,'Ecotox data'!D89)=1,5,IF(COUNTIF('Model info'!$L$16,'Ecotox data'!E89)=1,4,IF(COUNTIF('Model info'!$M$16,'Ecotox data'!F89)=1,3,IF(COUNTIF('Model info'!$N$16,'Ecotox data'!G89)=1,2,IF(COUNTIF('Model info'!$O$16,'Ecotox data'!H89)=1,1,0)))))))</f>
        <v>1</v>
      </c>
      <c r="U94" s="182">
        <f t="shared" si="7"/>
        <v>2</v>
      </c>
      <c r="V94" s="35"/>
      <c r="W94" s="27">
        <f>IF(AND('Ecotox data'!P89&gt;='Model info'!$C$20,'Ecotox data'!P89&lt;='Model info'!$C$21,'Ecotox data'!U89&gt;='Model info'!$D$20,'Ecotox data'!U89&lt;='Model info'!$D$21,'Ecotox data'!M89&gt;='Model info'!$E$20,'Ecotox data'!M89&lt;='Model info'!$E$21),1,0)</f>
        <v>1</v>
      </c>
      <c r="X94" s="171">
        <f>IF(COUNTIF('Model info'!$H$18:$H$24,'Ecotox data'!B89)=1,7,IF(COUNTIF('Model info'!$J$18:$J$24,'Ecotox data'!C89)=1,6,IF(COUNTIF('Model info'!$K$18:$K$24,'Ecotox data'!D89)=1,5,IF(COUNTIF('Model info'!$L$2:$L$24,'Ecotox data'!E89)=1,4,IF(COUNTIF('Model info'!$M$18:$M$24,'Ecotox data'!F89)=1,3,IF(COUNTIF('Model info'!$N$18:$N$24,'Ecotox data'!G89)=1,2,IF(COUNTIF('Model info'!$O$18:$O$24,'Ecotox data'!H89)=1,1,0)))))))</f>
        <v>7</v>
      </c>
      <c r="Y94" s="177">
        <f t="shared" si="8"/>
        <v>8</v>
      </c>
    </row>
    <row r="95" spans="5:25">
      <c r="E95" s="29">
        <v>84</v>
      </c>
      <c r="F95" s="262" t="s">
        <v>34</v>
      </c>
      <c r="G95" s="27">
        <f>IF(AND('Ecotox data'!P90&gt;='Model info'!$C$4,'Ecotox data'!P90&lt;='Model info'!$C$5),1,0)</f>
        <v>1</v>
      </c>
      <c r="H95" s="168">
        <f>IF(COUNTIF('Model info'!$H$4:$H$10,'Ecotox data'!B90)=1,7,IF(COUNTIF('Model info'!$J$4:$J$10,'Ecotox data'!C90)=1,6,IF(COUNTIF('Model info'!$K$4:$K$10,'Ecotox data'!D90)=1,5,IF(COUNTIF('Model info'!$L$4:$L$10,'Ecotox data'!E90)=1,4,IF(COUNTIF('Model info'!$M$4:$M$10,'Ecotox data'!F90)=1,3,IF(COUNTIF('Model info'!$N$4:$N$10,'Ecotox data'!G90)=1,2,IF(COUNTIF('Model info'!$O$4:$O$10,'Ecotox data'!H90)=1,1,0)))))))</f>
        <v>2</v>
      </c>
      <c r="I95" s="176">
        <f t="shared" si="9"/>
        <v>3</v>
      </c>
      <c r="J95" s="35"/>
      <c r="K95" s="27">
        <f>IF(AND('Ecotox data'!U90&gt;='Model info'!$D$8,'Ecotox data'!U90&lt;='Model info'!$D$9),1,0)</f>
        <v>1</v>
      </c>
      <c r="L95" s="163">
        <f>IF(COUNTIF('Model info'!$H$12,'Ecotox data'!B90)=1,7,IF(COUNTIF('Model info'!$J$12,'Ecotox data'!C90)=1,6,IF(COUNTIF('Model info'!$K$12,'Ecotox data'!D90)=1,5,IF(COUNTIF('Model info'!$L$12,'Ecotox data'!E90)=1,4,IF(COUNTIF('Model info'!$M$12,'Ecotox data'!F90)=1,3,IF(COUNTIF('Model info'!$N$12,'Ecotox data'!G90)=1,2,IF(COUNTIF('Model info'!$O$12,'Ecotox data'!H90)=1,1,0)))))))</f>
        <v>0</v>
      </c>
      <c r="M95" s="182">
        <f t="shared" si="5"/>
        <v>1</v>
      </c>
      <c r="N95" s="35"/>
      <c r="O95" s="27">
        <f>IF(AND('Ecotox data'!M90&gt;='Model info'!$E$12,'Ecotox data'!M90&lt;='Model info'!$E$13),1,0)</f>
        <v>1</v>
      </c>
      <c r="P95" s="165">
        <f>IF(COUNTIF('Model info'!$H$14,'Ecotox data'!B90)=1,7,IF(COUNTIF('Model info'!$J$14,'Ecotox data'!C90)=1,6,IF(COUNTIF('Model info'!$K$14,'Ecotox data'!D90)=1,5,IF(COUNTIF('Model info'!$L$14,'Ecotox data'!E90)=1,4,IF(COUNTIF('Model info'!$M$14,'Ecotox data'!F90)=1,3,IF(COUNTIF('Model info'!$N$14,'Ecotox data'!G90)=1,2,IF(COUNTIF('Model info'!$O$14,'Ecotox data'!H90)=1,1,0)))))))</f>
        <v>1</v>
      </c>
      <c r="Q95" s="182">
        <f t="shared" si="6"/>
        <v>2</v>
      </c>
      <c r="R95" s="35"/>
      <c r="S95" s="27">
        <f>IF(AND('Ecotox data'!P90&gt;='Model info'!$C$16,'Ecotox data'!P90&lt;='Model info'!$C$17,'Ecotox data'!U90&gt;='Model info'!$D$16,'Ecotox data'!U90&lt;='Model info'!$D$17,'Ecotox data'!M90&gt;='Model info'!$E$16,'Ecotox data'!M90&lt;='Model info'!$E$17),1,0)</f>
        <v>1</v>
      </c>
      <c r="T95" s="165">
        <f>IF(COUNTIF('Model info'!$H$16,'Ecotox data'!B90)=1,7,IF(COUNTIF('Model info'!$J$16,'Ecotox data'!C90)=1,6,IF(COUNTIF('Model info'!$K$16,'Ecotox data'!D90)=1,5,IF(COUNTIF('Model info'!$L$16,'Ecotox data'!E90)=1,4,IF(COUNTIF('Model info'!$M$16,'Ecotox data'!F90)=1,3,IF(COUNTIF('Model info'!$N$16,'Ecotox data'!G90)=1,2,IF(COUNTIF('Model info'!$O$16,'Ecotox data'!H90)=1,1,0)))))))</f>
        <v>1</v>
      </c>
      <c r="U95" s="182">
        <f t="shared" si="7"/>
        <v>2</v>
      </c>
      <c r="V95" s="35"/>
      <c r="W95" s="27">
        <f>IF(AND('Ecotox data'!P90&gt;='Model info'!$C$20,'Ecotox data'!P90&lt;='Model info'!$C$21,'Ecotox data'!U90&gt;='Model info'!$D$20,'Ecotox data'!U90&lt;='Model info'!$D$21,'Ecotox data'!M90&gt;='Model info'!$E$20,'Ecotox data'!M90&lt;='Model info'!$E$21),1,0)</f>
        <v>1</v>
      </c>
      <c r="X95" s="168">
        <f>IF(COUNTIF('Model info'!$H$18:$H$24,'Ecotox data'!B90)=1,7,IF(COUNTIF('Model info'!$J$18:$J$24,'Ecotox data'!C90)=1,6,IF(COUNTIF('Model info'!$K$18:$K$24,'Ecotox data'!D90)=1,5,IF(COUNTIF('Model info'!$L$2:$L$24,'Ecotox data'!E90)=1,4,IF(COUNTIF('Model info'!$M$18:$M$24,'Ecotox data'!F90)=1,3,IF(COUNTIF('Model info'!$N$18:$N$24,'Ecotox data'!G90)=1,2,IF(COUNTIF('Model info'!$O$18:$O$24,'Ecotox data'!H90)=1,1,0)))))))</f>
        <v>2</v>
      </c>
      <c r="Y95" s="176">
        <f t="shared" si="8"/>
        <v>3</v>
      </c>
    </row>
    <row r="96" spans="5:25">
      <c r="E96" s="29">
        <v>85</v>
      </c>
      <c r="F96" s="262" t="s">
        <v>43</v>
      </c>
      <c r="G96" s="27">
        <f>IF(AND('Ecotox data'!P91&gt;='Model info'!$C$4,'Ecotox data'!P91&lt;='Model info'!$C$5),1,0)</f>
        <v>1</v>
      </c>
      <c r="H96" s="168">
        <f>IF(COUNTIF('Model info'!$H$4:$H$10,'Ecotox data'!B91)=1,7,IF(COUNTIF('Model info'!$J$4:$J$10,'Ecotox data'!C91)=1,6,IF(COUNTIF('Model info'!$K$4:$K$10,'Ecotox data'!D91)=1,5,IF(COUNTIF('Model info'!$L$4:$L$10,'Ecotox data'!E91)=1,4,IF(COUNTIF('Model info'!$M$4:$M$10,'Ecotox data'!F91)=1,3,IF(COUNTIF('Model info'!$N$4:$N$10,'Ecotox data'!G91)=1,2,IF(COUNTIF('Model info'!$O$4:$O$10,'Ecotox data'!H91)=1,1,0)))))))</f>
        <v>2</v>
      </c>
      <c r="I96" s="176">
        <f t="shared" si="9"/>
        <v>3</v>
      </c>
      <c r="J96" s="35"/>
      <c r="K96" s="27">
        <f>IF(AND('Ecotox data'!U91&gt;='Model info'!$D$8,'Ecotox data'!U91&lt;='Model info'!$D$9),1,0)</f>
        <v>1</v>
      </c>
      <c r="L96" s="163">
        <f>IF(COUNTIF('Model info'!$H$12,'Ecotox data'!B91)=1,7,IF(COUNTIF('Model info'!$J$12,'Ecotox data'!C91)=1,6,IF(COUNTIF('Model info'!$K$12,'Ecotox data'!D91)=1,5,IF(COUNTIF('Model info'!$L$12,'Ecotox data'!E91)=1,4,IF(COUNTIF('Model info'!$M$12,'Ecotox data'!F91)=1,3,IF(COUNTIF('Model info'!$N$12,'Ecotox data'!G91)=1,2,IF(COUNTIF('Model info'!$O$12,'Ecotox data'!H91)=1,1,0)))))))</f>
        <v>0</v>
      </c>
      <c r="M96" s="182">
        <f t="shared" si="5"/>
        <v>1</v>
      </c>
      <c r="N96" s="35"/>
      <c r="O96" s="27">
        <f>IF(AND('Ecotox data'!M91&gt;='Model info'!$E$12,'Ecotox data'!M91&lt;='Model info'!$E$13),1,0)</f>
        <v>1</v>
      </c>
      <c r="P96" s="170">
        <f>IF(COUNTIF('Model info'!$H$14,'Ecotox data'!B91)=1,7,IF(COUNTIF('Model info'!$J$14,'Ecotox data'!C91)=1,6,IF(COUNTIF('Model info'!$K$14,'Ecotox data'!D91)=1,5,IF(COUNTIF('Model info'!$L$14,'Ecotox data'!E91)=1,4,IF(COUNTIF('Model info'!$M$14,'Ecotox data'!F91)=1,3,IF(COUNTIF('Model info'!$N$14,'Ecotox data'!G91)=1,2,IF(COUNTIF('Model info'!$O$14,'Ecotox data'!H91)=1,1,0)))))))</f>
        <v>2</v>
      </c>
      <c r="Q96" s="176">
        <f t="shared" si="6"/>
        <v>3</v>
      </c>
      <c r="R96" s="35"/>
      <c r="S96" s="27">
        <f>IF(AND('Ecotox data'!P91&gt;='Model info'!$C$16,'Ecotox data'!P91&lt;='Model info'!$C$17,'Ecotox data'!U91&gt;='Model info'!$D$16,'Ecotox data'!U91&lt;='Model info'!$D$17,'Ecotox data'!M91&gt;='Model info'!$E$16,'Ecotox data'!M91&lt;='Model info'!$E$17),1,0)</f>
        <v>1</v>
      </c>
      <c r="T96" s="165">
        <f>IF(COUNTIF('Model info'!$H$16,'Ecotox data'!B91)=1,7,IF(COUNTIF('Model info'!$J$16,'Ecotox data'!C91)=1,6,IF(COUNTIF('Model info'!$K$16,'Ecotox data'!D91)=1,5,IF(COUNTIF('Model info'!$L$16,'Ecotox data'!E91)=1,4,IF(COUNTIF('Model info'!$M$16,'Ecotox data'!F91)=1,3,IF(COUNTIF('Model info'!$N$16,'Ecotox data'!G91)=1,2,IF(COUNTIF('Model info'!$O$16,'Ecotox data'!H91)=1,1,0)))))))</f>
        <v>1</v>
      </c>
      <c r="U96" s="182">
        <f t="shared" si="7"/>
        <v>2</v>
      </c>
      <c r="V96" s="35"/>
      <c r="W96" s="27">
        <f>IF(AND('Ecotox data'!P91&gt;='Model info'!$C$20,'Ecotox data'!P91&lt;='Model info'!$C$21,'Ecotox data'!U91&gt;='Model info'!$D$20,'Ecotox data'!U91&lt;='Model info'!$D$21,'Ecotox data'!M91&gt;='Model info'!$E$20,'Ecotox data'!M91&lt;='Model info'!$E$21),1,0)</f>
        <v>1</v>
      </c>
      <c r="X96" s="168">
        <f>IF(COUNTIF('Model info'!$H$18:$H$24,'Ecotox data'!B91)=1,7,IF(COUNTIF('Model info'!$J$18:$J$24,'Ecotox data'!C91)=1,6,IF(COUNTIF('Model info'!$K$18:$K$24,'Ecotox data'!D91)=1,5,IF(COUNTIF('Model info'!$L$2:$L$24,'Ecotox data'!E91)=1,4,IF(COUNTIF('Model info'!$M$18:$M$24,'Ecotox data'!F91)=1,3,IF(COUNTIF('Model info'!$N$18:$N$24,'Ecotox data'!G91)=1,2,IF(COUNTIF('Model info'!$O$18:$O$24,'Ecotox data'!H91)=1,1,0)))))))</f>
        <v>2</v>
      </c>
      <c r="Y96" s="176">
        <f t="shared" si="8"/>
        <v>3</v>
      </c>
    </row>
    <row r="97" spans="5:25">
      <c r="E97" s="29">
        <v>86</v>
      </c>
      <c r="F97" s="262" t="s">
        <v>40</v>
      </c>
      <c r="G97" s="27">
        <f>IF(AND('Ecotox data'!P92&gt;='Model info'!$C$4,'Ecotox data'!P92&lt;='Model info'!$C$5),1,0)</f>
        <v>1</v>
      </c>
      <c r="H97" s="168">
        <f>IF(COUNTIF('Model info'!$H$4:$H$10,'Ecotox data'!B92)=1,7,IF(COUNTIF('Model info'!$J$4:$J$10,'Ecotox data'!C92)=1,6,IF(COUNTIF('Model info'!$K$4:$K$10,'Ecotox data'!D92)=1,5,IF(COUNTIF('Model info'!$L$4:$L$10,'Ecotox data'!E92)=1,4,IF(COUNTIF('Model info'!$M$4:$M$10,'Ecotox data'!F92)=1,3,IF(COUNTIF('Model info'!$N$4:$N$10,'Ecotox data'!G92)=1,2,IF(COUNTIF('Model info'!$O$4:$O$10,'Ecotox data'!H92)=1,1,0)))))))</f>
        <v>2</v>
      </c>
      <c r="I97" s="176">
        <f t="shared" si="9"/>
        <v>3</v>
      </c>
      <c r="J97" s="35"/>
      <c r="K97" s="129">
        <f>IF(AND('Ecotox data'!U92&gt;='Model info'!$D$8,'Ecotox data'!U92&lt;='Model info'!$D$9),1,0)</f>
        <v>0</v>
      </c>
      <c r="L97" s="163">
        <f>IF(COUNTIF('Model info'!$H$12,'Ecotox data'!B92)=1,7,IF(COUNTIF('Model info'!$J$12,'Ecotox data'!C92)=1,6,IF(COUNTIF('Model info'!$K$12,'Ecotox data'!D92)=1,5,IF(COUNTIF('Model info'!$L$12,'Ecotox data'!E92)=1,4,IF(COUNTIF('Model info'!$M$12,'Ecotox data'!F92)=1,3,IF(COUNTIF('Model info'!$N$12,'Ecotox data'!G92)=1,2,IF(COUNTIF('Model info'!$O$12,'Ecotox data'!H92)=1,1,0)))))))</f>
        <v>0</v>
      </c>
      <c r="M97" s="182">
        <f t="shared" si="5"/>
        <v>0</v>
      </c>
      <c r="N97" s="35"/>
      <c r="O97" s="27">
        <f>IF(AND('Ecotox data'!M92&gt;='Model info'!$E$12,'Ecotox data'!M92&lt;='Model info'!$E$13),1,0)</f>
        <v>1</v>
      </c>
      <c r="P97" s="170">
        <f>IF(COUNTIF('Model info'!$H$14,'Ecotox data'!B92)=1,7,IF(COUNTIF('Model info'!$J$14,'Ecotox data'!C92)=1,6,IF(COUNTIF('Model info'!$K$14,'Ecotox data'!D92)=1,5,IF(COUNTIF('Model info'!$L$14,'Ecotox data'!E92)=1,4,IF(COUNTIF('Model info'!$M$14,'Ecotox data'!F92)=1,3,IF(COUNTIF('Model info'!$N$14,'Ecotox data'!G92)=1,2,IF(COUNTIF('Model info'!$O$14,'Ecotox data'!H92)=1,1,0)))))))</f>
        <v>2</v>
      </c>
      <c r="Q97" s="176">
        <f t="shared" si="6"/>
        <v>3</v>
      </c>
      <c r="R97" s="35"/>
      <c r="S97" s="129">
        <f>IF(AND('Ecotox data'!P92&gt;='Model info'!$C$16,'Ecotox data'!P92&lt;='Model info'!$C$17,'Ecotox data'!U92&gt;='Model info'!$D$16,'Ecotox data'!U92&lt;='Model info'!$D$17,'Ecotox data'!M92&gt;='Model info'!$E$16,'Ecotox data'!M92&lt;='Model info'!$E$17),1,0)</f>
        <v>0</v>
      </c>
      <c r="T97" s="165">
        <f>IF(COUNTIF('Model info'!$H$16,'Ecotox data'!B92)=1,7,IF(COUNTIF('Model info'!$J$16,'Ecotox data'!C92)=1,6,IF(COUNTIF('Model info'!$K$16,'Ecotox data'!D92)=1,5,IF(COUNTIF('Model info'!$L$16,'Ecotox data'!E92)=1,4,IF(COUNTIF('Model info'!$M$16,'Ecotox data'!F92)=1,3,IF(COUNTIF('Model info'!$N$16,'Ecotox data'!G92)=1,2,IF(COUNTIF('Model info'!$O$16,'Ecotox data'!H92)=1,1,0)))))))</f>
        <v>1</v>
      </c>
      <c r="U97" s="182">
        <f t="shared" si="7"/>
        <v>1</v>
      </c>
      <c r="V97" s="35"/>
      <c r="W97" s="27">
        <f>IF(AND('Ecotox data'!P92&gt;='Model info'!$C$20,'Ecotox data'!P92&lt;='Model info'!$C$21,'Ecotox data'!U92&gt;='Model info'!$D$20,'Ecotox data'!U92&lt;='Model info'!$D$21,'Ecotox data'!M92&gt;='Model info'!$E$20,'Ecotox data'!M92&lt;='Model info'!$E$21),1,0)</f>
        <v>1</v>
      </c>
      <c r="X97" s="168">
        <f>IF(COUNTIF('Model info'!$H$18:$H$24,'Ecotox data'!B92)=1,7,IF(COUNTIF('Model info'!$J$18:$J$24,'Ecotox data'!C92)=1,6,IF(COUNTIF('Model info'!$K$18:$K$24,'Ecotox data'!D92)=1,5,IF(COUNTIF('Model info'!$L$2:$L$24,'Ecotox data'!E92)=1,4,IF(COUNTIF('Model info'!$M$18:$M$24,'Ecotox data'!F92)=1,3,IF(COUNTIF('Model info'!$N$18:$N$24,'Ecotox data'!G92)=1,2,IF(COUNTIF('Model info'!$O$18:$O$24,'Ecotox data'!H92)=1,1,0)))))))</f>
        <v>2</v>
      </c>
      <c r="Y97" s="176">
        <f t="shared" si="8"/>
        <v>3</v>
      </c>
    </row>
    <row r="98" spans="5:25">
      <c r="E98" s="29">
        <v>87</v>
      </c>
      <c r="F98" s="262" t="s">
        <v>50</v>
      </c>
      <c r="G98" s="27">
        <f>IF(AND('Ecotox data'!P93&gt;='Model info'!$C$4,'Ecotox data'!P93&lt;='Model info'!$C$5),1,0)</f>
        <v>1</v>
      </c>
      <c r="H98" s="168">
        <f>IF(COUNTIF('Model info'!$H$4:$H$10,'Ecotox data'!B93)=1,7,IF(COUNTIF('Model info'!$J$4:$J$10,'Ecotox data'!C93)=1,6,IF(COUNTIF('Model info'!$K$4:$K$10,'Ecotox data'!D93)=1,5,IF(COUNTIF('Model info'!$L$4:$L$10,'Ecotox data'!E93)=1,4,IF(COUNTIF('Model info'!$M$4:$M$10,'Ecotox data'!F93)=1,3,IF(COUNTIF('Model info'!$N$4:$N$10,'Ecotox data'!G93)=1,2,IF(COUNTIF('Model info'!$O$4:$O$10,'Ecotox data'!H93)=1,1,0)))))))</f>
        <v>2</v>
      </c>
      <c r="I98" s="176">
        <f t="shared" si="9"/>
        <v>3</v>
      </c>
      <c r="J98" s="35"/>
      <c r="K98" s="27">
        <f>IF(AND('Ecotox data'!U93&gt;='Model info'!$D$8,'Ecotox data'!U93&lt;='Model info'!$D$9),1,0)</f>
        <v>1</v>
      </c>
      <c r="L98" s="163">
        <f>IF(COUNTIF('Model info'!$H$12,'Ecotox data'!B93)=1,7,IF(COUNTIF('Model info'!$J$12,'Ecotox data'!C93)=1,6,IF(COUNTIF('Model info'!$K$12,'Ecotox data'!D93)=1,5,IF(COUNTIF('Model info'!$L$12,'Ecotox data'!E93)=1,4,IF(COUNTIF('Model info'!$M$12,'Ecotox data'!F93)=1,3,IF(COUNTIF('Model info'!$N$12,'Ecotox data'!G93)=1,2,IF(COUNTIF('Model info'!$O$12,'Ecotox data'!H93)=1,1,0)))))))</f>
        <v>0</v>
      </c>
      <c r="M98" s="182">
        <f t="shared" si="5"/>
        <v>1</v>
      </c>
      <c r="N98" s="35"/>
      <c r="O98" s="27">
        <f>IF(AND('Ecotox data'!M93&gt;='Model info'!$E$12,'Ecotox data'!M93&lt;='Model info'!$E$13),1,0)</f>
        <v>1</v>
      </c>
      <c r="P98" s="165">
        <f>IF(COUNTIF('Model info'!$H$14,'Ecotox data'!B93)=1,7,IF(COUNTIF('Model info'!$J$14,'Ecotox data'!C93)=1,6,IF(COUNTIF('Model info'!$K$14,'Ecotox data'!D93)=1,5,IF(COUNTIF('Model info'!$L$14,'Ecotox data'!E93)=1,4,IF(COUNTIF('Model info'!$M$14,'Ecotox data'!F93)=1,3,IF(COUNTIF('Model info'!$N$14,'Ecotox data'!G93)=1,2,IF(COUNTIF('Model info'!$O$14,'Ecotox data'!H93)=1,1,0)))))))</f>
        <v>1</v>
      </c>
      <c r="Q98" s="182">
        <f t="shared" si="6"/>
        <v>2</v>
      </c>
      <c r="R98" s="35"/>
      <c r="S98" s="27">
        <f>IF(AND('Ecotox data'!P93&gt;='Model info'!$C$16,'Ecotox data'!P93&lt;='Model info'!$C$17,'Ecotox data'!U93&gt;='Model info'!$D$16,'Ecotox data'!U93&lt;='Model info'!$D$17,'Ecotox data'!M93&gt;='Model info'!$E$16,'Ecotox data'!M93&lt;='Model info'!$E$17),1,0)</f>
        <v>1</v>
      </c>
      <c r="T98" s="165">
        <f>IF(COUNTIF('Model info'!$H$16,'Ecotox data'!B93)=1,7,IF(COUNTIF('Model info'!$J$16,'Ecotox data'!C93)=1,6,IF(COUNTIF('Model info'!$K$16,'Ecotox data'!D93)=1,5,IF(COUNTIF('Model info'!$L$16,'Ecotox data'!E93)=1,4,IF(COUNTIF('Model info'!$M$16,'Ecotox data'!F93)=1,3,IF(COUNTIF('Model info'!$N$16,'Ecotox data'!G93)=1,2,IF(COUNTIF('Model info'!$O$16,'Ecotox data'!H93)=1,1,0)))))))</f>
        <v>1</v>
      </c>
      <c r="U98" s="182">
        <f t="shared" si="7"/>
        <v>2</v>
      </c>
      <c r="V98" s="35"/>
      <c r="W98" s="27">
        <f>IF(AND('Ecotox data'!P93&gt;='Model info'!$C$20,'Ecotox data'!P93&lt;='Model info'!$C$21,'Ecotox data'!U93&gt;='Model info'!$D$20,'Ecotox data'!U93&lt;='Model info'!$D$21,'Ecotox data'!M93&gt;='Model info'!$E$20,'Ecotox data'!M93&lt;='Model info'!$E$21),1,0)</f>
        <v>1</v>
      </c>
      <c r="X98" s="168">
        <f>IF(COUNTIF('Model info'!$H$18:$H$24,'Ecotox data'!B93)=1,7,IF(COUNTIF('Model info'!$J$18:$J$24,'Ecotox data'!C93)=1,6,IF(COUNTIF('Model info'!$K$18:$K$24,'Ecotox data'!D93)=1,5,IF(COUNTIF('Model info'!$L$2:$L$24,'Ecotox data'!E93)=1,4,IF(COUNTIF('Model info'!$M$18:$M$24,'Ecotox data'!F93)=1,3,IF(COUNTIF('Model info'!$N$18:$N$24,'Ecotox data'!G93)=1,2,IF(COUNTIF('Model info'!$O$18:$O$24,'Ecotox data'!H93)=1,1,0)))))))</f>
        <v>2</v>
      </c>
      <c r="Y98" s="176">
        <f t="shared" si="8"/>
        <v>3</v>
      </c>
    </row>
    <row r="99" spans="5:25">
      <c r="E99" s="29">
        <v>88</v>
      </c>
      <c r="F99" s="262" t="s">
        <v>50</v>
      </c>
      <c r="G99" s="27">
        <f>IF(AND('Ecotox data'!P94&gt;='Model info'!$C$4,'Ecotox data'!P94&lt;='Model info'!$C$5),1,0)</f>
        <v>1</v>
      </c>
      <c r="H99" s="168">
        <f>IF(COUNTIF('Model info'!$H$4:$H$10,'Ecotox data'!B94)=1,7,IF(COUNTIF('Model info'!$J$4:$J$10,'Ecotox data'!C94)=1,6,IF(COUNTIF('Model info'!$K$4:$K$10,'Ecotox data'!D94)=1,5,IF(COUNTIF('Model info'!$L$4:$L$10,'Ecotox data'!E94)=1,4,IF(COUNTIF('Model info'!$M$4:$M$10,'Ecotox data'!F94)=1,3,IF(COUNTIF('Model info'!$N$4:$N$10,'Ecotox data'!G94)=1,2,IF(COUNTIF('Model info'!$O$4:$O$10,'Ecotox data'!H94)=1,1,0)))))))</f>
        <v>2</v>
      </c>
      <c r="I99" s="176">
        <f t="shared" si="9"/>
        <v>3</v>
      </c>
      <c r="J99" s="35"/>
      <c r="K99" s="27">
        <f>IF(AND('Ecotox data'!U94&gt;='Model info'!$D$8,'Ecotox data'!U94&lt;='Model info'!$D$9),1,0)</f>
        <v>1</v>
      </c>
      <c r="L99" s="163">
        <f>IF(COUNTIF('Model info'!$H$12,'Ecotox data'!B94)=1,7,IF(COUNTIF('Model info'!$J$12,'Ecotox data'!C94)=1,6,IF(COUNTIF('Model info'!$K$12,'Ecotox data'!D94)=1,5,IF(COUNTIF('Model info'!$L$12,'Ecotox data'!E94)=1,4,IF(COUNTIF('Model info'!$M$12,'Ecotox data'!F94)=1,3,IF(COUNTIF('Model info'!$N$12,'Ecotox data'!G94)=1,2,IF(COUNTIF('Model info'!$O$12,'Ecotox data'!H94)=1,1,0)))))))</f>
        <v>0</v>
      </c>
      <c r="M99" s="182">
        <f t="shared" si="5"/>
        <v>1</v>
      </c>
      <c r="N99" s="35"/>
      <c r="O99" s="27">
        <f>IF(AND('Ecotox data'!M94&gt;='Model info'!$E$12,'Ecotox data'!M94&lt;='Model info'!$E$13),1,0)</f>
        <v>1</v>
      </c>
      <c r="P99" s="165">
        <f>IF(COUNTIF('Model info'!$H$14,'Ecotox data'!B94)=1,7,IF(COUNTIF('Model info'!$J$14,'Ecotox data'!C94)=1,6,IF(COUNTIF('Model info'!$K$14,'Ecotox data'!D94)=1,5,IF(COUNTIF('Model info'!$L$14,'Ecotox data'!E94)=1,4,IF(COUNTIF('Model info'!$M$14,'Ecotox data'!F94)=1,3,IF(COUNTIF('Model info'!$N$14,'Ecotox data'!G94)=1,2,IF(COUNTIF('Model info'!$O$14,'Ecotox data'!H94)=1,1,0)))))))</f>
        <v>1</v>
      </c>
      <c r="Q99" s="182">
        <f t="shared" si="6"/>
        <v>2</v>
      </c>
      <c r="R99" s="35"/>
      <c r="S99" s="27">
        <f>IF(AND('Ecotox data'!P94&gt;='Model info'!$C$16,'Ecotox data'!P94&lt;='Model info'!$C$17,'Ecotox data'!U94&gt;='Model info'!$D$16,'Ecotox data'!U94&lt;='Model info'!$D$17,'Ecotox data'!M94&gt;='Model info'!$E$16,'Ecotox data'!M94&lt;='Model info'!$E$17),1,0)</f>
        <v>1</v>
      </c>
      <c r="T99" s="165">
        <f>IF(COUNTIF('Model info'!$H$16,'Ecotox data'!B94)=1,7,IF(COUNTIF('Model info'!$J$16,'Ecotox data'!C94)=1,6,IF(COUNTIF('Model info'!$K$16,'Ecotox data'!D94)=1,5,IF(COUNTIF('Model info'!$L$16,'Ecotox data'!E94)=1,4,IF(COUNTIF('Model info'!$M$16,'Ecotox data'!F94)=1,3,IF(COUNTIF('Model info'!$N$16,'Ecotox data'!G94)=1,2,IF(COUNTIF('Model info'!$O$16,'Ecotox data'!H94)=1,1,0)))))))</f>
        <v>1</v>
      </c>
      <c r="U99" s="182">
        <f t="shared" si="7"/>
        <v>2</v>
      </c>
      <c r="V99" s="35"/>
      <c r="W99" s="27">
        <f>IF(AND('Ecotox data'!P94&gt;='Model info'!$C$20,'Ecotox data'!P94&lt;='Model info'!$C$21,'Ecotox data'!U94&gt;='Model info'!$D$20,'Ecotox data'!U94&lt;='Model info'!$D$21,'Ecotox data'!M94&gt;='Model info'!$E$20,'Ecotox data'!M94&lt;='Model info'!$E$21),1,0)</f>
        <v>1</v>
      </c>
      <c r="X99" s="168">
        <f>IF(COUNTIF('Model info'!$H$18:$H$24,'Ecotox data'!B94)=1,7,IF(COUNTIF('Model info'!$J$18:$J$24,'Ecotox data'!C94)=1,6,IF(COUNTIF('Model info'!$K$18:$K$24,'Ecotox data'!D94)=1,5,IF(COUNTIF('Model info'!$L$2:$L$24,'Ecotox data'!E94)=1,4,IF(COUNTIF('Model info'!$M$18:$M$24,'Ecotox data'!F94)=1,3,IF(COUNTIF('Model info'!$N$18:$N$24,'Ecotox data'!G94)=1,2,IF(COUNTIF('Model info'!$O$18:$O$24,'Ecotox data'!H94)=1,1,0)))))))</f>
        <v>2</v>
      </c>
      <c r="Y99" s="176">
        <f t="shared" si="8"/>
        <v>3</v>
      </c>
    </row>
    <row r="100" spans="5:25">
      <c r="E100" s="29">
        <v>89</v>
      </c>
      <c r="F100" s="262" t="s">
        <v>50</v>
      </c>
      <c r="G100" s="27">
        <f>IF(AND('Ecotox data'!P95&gt;='Model info'!$C$4,'Ecotox data'!P95&lt;='Model info'!$C$5),1,0)</f>
        <v>1</v>
      </c>
      <c r="H100" s="168">
        <f>IF(COUNTIF('Model info'!$H$4:$H$10,'Ecotox data'!B95)=1,7,IF(COUNTIF('Model info'!$J$4:$J$10,'Ecotox data'!C95)=1,6,IF(COUNTIF('Model info'!$K$4:$K$10,'Ecotox data'!D95)=1,5,IF(COUNTIF('Model info'!$L$4:$L$10,'Ecotox data'!E95)=1,4,IF(COUNTIF('Model info'!$M$4:$M$10,'Ecotox data'!F95)=1,3,IF(COUNTIF('Model info'!$N$4:$N$10,'Ecotox data'!G95)=1,2,IF(COUNTIF('Model info'!$O$4:$O$10,'Ecotox data'!H95)=1,1,0)))))))</f>
        <v>2</v>
      </c>
      <c r="I100" s="176">
        <f t="shared" si="9"/>
        <v>3</v>
      </c>
      <c r="J100" s="35"/>
      <c r="K100" s="27">
        <f>IF(AND('Ecotox data'!U95&gt;='Model info'!$D$8,'Ecotox data'!U95&lt;='Model info'!$D$9),1,0)</f>
        <v>1</v>
      </c>
      <c r="L100" s="163">
        <f>IF(COUNTIF('Model info'!$H$12,'Ecotox data'!B95)=1,7,IF(COUNTIF('Model info'!$J$12,'Ecotox data'!C95)=1,6,IF(COUNTIF('Model info'!$K$12,'Ecotox data'!D95)=1,5,IF(COUNTIF('Model info'!$L$12,'Ecotox data'!E95)=1,4,IF(COUNTIF('Model info'!$M$12,'Ecotox data'!F95)=1,3,IF(COUNTIF('Model info'!$N$12,'Ecotox data'!G95)=1,2,IF(COUNTIF('Model info'!$O$12,'Ecotox data'!H95)=1,1,0)))))))</f>
        <v>0</v>
      </c>
      <c r="M100" s="182">
        <f t="shared" si="5"/>
        <v>1</v>
      </c>
      <c r="N100" s="35"/>
      <c r="O100" s="27">
        <f>IF(AND('Ecotox data'!M95&gt;='Model info'!$E$12,'Ecotox data'!M95&lt;='Model info'!$E$13),1,0)</f>
        <v>1</v>
      </c>
      <c r="P100" s="165">
        <f>IF(COUNTIF('Model info'!$H$14,'Ecotox data'!B95)=1,7,IF(COUNTIF('Model info'!$J$14,'Ecotox data'!C95)=1,6,IF(COUNTIF('Model info'!$K$14,'Ecotox data'!D95)=1,5,IF(COUNTIF('Model info'!$L$14,'Ecotox data'!E95)=1,4,IF(COUNTIF('Model info'!$M$14,'Ecotox data'!F95)=1,3,IF(COUNTIF('Model info'!$N$14,'Ecotox data'!G95)=1,2,IF(COUNTIF('Model info'!$O$14,'Ecotox data'!H95)=1,1,0)))))))</f>
        <v>1</v>
      </c>
      <c r="Q100" s="182">
        <f t="shared" si="6"/>
        <v>2</v>
      </c>
      <c r="R100" s="35"/>
      <c r="S100" s="27">
        <f>IF(AND('Ecotox data'!P95&gt;='Model info'!$C$16,'Ecotox data'!P95&lt;='Model info'!$C$17,'Ecotox data'!U95&gt;='Model info'!$D$16,'Ecotox data'!U95&lt;='Model info'!$D$17,'Ecotox data'!M95&gt;='Model info'!$E$16,'Ecotox data'!M95&lt;='Model info'!$E$17),1,0)</f>
        <v>1</v>
      </c>
      <c r="T100" s="165">
        <f>IF(COUNTIF('Model info'!$H$16,'Ecotox data'!B95)=1,7,IF(COUNTIF('Model info'!$J$16,'Ecotox data'!C95)=1,6,IF(COUNTIF('Model info'!$K$16,'Ecotox data'!D95)=1,5,IF(COUNTIF('Model info'!$L$16,'Ecotox data'!E95)=1,4,IF(COUNTIF('Model info'!$M$16,'Ecotox data'!F95)=1,3,IF(COUNTIF('Model info'!$N$16,'Ecotox data'!G95)=1,2,IF(COUNTIF('Model info'!$O$16,'Ecotox data'!H95)=1,1,0)))))))</f>
        <v>1</v>
      </c>
      <c r="U100" s="182">
        <f t="shared" si="7"/>
        <v>2</v>
      </c>
      <c r="V100" s="35"/>
      <c r="W100" s="27">
        <f>IF(AND('Ecotox data'!P95&gt;='Model info'!$C$20,'Ecotox data'!P95&lt;='Model info'!$C$21,'Ecotox data'!U95&gt;='Model info'!$D$20,'Ecotox data'!U95&lt;='Model info'!$D$21,'Ecotox data'!M95&gt;='Model info'!$E$20,'Ecotox data'!M95&lt;='Model info'!$E$21),1,0)</f>
        <v>1</v>
      </c>
      <c r="X100" s="168">
        <f>IF(COUNTIF('Model info'!$H$18:$H$24,'Ecotox data'!B95)=1,7,IF(COUNTIF('Model info'!$J$18:$J$24,'Ecotox data'!C95)=1,6,IF(COUNTIF('Model info'!$K$18:$K$24,'Ecotox data'!D95)=1,5,IF(COUNTIF('Model info'!$L$2:$L$24,'Ecotox data'!E95)=1,4,IF(COUNTIF('Model info'!$M$18:$M$24,'Ecotox data'!F95)=1,3,IF(COUNTIF('Model info'!$N$18:$N$24,'Ecotox data'!G95)=1,2,IF(COUNTIF('Model info'!$O$18:$O$24,'Ecotox data'!H95)=1,1,0)))))))</f>
        <v>2</v>
      </c>
      <c r="Y100" s="176">
        <f t="shared" si="8"/>
        <v>3</v>
      </c>
    </row>
    <row r="101" spans="5:25">
      <c r="E101" s="29">
        <v>90</v>
      </c>
      <c r="F101" s="262" t="s">
        <v>50</v>
      </c>
      <c r="G101" s="27">
        <f>IF(AND('Ecotox data'!P96&gt;='Model info'!$C$4,'Ecotox data'!P96&lt;='Model info'!$C$5),1,0)</f>
        <v>1</v>
      </c>
      <c r="H101" s="168">
        <f>IF(COUNTIF('Model info'!$H$4:$H$10,'Ecotox data'!B96)=1,7,IF(COUNTIF('Model info'!$J$4:$J$10,'Ecotox data'!C96)=1,6,IF(COUNTIF('Model info'!$K$4:$K$10,'Ecotox data'!D96)=1,5,IF(COUNTIF('Model info'!$L$4:$L$10,'Ecotox data'!E96)=1,4,IF(COUNTIF('Model info'!$M$4:$M$10,'Ecotox data'!F96)=1,3,IF(COUNTIF('Model info'!$N$4:$N$10,'Ecotox data'!G96)=1,2,IF(COUNTIF('Model info'!$O$4:$O$10,'Ecotox data'!H96)=1,1,0)))))))</f>
        <v>2</v>
      </c>
      <c r="I101" s="176">
        <f t="shared" si="9"/>
        <v>3</v>
      </c>
      <c r="J101" s="35"/>
      <c r="K101" s="27">
        <f>IF(AND('Ecotox data'!U96&gt;='Model info'!$D$8,'Ecotox data'!U96&lt;='Model info'!$D$9),1,0)</f>
        <v>1</v>
      </c>
      <c r="L101" s="163">
        <f>IF(COUNTIF('Model info'!$H$12,'Ecotox data'!B96)=1,7,IF(COUNTIF('Model info'!$J$12,'Ecotox data'!C96)=1,6,IF(COUNTIF('Model info'!$K$12,'Ecotox data'!D96)=1,5,IF(COUNTIF('Model info'!$L$12,'Ecotox data'!E96)=1,4,IF(COUNTIF('Model info'!$M$12,'Ecotox data'!F96)=1,3,IF(COUNTIF('Model info'!$N$12,'Ecotox data'!G96)=1,2,IF(COUNTIF('Model info'!$O$12,'Ecotox data'!H96)=1,1,0)))))))</f>
        <v>0</v>
      </c>
      <c r="M101" s="182">
        <f t="shared" si="5"/>
        <v>1</v>
      </c>
      <c r="N101" s="35"/>
      <c r="O101" s="27">
        <f>IF(AND('Ecotox data'!M96&gt;='Model info'!$E$12,'Ecotox data'!M96&lt;='Model info'!$E$13),1,0)</f>
        <v>1</v>
      </c>
      <c r="P101" s="165">
        <f>IF(COUNTIF('Model info'!$H$14,'Ecotox data'!B96)=1,7,IF(COUNTIF('Model info'!$J$14,'Ecotox data'!C96)=1,6,IF(COUNTIF('Model info'!$K$14,'Ecotox data'!D96)=1,5,IF(COUNTIF('Model info'!$L$14,'Ecotox data'!E96)=1,4,IF(COUNTIF('Model info'!$M$14,'Ecotox data'!F96)=1,3,IF(COUNTIF('Model info'!$N$14,'Ecotox data'!G96)=1,2,IF(COUNTIF('Model info'!$O$14,'Ecotox data'!H96)=1,1,0)))))))</f>
        <v>1</v>
      </c>
      <c r="Q101" s="182">
        <f t="shared" si="6"/>
        <v>2</v>
      </c>
      <c r="R101" s="35"/>
      <c r="S101" s="27">
        <f>IF(AND('Ecotox data'!P96&gt;='Model info'!$C$16,'Ecotox data'!P96&lt;='Model info'!$C$17,'Ecotox data'!U96&gt;='Model info'!$D$16,'Ecotox data'!U96&lt;='Model info'!$D$17,'Ecotox data'!M96&gt;='Model info'!$E$16,'Ecotox data'!M96&lt;='Model info'!$E$17),1,0)</f>
        <v>1</v>
      </c>
      <c r="T101" s="165">
        <f>IF(COUNTIF('Model info'!$H$16,'Ecotox data'!B96)=1,7,IF(COUNTIF('Model info'!$J$16,'Ecotox data'!C96)=1,6,IF(COUNTIF('Model info'!$K$16,'Ecotox data'!D96)=1,5,IF(COUNTIF('Model info'!$L$16,'Ecotox data'!E96)=1,4,IF(COUNTIF('Model info'!$M$16,'Ecotox data'!F96)=1,3,IF(COUNTIF('Model info'!$N$16,'Ecotox data'!G96)=1,2,IF(COUNTIF('Model info'!$O$16,'Ecotox data'!H96)=1,1,0)))))))</f>
        <v>1</v>
      </c>
      <c r="U101" s="182">
        <f t="shared" si="7"/>
        <v>2</v>
      </c>
      <c r="V101" s="35"/>
      <c r="W101" s="27">
        <f>IF(AND('Ecotox data'!P96&gt;='Model info'!$C$20,'Ecotox data'!P96&lt;='Model info'!$C$21,'Ecotox data'!U96&gt;='Model info'!$D$20,'Ecotox data'!U96&lt;='Model info'!$D$21,'Ecotox data'!M96&gt;='Model info'!$E$20,'Ecotox data'!M96&lt;='Model info'!$E$21),1,0)</f>
        <v>1</v>
      </c>
      <c r="X101" s="168">
        <f>IF(COUNTIF('Model info'!$H$18:$H$24,'Ecotox data'!B96)=1,7,IF(COUNTIF('Model info'!$J$18:$J$24,'Ecotox data'!C96)=1,6,IF(COUNTIF('Model info'!$K$18:$K$24,'Ecotox data'!D96)=1,5,IF(COUNTIF('Model info'!$L$2:$L$24,'Ecotox data'!E96)=1,4,IF(COUNTIF('Model info'!$M$18:$M$24,'Ecotox data'!F96)=1,3,IF(COUNTIF('Model info'!$N$18:$N$24,'Ecotox data'!G96)=1,2,IF(COUNTIF('Model info'!$O$18:$O$24,'Ecotox data'!H96)=1,1,0)))))))</f>
        <v>2</v>
      </c>
      <c r="Y101" s="176">
        <f t="shared" si="8"/>
        <v>3</v>
      </c>
    </row>
    <row r="102" spans="5:25">
      <c r="E102" s="29">
        <v>91</v>
      </c>
      <c r="F102" s="262" t="s">
        <v>48</v>
      </c>
      <c r="G102" s="27">
        <f>IF(AND('Ecotox data'!P97&gt;='Model info'!$C$4,'Ecotox data'!P97&lt;='Model info'!$C$5),1,0)</f>
        <v>1</v>
      </c>
      <c r="H102" s="168">
        <f>IF(COUNTIF('Model info'!$H$4:$H$10,'Ecotox data'!B97)=1,7,IF(COUNTIF('Model info'!$J$4:$J$10,'Ecotox data'!C97)=1,6,IF(COUNTIF('Model info'!$K$4:$K$10,'Ecotox data'!D97)=1,5,IF(COUNTIF('Model info'!$L$4:$L$10,'Ecotox data'!E97)=1,4,IF(COUNTIF('Model info'!$M$4:$M$10,'Ecotox data'!F97)=1,3,IF(COUNTIF('Model info'!$N$4:$N$10,'Ecotox data'!G97)=1,2,IF(COUNTIF('Model info'!$O$4:$O$10,'Ecotox data'!H97)=1,1,0)))))))</f>
        <v>4</v>
      </c>
      <c r="I102" s="176">
        <f t="shared" si="9"/>
        <v>5</v>
      </c>
      <c r="J102" s="35"/>
      <c r="K102" s="27">
        <f>IF(AND('Ecotox data'!U97&gt;='Model info'!$D$8,'Ecotox data'!U97&lt;='Model info'!$D$9),1,0)</f>
        <v>1</v>
      </c>
      <c r="L102" s="163">
        <f>IF(COUNTIF('Model info'!$H$12,'Ecotox data'!B97)=1,7,IF(COUNTIF('Model info'!$J$12,'Ecotox data'!C97)=1,6,IF(COUNTIF('Model info'!$K$12,'Ecotox data'!D97)=1,5,IF(COUNTIF('Model info'!$L$12,'Ecotox data'!E97)=1,4,IF(COUNTIF('Model info'!$M$12,'Ecotox data'!F97)=1,3,IF(COUNTIF('Model info'!$N$12,'Ecotox data'!G97)=1,2,IF(COUNTIF('Model info'!$O$12,'Ecotox data'!H97)=1,1,0)))))))</f>
        <v>0</v>
      </c>
      <c r="M102" s="182">
        <f t="shared" si="5"/>
        <v>1</v>
      </c>
      <c r="N102" s="35"/>
      <c r="O102" s="27">
        <f>IF(AND('Ecotox data'!M97&gt;='Model info'!$E$12,'Ecotox data'!M97&lt;='Model info'!$E$13),1,0)</f>
        <v>1</v>
      </c>
      <c r="P102" s="165">
        <f>IF(COUNTIF('Model info'!$H$14,'Ecotox data'!B97)=1,7,IF(COUNTIF('Model info'!$J$14,'Ecotox data'!C97)=1,6,IF(COUNTIF('Model info'!$K$14,'Ecotox data'!D97)=1,5,IF(COUNTIF('Model info'!$L$14,'Ecotox data'!E97)=1,4,IF(COUNTIF('Model info'!$M$14,'Ecotox data'!F97)=1,3,IF(COUNTIF('Model info'!$N$14,'Ecotox data'!G97)=1,2,IF(COUNTIF('Model info'!$O$14,'Ecotox data'!H97)=1,1,0)))))))</f>
        <v>1</v>
      </c>
      <c r="Q102" s="182">
        <f t="shared" si="6"/>
        <v>2</v>
      </c>
      <c r="R102" s="35"/>
      <c r="S102" s="27">
        <f>IF(AND('Ecotox data'!P97&gt;='Model info'!$C$16,'Ecotox data'!P97&lt;='Model info'!$C$17,'Ecotox data'!U97&gt;='Model info'!$D$16,'Ecotox data'!U97&lt;='Model info'!$D$17,'Ecotox data'!M97&gt;='Model info'!$E$16,'Ecotox data'!M97&lt;='Model info'!$E$17),1,0)</f>
        <v>1</v>
      </c>
      <c r="T102" s="165">
        <f>IF(COUNTIF('Model info'!$H$16,'Ecotox data'!B97)=1,7,IF(COUNTIF('Model info'!$J$16,'Ecotox data'!C97)=1,6,IF(COUNTIF('Model info'!$K$16,'Ecotox data'!D97)=1,5,IF(COUNTIF('Model info'!$L$16,'Ecotox data'!E97)=1,4,IF(COUNTIF('Model info'!$M$16,'Ecotox data'!F97)=1,3,IF(COUNTIF('Model info'!$N$16,'Ecotox data'!G97)=1,2,IF(COUNTIF('Model info'!$O$16,'Ecotox data'!H97)=1,1,0)))))))</f>
        <v>1</v>
      </c>
      <c r="U102" s="182">
        <f t="shared" si="7"/>
        <v>2</v>
      </c>
      <c r="V102" s="35"/>
      <c r="W102" s="27">
        <f>IF(AND('Ecotox data'!P97&gt;='Model info'!$C$20,'Ecotox data'!P97&lt;='Model info'!$C$21,'Ecotox data'!U97&gt;='Model info'!$D$20,'Ecotox data'!U97&lt;='Model info'!$D$21,'Ecotox data'!M97&gt;='Model info'!$E$20,'Ecotox data'!M97&lt;='Model info'!$E$21),1,0)</f>
        <v>1</v>
      </c>
      <c r="X102" s="171">
        <f>IF(COUNTIF('Model info'!$H$18:$H$24,'Ecotox data'!B97)=1,7,IF(COUNTIF('Model info'!$J$18:$J$24,'Ecotox data'!C97)=1,6,IF(COUNTIF('Model info'!$K$18:$K$24,'Ecotox data'!D97)=1,5,IF(COUNTIF('Model info'!$L$2:$L$24,'Ecotox data'!E97)=1,4,IF(COUNTIF('Model info'!$M$18:$M$24,'Ecotox data'!F97)=1,3,IF(COUNTIF('Model info'!$N$18:$N$24,'Ecotox data'!G97)=1,2,IF(COUNTIF('Model info'!$O$18:$O$24,'Ecotox data'!H97)=1,1,0)))))))</f>
        <v>7</v>
      </c>
      <c r="Y102" s="177">
        <f t="shared" si="8"/>
        <v>8</v>
      </c>
    </row>
    <row r="103" spans="5:25">
      <c r="E103" s="29">
        <v>92</v>
      </c>
      <c r="F103" s="262" t="s">
        <v>48</v>
      </c>
      <c r="G103" s="27">
        <f>IF(AND('Ecotox data'!P98&gt;='Model info'!$C$4,'Ecotox data'!P98&lt;='Model info'!$C$5),1,0)</f>
        <v>1</v>
      </c>
      <c r="H103" s="168">
        <f>IF(COUNTIF('Model info'!$H$4:$H$10,'Ecotox data'!B98)=1,7,IF(COUNTIF('Model info'!$J$4:$J$10,'Ecotox data'!C98)=1,6,IF(COUNTIF('Model info'!$K$4:$K$10,'Ecotox data'!D98)=1,5,IF(COUNTIF('Model info'!$L$4:$L$10,'Ecotox data'!E98)=1,4,IF(COUNTIF('Model info'!$M$4:$M$10,'Ecotox data'!F98)=1,3,IF(COUNTIF('Model info'!$N$4:$N$10,'Ecotox data'!G98)=1,2,IF(COUNTIF('Model info'!$O$4:$O$10,'Ecotox data'!H98)=1,1,0)))))))</f>
        <v>4</v>
      </c>
      <c r="I103" s="176">
        <f t="shared" si="9"/>
        <v>5</v>
      </c>
      <c r="J103" s="35"/>
      <c r="K103" s="27">
        <f>IF(AND('Ecotox data'!U98&gt;='Model info'!$D$8,'Ecotox data'!U98&lt;='Model info'!$D$9),1,0)</f>
        <v>1</v>
      </c>
      <c r="L103" s="163">
        <f>IF(COUNTIF('Model info'!$H$12,'Ecotox data'!B98)=1,7,IF(COUNTIF('Model info'!$J$12,'Ecotox data'!C98)=1,6,IF(COUNTIF('Model info'!$K$12,'Ecotox data'!D98)=1,5,IF(COUNTIF('Model info'!$L$12,'Ecotox data'!E98)=1,4,IF(COUNTIF('Model info'!$M$12,'Ecotox data'!F98)=1,3,IF(COUNTIF('Model info'!$N$12,'Ecotox data'!G98)=1,2,IF(COUNTIF('Model info'!$O$12,'Ecotox data'!H98)=1,1,0)))))))</f>
        <v>0</v>
      </c>
      <c r="M103" s="182">
        <f t="shared" si="5"/>
        <v>1</v>
      </c>
      <c r="N103" s="35"/>
      <c r="O103" s="27">
        <f>IF(AND('Ecotox data'!M98&gt;='Model info'!$E$12,'Ecotox data'!M98&lt;='Model info'!$E$13),1,0)</f>
        <v>1</v>
      </c>
      <c r="P103" s="165">
        <f>IF(COUNTIF('Model info'!$H$14,'Ecotox data'!B98)=1,7,IF(COUNTIF('Model info'!$J$14,'Ecotox data'!C98)=1,6,IF(COUNTIF('Model info'!$K$14,'Ecotox data'!D98)=1,5,IF(COUNTIF('Model info'!$L$14,'Ecotox data'!E98)=1,4,IF(COUNTIF('Model info'!$M$14,'Ecotox data'!F98)=1,3,IF(COUNTIF('Model info'!$N$14,'Ecotox data'!G98)=1,2,IF(COUNTIF('Model info'!$O$14,'Ecotox data'!H98)=1,1,0)))))))</f>
        <v>1</v>
      </c>
      <c r="Q103" s="182">
        <f t="shared" si="6"/>
        <v>2</v>
      </c>
      <c r="R103" s="35"/>
      <c r="S103" s="27">
        <f>IF(AND('Ecotox data'!P98&gt;='Model info'!$C$16,'Ecotox data'!P98&lt;='Model info'!$C$17,'Ecotox data'!U98&gt;='Model info'!$D$16,'Ecotox data'!U98&lt;='Model info'!$D$17,'Ecotox data'!M98&gt;='Model info'!$E$16,'Ecotox data'!M98&lt;='Model info'!$E$17),1,0)</f>
        <v>1</v>
      </c>
      <c r="T103" s="165">
        <f>IF(COUNTIF('Model info'!$H$16,'Ecotox data'!B98)=1,7,IF(COUNTIF('Model info'!$J$16,'Ecotox data'!C98)=1,6,IF(COUNTIF('Model info'!$K$16,'Ecotox data'!D98)=1,5,IF(COUNTIF('Model info'!$L$16,'Ecotox data'!E98)=1,4,IF(COUNTIF('Model info'!$M$16,'Ecotox data'!F98)=1,3,IF(COUNTIF('Model info'!$N$16,'Ecotox data'!G98)=1,2,IF(COUNTIF('Model info'!$O$16,'Ecotox data'!H98)=1,1,0)))))))</f>
        <v>1</v>
      </c>
      <c r="U103" s="182">
        <f t="shared" si="7"/>
        <v>2</v>
      </c>
      <c r="V103" s="35"/>
      <c r="W103" s="27">
        <f>IF(AND('Ecotox data'!P98&gt;='Model info'!$C$20,'Ecotox data'!P98&lt;='Model info'!$C$21,'Ecotox data'!U98&gt;='Model info'!$D$20,'Ecotox data'!U98&lt;='Model info'!$D$21,'Ecotox data'!M98&gt;='Model info'!$E$20,'Ecotox data'!M98&lt;='Model info'!$E$21),1,0)</f>
        <v>1</v>
      </c>
      <c r="X103" s="171">
        <f>IF(COUNTIF('Model info'!$H$18:$H$24,'Ecotox data'!B98)=1,7,IF(COUNTIF('Model info'!$J$18:$J$24,'Ecotox data'!C98)=1,6,IF(COUNTIF('Model info'!$K$18:$K$24,'Ecotox data'!D98)=1,5,IF(COUNTIF('Model info'!$L$2:$L$24,'Ecotox data'!E98)=1,4,IF(COUNTIF('Model info'!$M$18:$M$24,'Ecotox data'!F98)=1,3,IF(COUNTIF('Model info'!$N$18:$N$24,'Ecotox data'!G98)=1,2,IF(COUNTIF('Model info'!$O$18:$O$24,'Ecotox data'!H98)=1,1,0)))))))</f>
        <v>7</v>
      </c>
      <c r="Y103" s="177">
        <f t="shared" si="8"/>
        <v>8</v>
      </c>
    </row>
    <row r="104" spans="5:25">
      <c r="E104" s="29">
        <v>93</v>
      </c>
      <c r="F104" s="262" t="s">
        <v>48</v>
      </c>
      <c r="G104" s="27">
        <f>IF(AND('Ecotox data'!P99&gt;='Model info'!$C$4,'Ecotox data'!P99&lt;='Model info'!$C$5),1,0)</f>
        <v>1</v>
      </c>
      <c r="H104" s="168">
        <f>IF(COUNTIF('Model info'!$H$4:$H$10,'Ecotox data'!B99)=1,7,IF(COUNTIF('Model info'!$J$4:$J$10,'Ecotox data'!C99)=1,6,IF(COUNTIF('Model info'!$K$4:$K$10,'Ecotox data'!D99)=1,5,IF(COUNTIF('Model info'!$L$4:$L$10,'Ecotox data'!E99)=1,4,IF(COUNTIF('Model info'!$M$4:$M$10,'Ecotox data'!F99)=1,3,IF(COUNTIF('Model info'!$N$4:$N$10,'Ecotox data'!G99)=1,2,IF(COUNTIF('Model info'!$O$4:$O$10,'Ecotox data'!H99)=1,1,0)))))))</f>
        <v>4</v>
      </c>
      <c r="I104" s="176">
        <f t="shared" si="9"/>
        <v>5</v>
      </c>
      <c r="J104" s="35"/>
      <c r="K104" s="27">
        <f>IF(AND('Ecotox data'!U99&gt;='Model info'!$D$8,'Ecotox data'!U99&lt;='Model info'!$D$9),1,0)</f>
        <v>1</v>
      </c>
      <c r="L104" s="163">
        <f>IF(COUNTIF('Model info'!$H$12,'Ecotox data'!B99)=1,7,IF(COUNTIF('Model info'!$J$12,'Ecotox data'!C99)=1,6,IF(COUNTIF('Model info'!$K$12,'Ecotox data'!D99)=1,5,IF(COUNTIF('Model info'!$L$12,'Ecotox data'!E99)=1,4,IF(COUNTIF('Model info'!$M$12,'Ecotox data'!F99)=1,3,IF(COUNTIF('Model info'!$N$12,'Ecotox data'!G99)=1,2,IF(COUNTIF('Model info'!$O$12,'Ecotox data'!H99)=1,1,0)))))))</f>
        <v>0</v>
      </c>
      <c r="M104" s="182">
        <f t="shared" si="5"/>
        <v>1</v>
      </c>
      <c r="N104" s="35"/>
      <c r="O104" s="27">
        <f>IF(AND('Ecotox data'!M99&gt;='Model info'!$E$12,'Ecotox data'!M99&lt;='Model info'!$E$13),1,0)</f>
        <v>1</v>
      </c>
      <c r="P104" s="165">
        <f>IF(COUNTIF('Model info'!$H$14,'Ecotox data'!B99)=1,7,IF(COUNTIF('Model info'!$J$14,'Ecotox data'!C99)=1,6,IF(COUNTIF('Model info'!$K$14,'Ecotox data'!D99)=1,5,IF(COUNTIF('Model info'!$L$14,'Ecotox data'!E99)=1,4,IF(COUNTIF('Model info'!$M$14,'Ecotox data'!F99)=1,3,IF(COUNTIF('Model info'!$N$14,'Ecotox data'!G99)=1,2,IF(COUNTIF('Model info'!$O$14,'Ecotox data'!H99)=1,1,0)))))))</f>
        <v>1</v>
      </c>
      <c r="Q104" s="182">
        <f t="shared" si="6"/>
        <v>2</v>
      </c>
      <c r="R104" s="35"/>
      <c r="S104" s="27">
        <f>IF(AND('Ecotox data'!P99&gt;='Model info'!$C$16,'Ecotox data'!P99&lt;='Model info'!$C$17,'Ecotox data'!U99&gt;='Model info'!$D$16,'Ecotox data'!U99&lt;='Model info'!$D$17,'Ecotox data'!M99&gt;='Model info'!$E$16,'Ecotox data'!M99&lt;='Model info'!$E$17),1,0)</f>
        <v>1</v>
      </c>
      <c r="T104" s="165">
        <f>IF(COUNTIF('Model info'!$H$16,'Ecotox data'!B99)=1,7,IF(COUNTIF('Model info'!$J$16,'Ecotox data'!C99)=1,6,IF(COUNTIF('Model info'!$K$16,'Ecotox data'!D99)=1,5,IF(COUNTIF('Model info'!$L$16,'Ecotox data'!E99)=1,4,IF(COUNTIF('Model info'!$M$16,'Ecotox data'!F99)=1,3,IF(COUNTIF('Model info'!$N$16,'Ecotox data'!G99)=1,2,IF(COUNTIF('Model info'!$O$16,'Ecotox data'!H99)=1,1,0)))))))</f>
        <v>1</v>
      </c>
      <c r="U104" s="182">
        <f t="shared" si="7"/>
        <v>2</v>
      </c>
      <c r="V104" s="35"/>
      <c r="W104" s="27">
        <f>IF(AND('Ecotox data'!P99&gt;='Model info'!$C$20,'Ecotox data'!P99&lt;='Model info'!$C$21,'Ecotox data'!U99&gt;='Model info'!$D$20,'Ecotox data'!U99&lt;='Model info'!$D$21,'Ecotox data'!M99&gt;='Model info'!$E$20,'Ecotox data'!M99&lt;='Model info'!$E$21),1,0)</f>
        <v>1</v>
      </c>
      <c r="X104" s="171">
        <f>IF(COUNTIF('Model info'!$H$18:$H$24,'Ecotox data'!B99)=1,7,IF(COUNTIF('Model info'!$J$18:$J$24,'Ecotox data'!C99)=1,6,IF(COUNTIF('Model info'!$K$18:$K$24,'Ecotox data'!D99)=1,5,IF(COUNTIF('Model info'!$L$2:$L$24,'Ecotox data'!E99)=1,4,IF(COUNTIF('Model info'!$M$18:$M$24,'Ecotox data'!F99)=1,3,IF(COUNTIF('Model info'!$N$18:$N$24,'Ecotox data'!G99)=1,2,IF(COUNTIF('Model info'!$O$18:$O$24,'Ecotox data'!H99)=1,1,0)))))))</f>
        <v>7</v>
      </c>
      <c r="Y104" s="177">
        <f t="shared" si="8"/>
        <v>8</v>
      </c>
    </row>
    <row r="105" spans="5:25">
      <c r="E105" s="29">
        <v>94</v>
      </c>
      <c r="F105" s="262" t="s">
        <v>48</v>
      </c>
      <c r="G105" s="27">
        <f>IF(AND('Ecotox data'!P100&gt;='Model info'!$C$4,'Ecotox data'!P100&lt;='Model info'!$C$5),1,0)</f>
        <v>1</v>
      </c>
      <c r="H105" s="168">
        <f>IF(COUNTIF('Model info'!$H$4:$H$10,'Ecotox data'!B100)=1,7,IF(COUNTIF('Model info'!$J$4:$J$10,'Ecotox data'!C100)=1,6,IF(COUNTIF('Model info'!$K$4:$K$10,'Ecotox data'!D100)=1,5,IF(COUNTIF('Model info'!$L$4:$L$10,'Ecotox data'!E100)=1,4,IF(COUNTIF('Model info'!$M$4:$M$10,'Ecotox data'!F100)=1,3,IF(COUNTIF('Model info'!$N$4:$N$10,'Ecotox data'!G100)=1,2,IF(COUNTIF('Model info'!$O$4:$O$10,'Ecotox data'!H100)=1,1,0)))))))</f>
        <v>4</v>
      </c>
      <c r="I105" s="176">
        <f t="shared" si="9"/>
        <v>5</v>
      </c>
      <c r="J105" s="35"/>
      <c r="K105" s="27">
        <f>IF(AND('Ecotox data'!U100&gt;='Model info'!$D$8,'Ecotox data'!U100&lt;='Model info'!$D$9),1,0)</f>
        <v>1</v>
      </c>
      <c r="L105" s="163">
        <f>IF(COUNTIF('Model info'!$H$12,'Ecotox data'!B100)=1,7,IF(COUNTIF('Model info'!$J$12,'Ecotox data'!C100)=1,6,IF(COUNTIF('Model info'!$K$12,'Ecotox data'!D100)=1,5,IF(COUNTIF('Model info'!$L$12,'Ecotox data'!E100)=1,4,IF(COUNTIF('Model info'!$M$12,'Ecotox data'!F100)=1,3,IF(COUNTIF('Model info'!$N$12,'Ecotox data'!G100)=1,2,IF(COUNTIF('Model info'!$O$12,'Ecotox data'!H100)=1,1,0)))))))</f>
        <v>0</v>
      </c>
      <c r="M105" s="182">
        <f t="shared" si="5"/>
        <v>1</v>
      </c>
      <c r="N105" s="35"/>
      <c r="O105" s="27">
        <f>IF(AND('Ecotox data'!M100&gt;='Model info'!$E$12,'Ecotox data'!M100&lt;='Model info'!$E$13),1,0)</f>
        <v>1</v>
      </c>
      <c r="P105" s="165">
        <f>IF(COUNTIF('Model info'!$H$14,'Ecotox data'!B100)=1,7,IF(COUNTIF('Model info'!$J$14,'Ecotox data'!C100)=1,6,IF(COUNTIF('Model info'!$K$14,'Ecotox data'!D100)=1,5,IF(COUNTIF('Model info'!$L$14,'Ecotox data'!E100)=1,4,IF(COUNTIF('Model info'!$M$14,'Ecotox data'!F100)=1,3,IF(COUNTIF('Model info'!$N$14,'Ecotox data'!G100)=1,2,IF(COUNTIF('Model info'!$O$14,'Ecotox data'!H100)=1,1,0)))))))</f>
        <v>1</v>
      </c>
      <c r="Q105" s="182">
        <f t="shared" si="6"/>
        <v>2</v>
      </c>
      <c r="R105" s="35"/>
      <c r="S105" s="27">
        <f>IF(AND('Ecotox data'!P100&gt;='Model info'!$C$16,'Ecotox data'!P100&lt;='Model info'!$C$17,'Ecotox data'!U100&gt;='Model info'!$D$16,'Ecotox data'!U100&lt;='Model info'!$D$17,'Ecotox data'!M100&gt;='Model info'!$E$16,'Ecotox data'!M100&lt;='Model info'!$E$17),1,0)</f>
        <v>1</v>
      </c>
      <c r="T105" s="165">
        <f>IF(COUNTIF('Model info'!$H$16,'Ecotox data'!B100)=1,7,IF(COUNTIF('Model info'!$J$16,'Ecotox data'!C100)=1,6,IF(COUNTIF('Model info'!$K$16,'Ecotox data'!D100)=1,5,IF(COUNTIF('Model info'!$L$16,'Ecotox data'!E100)=1,4,IF(COUNTIF('Model info'!$M$16,'Ecotox data'!F100)=1,3,IF(COUNTIF('Model info'!$N$16,'Ecotox data'!G100)=1,2,IF(COUNTIF('Model info'!$O$16,'Ecotox data'!H100)=1,1,0)))))))</f>
        <v>1</v>
      </c>
      <c r="U105" s="182">
        <f t="shared" si="7"/>
        <v>2</v>
      </c>
      <c r="V105" s="35"/>
      <c r="W105" s="27">
        <f>IF(AND('Ecotox data'!P100&gt;='Model info'!$C$20,'Ecotox data'!P100&lt;='Model info'!$C$21,'Ecotox data'!U100&gt;='Model info'!$D$20,'Ecotox data'!U100&lt;='Model info'!$D$21,'Ecotox data'!M100&gt;='Model info'!$E$20,'Ecotox data'!M100&lt;='Model info'!$E$21),1,0)</f>
        <v>1</v>
      </c>
      <c r="X105" s="171">
        <f>IF(COUNTIF('Model info'!$H$18:$H$24,'Ecotox data'!B100)=1,7,IF(COUNTIF('Model info'!$J$18:$J$24,'Ecotox data'!C100)=1,6,IF(COUNTIF('Model info'!$K$18:$K$24,'Ecotox data'!D100)=1,5,IF(COUNTIF('Model info'!$L$2:$L$24,'Ecotox data'!E100)=1,4,IF(COUNTIF('Model info'!$M$18:$M$24,'Ecotox data'!F100)=1,3,IF(COUNTIF('Model info'!$N$18:$N$24,'Ecotox data'!G100)=1,2,IF(COUNTIF('Model info'!$O$18:$O$24,'Ecotox data'!H100)=1,1,0)))))))</f>
        <v>7</v>
      </c>
      <c r="Y105" s="177">
        <f t="shared" si="8"/>
        <v>8</v>
      </c>
    </row>
    <row r="106" spans="5:25">
      <c r="E106" s="29">
        <v>95</v>
      </c>
      <c r="F106" s="262" t="s">
        <v>48</v>
      </c>
      <c r="G106" s="27">
        <f>IF(AND('Ecotox data'!P101&gt;='Model info'!$C$4,'Ecotox data'!P101&lt;='Model info'!$C$5),1,0)</f>
        <v>1</v>
      </c>
      <c r="H106" s="168">
        <f>IF(COUNTIF('Model info'!$H$4:$H$10,'Ecotox data'!B101)=1,7,IF(COUNTIF('Model info'!$J$4:$J$10,'Ecotox data'!C101)=1,6,IF(COUNTIF('Model info'!$K$4:$K$10,'Ecotox data'!D101)=1,5,IF(COUNTIF('Model info'!$L$4:$L$10,'Ecotox data'!E101)=1,4,IF(COUNTIF('Model info'!$M$4:$M$10,'Ecotox data'!F101)=1,3,IF(COUNTIF('Model info'!$N$4:$N$10,'Ecotox data'!G101)=1,2,IF(COUNTIF('Model info'!$O$4:$O$10,'Ecotox data'!H101)=1,1,0)))))))</f>
        <v>4</v>
      </c>
      <c r="I106" s="176">
        <f t="shared" si="9"/>
        <v>5</v>
      </c>
      <c r="J106" s="35"/>
      <c r="K106" s="129">
        <f>IF(AND('Ecotox data'!U101&gt;='Model info'!$D$8,'Ecotox data'!U101&lt;='Model info'!$D$9),1,0)</f>
        <v>0</v>
      </c>
      <c r="L106" s="163">
        <f>IF(COUNTIF('Model info'!$H$12,'Ecotox data'!B101)=1,7,IF(COUNTIF('Model info'!$J$12,'Ecotox data'!C101)=1,6,IF(COUNTIF('Model info'!$K$12,'Ecotox data'!D101)=1,5,IF(COUNTIF('Model info'!$L$12,'Ecotox data'!E101)=1,4,IF(COUNTIF('Model info'!$M$12,'Ecotox data'!F101)=1,3,IF(COUNTIF('Model info'!$N$12,'Ecotox data'!G101)=1,2,IF(COUNTIF('Model info'!$O$12,'Ecotox data'!H101)=1,1,0)))))))</f>
        <v>0</v>
      </c>
      <c r="M106" s="182">
        <f t="shared" si="5"/>
        <v>0</v>
      </c>
      <c r="N106" s="35"/>
      <c r="O106" s="27">
        <f>IF(AND('Ecotox data'!M101&gt;='Model info'!$E$12,'Ecotox data'!M101&lt;='Model info'!$E$13),1,0)</f>
        <v>1</v>
      </c>
      <c r="P106" s="165">
        <f>IF(COUNTIF('Model info'!$H$14,'Ecotox data'!B101)=1,7,IF(COUNTIF('Model info'!$J$14,'Ecotox data'!C101)=1,6,IF(COUNTIF('Model info'!$K$14,'Ecotox data'!D101)=1,5,IF(COUNTIF('Model info'!$L$14,'Ecotox data'!E101)=1,4,IF(COUNTIF('Model info'!$M$14,'Ecotox data'!F101)=1,3,IF(COUNTIF('Model info'!$N$14,'Ecotox data'!G101)=1,2,IF(COUNTIF('Model info'!$O$14,'Ecotox data'!H101)=1,1,0)))))))</f>
        <v>1</v>
      </c>
      <c r="Q106" s="182">
        <f t="shared" si="6"/>
        <v>2</v>
      </c>
      <c r="R106" s="35"/>
      <c r="S106" s="129">
        <f>IF(AND('Ecotox data'!P101&gt;='Model info'!$C$16,'Ecotox data'!P101&lt;='Model info'!$C$17,'Ecotox data'!U101&gt;='Model info'!$D$16,'Ecotox data'!U101&lt;='Model info'!$D$17,'Ecotox data'!M101&gt;='Model info'!$E$16,'Ecotox data'!M101&lt;='Model info'!$E$17),1,0)</f>
        <v>0</v>
      </c>
      <c r="T106" s="165">
        <f>IF(COUNTIF('Model info'!$H$16,'Ecotox data'!B101)=1,7,IF(COUNTIF('Model info'!$J$16,'Ecotox data'!C101)=1,6,IF(COUNTIF('Model info'!$K$16,'Ecotox data'!D101)=1,5,IF(COUNTIF('Model info'!$L$16,'Ecotox data'!E101)=1,4,IF(COUNTIF('Model info'!$M$16,'Ecotox data'!F101)=1,3,IF(COUNTIF('Model info'!$N$16,'Ecotox data'!G101)=1,2,IF(COUNTIF('Model info'!$O$16,'Ecotox data'!H101)=1,1,0)))))))</f>
        <v>1</v>
      </c>
      <c r="U106" s="182">
        <f t="shared" si="7"/>
        <v>1</v>
      </c>
      <c r="V106" s="35"/>
      <c r="W106" s="27">
        <f>IF(AND('Ecotox data'!P101&gt;='Model info'!$C$20,'Ecotox data'!P101&lt;='Model info'!$C$21,'Ecotox data'!U101&gt;='Model info'!$D$20,'Ecotox data'!U101&lt;='Model info'!$D$21,'Ecotox data'!M101&gt;='Model info'!$E$20,'Ecotox data'!M101&lt;='Model info'!$E$21),1,0)</f>
        <v>1</v>
      </c>
      <c r="X106" s="171">
        <f>IF(COUNTIF('Model info'!$H$18:$H$24,'Ecotox data'!B101)=1,7,IF(COUNTIF('Model info'!$J$18:$J$24,'Ecotox data'!C101)=1,6,IF(COUNTIF('Model info'!$K$18:$K$24,'Ecotox data'!D101)=1,5,IF(COUNTIF('Model info'!$L$2:$L$24,'Ecotox data'!E101)=1,4,IF(COUNTIF('Model info'!$M$18:$M$24,'Ecotox data'!F101)=1,3,IF(COUNTIF('Model info'!$N$18:$N$24,'Ecotox data'!G101)=1,2,IF(COUNTIF('Model info'!$O$18:$O$24,'Ecotox data'!H101)=1,1,0)))))))</f>
        <v>7</v>
      </c>
      <c r="Y106" s="177">
        <f t="shared" si="8"/>
        <v>8</v>
      </c>
    </row>
    <row r="107" spans="5:25">
      <c r="E107" s="29">
        <v>96</v>
      </c>
      <c r="F107" s="262" t="s">
        <v>48</v>
      </c>
      <c r="G107" s="27">
        <f>IF(AND('Ecotox data'!P102&gt;='Model info'!$C$4,'Ecotox data'!P102&lt;='Model info'!$C$5),1,0)</f>
        <v>1</v>
      </c>
      <c r="H107" s="168">
        <f>IF(COUNTIF('Model info'!$H$4:$H$10,'Ecotox data'!B102)=1,7,IF(COUNTIF('Model info'!$J$4:$J$10,'Ecotox data'!C102)=1,6,IF(COUNTIF('Model info'!$K$4:$K$10,'Ecotox data'!D102)=1,5,IF(COUNTIF('Model info'!$L$4:$L$10,'Ecotox data'!E102)=1,4,IF(COUNTIF('Model info'!$M$4:$M$10,'Ecotox data'!F102)=1,3,IF(COUNTIF('Model info'!$N$4:$N$10,'Ecotox data'!G102)=1,2,IF(COUNTIF('Model info'!$O$4:$O$10,'Ecotox data'!H102)=1,1,0)))))))</f>
        <v>4</v>
      </c>
      <c r="I107" s="176">
        <f t="shared" si="9"/>
        <v>5</v>
      </c>
      <c r="J107" s="35"/>
      <c r="K107" s="129">
        <f>IF(AND('Ecotox data'!U102&gt;='Model info'!$D$8,'Ecotox data'!U102&lt;='Model info'!$D$9),1,0)</f>
        <v>0</v>
      </c>
      <c r="L107" s="163">
        <f>IF(COUNTIF('Model info'!$H$12,'Ecotox data'!B102)=1,7,IF(COUNTIF('Model info'!$J$12,'Ecotox data'!C102)=1,6,IF(COUNTIF('Model info'!$K$12,'Ecotox data'!D102)=1,5,IF(COUNTIF('Model info'!$L$12,'Ecotox data'!E102)=1,4,IF(COUNTIF('Model info'!$M$12,'Ecotox data'!F102)=1,3,IF(COUNTIF('Model info'!$N$12,'Ecotox data'!G102)=1,2,IF(COUNTIF('Model info'!$O$12,'Ecotox data'!H102)=1,1,0)))))))</f>
        <v>0</v>
      </c>
      <c r="M107" s="182">
        <f t="shared" si="5"/>
        <v>0</v>
      </c>
      <c r="N107" s="35"/>
      <c r="O107" s="27">
        <f>IF(AND('Ecotox data'!M102&gt;='Model info'!$E$12,'Ecotox data'!M102&lt;='Model info'!$E$13),1,0)</f>
        <v>1</v>
      </c>
      <c r="P107" s="165">
        <f>IF(COUNTIF('Model info'!$H$14,'Ecotox data'!B102)=1,7,IF(COUNTIF('Model info'!$J$14,'Ecotox data'!C102)=1,6,IF(COUNTIF('Model info'!$K$14,'Ecotox data'!D102)=1,5,IF(COUNTIF('Model info'!$L$14,'Ecotox data'!E102)=1,4,IF(COUNTIF('Model info'!$M$14,'Ecotox data'!F102)=1,3,IF(COUNTIF('Model info'!$N$14,'Ecotox data'!G102)=1,2,IF(COUNTIF('Model info'!$O$14,'Ecotox data'!H102)=1,1,0)))))))</f>
        <v>1</v>
      </c>
      <c r="Q107" s="182">
        <f t="shared" si="6"/>
        <v>2</v>
      </c>
      <c r="R107" s="35"/>
      <c r="S107" s="129">
        <f>IF(AND('Ecotox data'!P102&gt;='Model info'!$C$16,'Ecotox data'!P102&lt;='Model info'!$C$17,'Ecotox data'!U102&gt;='Model info'!$D$16,'Ecotox data'!U102&lt;='Model info'!$D$17,'Ecotox data'!M102&gt;='Model info'!$E$16,'Ecotox data'!M102&lt;='Model info'!$E$17),1,0)</f>
        <v>0</v>
      </c>
      <c r="T107" s="165">
        <f>IF(COUNTIF('Model info'!$H$16,'Ecotox data'!B102)=1,7,IF(COUNTIF('Model info'!$J$16,'Ecotox data'!C102)=1,6,IF(COUNTIF('Model info'!$K$16,'Ecotox data'!D102)=1,5,IF(COUNTIF('Model info'!$L$16,'Ecotox data'!E102)=1,4,IF(COUNTIF('Model info'!$M$16,'Ecotox data'!F102)=1,3,IF(COUNTIF('Model info'!$N$16,'Ecotox data'!G102)=1,2,IF(COUNTIF('Model info'!$O$16,'Ecotox data'!H102)=1,1,0)))))))</f>
        <v>1</v>
      </c>
      <c r="U107" s="182">
        <f t="shared" si="7"/>
        <v>1</v>
      </c>
      <c r="V107" s="35"/>
      <c r="W107" s="27">
        <f>IF(AND('Ecotox data'!P102&gt;='Model info'!$C$20,'Ecotox data'!P102&lt;='Model info'!$C$21,'Ecotox data'!U102&gt;='Model info'!$D$20,'Ecotox data'!U102&lt;='Model info'!$D$21,'Ecotox data'!M102&gt;='Model info'!$E$20,'Ecotox data'!M102&lt;='Model info'!$E$21),1,0)</f>
        <v>1</v>
      </c>
      <c r="X107" s="171">
        <f>IF(COUNTIF('Model info'!$H$18:$H$24,'Ecotox data'!B102)=1,7,IF(COUNTIF('Model info'!$J$18:$J$24,'Ecotox data'!C102)=1,6,IF(COUNTIF('Model info'!$K$18:$K$24,'Ecotox data'!D102)=1,5,IF(COUNTIF('Model info'!$L$2:$L$24,'Ecotox data'!E102)=1,4,IF(COUNTIF('Model info'!$M$18:$M$24,'Ecotox data'!F102)=1,3,IF(COUNTIF('Model info'!$N$18:$N$24,'Ecotox data'!G102)=1,2,IF(COUNTIF('Model info'!$O$18:$O$24,'Ecotox data'!H102)=1,1,0)))))))</f>
        <v>7</v>
      </c>
      <c r="Y107" s="177">
        <f t="shared" si="8"/>
        <v>8</v>
      </c>
    </row>
    <row r="108" spans="5:25" ht="17" thickBot="1">
      <c r="E108" s="29">
        <v>97</v>
      </c>
      <c r="F108" s="262" t="s">
        <v>36</v>
      </c>
      <c r="G108" s="27">
        <f>IF(AND('Ecotox data'!P103&gt;='Model info'!$C$4,'Ecotox data'!P103&lt;='Model info'!$C$5),1,0)</f>
        <v>1</v>
      </c>
      <c r="H108" s="168">
        <f>IF(COUNTIF('Model info'!$H$4:$H$10,'Ecotox data'!B103)=1,7,IF(COUNTIF('Model info'!$J$4:$J$10,'Ecotox data'!C103)=1,6,IF(COUNTIF('Model info'!$K$4:$K$10,'Ecotox data'!D103)=1,5,IF(COUNTIF('Model info'!$L$4:$L$10,'Ecotox data'!E103)=1,4,IF(COUNTIF('Model info'!$M$4:$M$10,'Ecotox data'!F103)=1,3,IF(COUNTIF('Model info'!$N$4:$N$10,'Ecotox data'!G103)=1,2,IF(COUNTIF('Model info'!$O$4:$O$10,'Ecotox data'!H103)=1,1,0)))))))</f>
        <v>3</v>
      </c>
      <c r="I108" s="176">
        <f t="shared" si="9"/>
        <v>4</v>
      </c>
      <c r="J108" s="35"/>
      <c r="K108" s="27">
        <f>IF(AND('Ecotox data'!U103&gt;='Model info'!$D$8,'Ecotox data'!U103&lt;='Model info'!$D$9),1,0)</f>
        <v>1</v>
      </c>
      <c r="L108" s="163">
        <f>IF(COUNTIF('Model info'!$H$12,'Ecotox data'!B103)=1,7,IF(COUNTIF('Model info'!$J$12,'Ecotox data'!C103)=1,6,IF(COUNTIF('Model info'!$K$12,'Ecotox data'!D103)=1,5,IF(COUNTIF('Model info'!$L$12,'Ecotox data'!E103)=1,4,IF(COUNTIF('Model info'!$M$12,'Ecotox data'!F103)=1,3,IF(COUNTIF('Model info'!$N$12,'Ecotox data'!G103)=1,2,IF(COUNTIF('Model info'!$O$12,'Ecotox data'!H103)=1,1,0)))))))</f>
        <v>0</v>
      </c>
      <c r="M108" s="182">
        <f t="shared" si="5"/>
        <v>1</v>
      </c>
      <c r="N108" s="35"/>
      <c r="O108" s="130">
        <f>IF(AND('Ecotox data'!M103&gt;='Model info'!$E$12,'Ecotox data'!M103&lt;='Model info'!$E$13),1,0)</f>
        <v>1</v>
      </c>
      <c r="P108" s="166">
        <f>IF(COUNTIF('Model info'!$H$14,'Ecotox data'!B103)=1,7,IF(COUNTIF('Model info'!$J$14,'Ecotox data'!C103)=1,6,IF(COUNTIF('Model info'!$K$14,'Ecotox data'!D103)=1,5,IF(COUNTIF('Model info'!$L$14,'Ecotox data'!E103)=1,4,IF(COUNTIF('Model info'!$M$14,'Ecotox data'!F103)=1,3,IF(COUNTIF('Model info'!$N$14,'Ecotox data'!G103)=1,2,IF(COUNTIF('Model info'!$O$14,'Ecotox data'!H103)=1,1,0)))))))</f>
        <v>1</v>
      </c>
      <c r="Q108" s="182">
        <f t="shared" si="6"/>
        <v>2</v>
      </c>
      <c r="R108" s="35"/>
      <c r="S108" s="130">
        <f>IF(AND('Ecotox data'!P103&gt;='Model info'!$C$16,'Ecotox data'!P103&lt;='Model info'!$C$17,'Ecotox data'!U103&gt;='Model info'!$D$16,'Ecotox data'!U103&lt;='Model info'!$D$17,'Ecotox data'!M103&gt;='Model info'!$E$16,'Ecotox data'!M103&lt;='Model info'!$E$17),1,0)</f>
        <v>1</v>
      </c>
      <c r="T108" s="166">
        <f>IF(COUNTIF('Model info'!$H$16,'Ecotox data'!B103)=1,7,IF(COUNTIF('Model info'!$J$16,'Ecotox data'!C103)=1,6,IF(COUNTIF('Model info'!$K$16,'Ecotox data'!D103)=1,5,IF(COUNTIF('Model info'!$L$16,'Ecotox data'!E103)=1,4,IF(COUNTIF('Model info'!$M$16,'Ecotox data'!F103)=1,3,IF(COUNTIF('Model info'!$N$16,'Ecotox data'!G103)=1,2,IF(COUNTIF('Model info'!$O$16,'Ecotox data'!H103)=1,1,0)))))))</f>
        <v>1</v>
      </c>
      <c r="U108" s="182">
        <f t="shared" si="7"/>
        <v>2</v>
      </c>
      <c r="V108" s="35"/>
      <c r="W108" s="27">
        <f>IF(AND('Ecotox data'!P103&gt;='Model info'!$C$20,'Ecotox data'!P103&lt;='Model info'!$C$21,'Ecotox data'!U103&gt;='Model info'!$D$20,'Ecotox data'!U103&lt;='Model info'!$D$21,'Ecotox data'!M103&gt;='Model info'!$E$20,'Ecotox data'!M103&lt;='Model info'!$E$21),1,0)</f>
        <v>1</v>
      </c>
      <c r="X108" s="168">
        <f>IF(COUNTIF('Model info'!$H$18:$H$24,'Ecotox data'!B103)=1,7,IF(COUNTIF('Model info'!$J$18:$J$24,'Ecotox data'!C103)=1,6,IF(COUNTIF('Model info'!$K$18:$K$24,'Ecotox data'!D103)=1,5,IF(COUNTIF('Model info'!$L$2:$L$24,'Ecotox data'!E103)=1,4,IF(COUNTIF('Model info'!$M$18:$M$24,'Ecotox data'!F103)=1,3,IF(COUNTIF('Model info'!$N$18:$N$24,'Ecotox data'!G103)=1,2,IF(COUNTIF('Model info'!$O$18:$O$24,'Ecotox data'!H103)=1,1,0)))))))</f>
        <v>3</v>
      </c>
      <c r="Y108" s="176">
        <f t="shared" si="8"/>
        <v>4</v>
      </c>
    </row>
    <row r="109" spans="5:25">
      <c r="E109" s="29"/>
      <c r="F109" s="13"/>
      <c r="G109" s="302" t="s">
        <v>297</v>
      </c>
      <c r="H109" s="185" t="s">
        <v>212</v>
      </c>
      <c r="I109" s="49">
        <f>COUNT(I48:I108)</f>
        <v>61</v>
      </c>
      <c r="J109" s="35"/>
      <c r="K109" s="302" t="s">
        <v>297</v>
      </c>
      <c r="L109" s="185" t="s">
        <v>212</v>
      </c>
      <c r="M109" s="49">
        <f>COUNT(M48:M108)</f>
        <v>61</v>
      </c>
      <c r="N109" s="35"/>
      <c r="O109" s="302" t="s">
        <v>297</v>
      </c>
      <c r="P109" s="185" t="s">
        <v>212</v>
      </c>
      <c r="Q109" s="49">
        <f>COUNT(Q48:Q108)</f>
        <v>61</v>
      </c>
      <c r="R109" s="35"/>
      <c r="S109" s="302" t="s">
        <v>297</v>
      </c>
      <c r="T109" s="185" t="s">
        <v>212</v>
      </c>
      <c r="U109" s="49">
        <f>COUNT(U48:U108)</f>
        <v>61</v>
      </c>
      <c r="V109" s="35"/>
      <c r="W109" s="302" t="s">
        <v>297</v>
      </c>
      <c r="X109" s="185" t="s">
        <v>212</v>
      </c>
      <c r="Y109" s="49">
        <f>COUNT(Y48:Y108)</f>
        <v>61</v>
      </c>
    </row>
    <row r="110" spans="5:25">
      <c r="E110" s="29"/>
      <c r="F110" s="263"/>
      <c r="G110" s="303"/>
      <c r="H110" s="184" t="s">
        <v>209</v>
      </c>
      <c r="I110" s="188">
        <f>(SUM(COUNTIF(I48:I108,0),COUNTIF(I48:I108,1),COUNTIF(I48:I108,2)))</f>
        <v>7</v>
      </c>
      <c r="J110" s="35"/>
      <c r="K110" s="303"/>
      <c r="L110" s="184" t="s">
        <v>209</v>
      </c>
      <c r="M110" s="188">
        <f>(SUM(COUNTIF(M48:M108,0),COUNTIF(M48:M108,1),COUNTIF(M48:M108,2)))</f>
        <v>61</v>
      </c>
      <c r="N110" s="35"/>
      <c r="O110" s="303"/>
      <c r="P110" s="184" t="s">
        <v>209</v>
      </c>
      <c r="Q110" s="188">
        <f>(SUM(COUNTIF(Q48:Q108,0),COUNTIF(Q48:Q108,1),COUNTIF(Q48:Q108,2)))</f>
        <v>19</v>
      </c>
      <c r="R110" s="35"/>
      <c r="S110" s="303"/>
      <c r="T110" s="184" t="s">
        <v>209</v>
      </c>
      <c r="U110" s="188">
        <f>(SUM(COUNTIF(U48:U108,0),COUNTIF(U48:U108,1),COUNTIF(U48:U108,2)))</f>
        <v>61</v>
      </c>
      <c r="V110" s="35"/>
      <c r="W110" s="303"/>
      <c r="X110" s="184" t="s">
        <v>209</v>
      </c>
      <c r="Y110" s="188">
        <f>(SUM(COUNTIF(Y48:Y108,0),COUNTIF(Y48:Y108,1),COUNTIF(Y48:Y108,2)))</f>
        <v>0</v>
      </c>
    </row>
    <row r="111" spans="5:25">
      <c r="E111" s="29"/>
      <c r="F111" s="263"/>
      <c r="G111" s="303"/>
      <c r="H111" s="184" t="s">
        <v>210</v>
      </c>
      <c r="I111" s="189">
        <f>(SUM(COUNTIF(I48:I108,3),COUNTIF(I48:I108,4),COUNTIF(I48:I108,5)))</f>
        <v>14</v>
      </c>
      <c r="J111" s="35"/>
      <c r="K111" s="303"/>
      <c r="L111" s="184" t="s">
        <v>210</v>
      </c>
      <c r="M111" s="189">
        <f>(SUM(COUNTIF(M48:M108,3),COUNTIF(M48:M108,4),COUNTIF(M48:M108,5)))</f>
        <v>0</v>
      </c>
      <c r="N111" s="35"/>
      <c r="O111" s="303"/>
      <c r="P111" s="184" t="s">
        <v>210</v>
      </c>
      <c r="Q111" s="189">
        <f>(SUM(COUNTIF(Q48:Q108,3),COUNTIF(Q48:Q108,4),COUNTIF(Q48:Q108,5)))</f>
        <v>2</v>
      </c>
      <c r="R111" s="35"/>
      <c r="S111" s="303"/>
      <c r="T111" s="184" t="s">
        <v>210</v>
      </c>
      <c r="U111" s="189">
        <f>(SUM(COUNTIF(U48:U108,3),COUNTIF(U48:U108,4),COUNTIF(U48:U108,5)))</f>
        <v>0</v>
      </c>
      <c r="V111" s="35"/>
      <c r="W111" s="303"/>
      <c r="X111" s="184" t="s">
        <v>210</v>
      </c>
      <c r="Y111" s="189">
        <f>(SUM(COUNTIF(Y48:Y108,3),COUNTIF(Y48:Y108,4),COUNTIF(Y48:Y108,5)))</f>
        <v>8</v>
      </c>
    </row>
    <row r="112" spans="5:25" ht="17" thickBot="1">
      <c r="E112" s="29"/>
      <c r="F112" s="263"/>
      <c r="G112" s="304"/>
      <c r="H112" s="186" t="s">
        <v>211</v>
      </c>
      <c r="I112" s="190">
        <f>(SUM(COUNTIF(I48:I108,6),COUNTIF(I48:I108,7),COUNTIF(I48:I108,8)))</f>
        <v>40</v>
      </c>
      <c r="J112" s="35"/>
      <c r="K112" s="304"/>
      <c r="L112" s="186" t="s">
        <v>211</v>
      </c>
      <c r="M112" s="190">
        <f>(SUM(COUNTIF(M48:M108,6),COUNTIF(M48:M108,7),COUNTIF(M48:M108,8)))</f>
        <v>0</v>
      </c>
      <c r="N112" s="35"/>
      <c r="O112" s="304"/>
      <c r="P112" s="186" t="s">
        <v>211</v>
      </c>
      <c r="Q112" s="190">
        <f>(SUM(COUNTIF(Q48:Q108,6),COUNTIF(Q48:Q108,7),COUNTIF(Q48:Q108,8)))</f>
        <v>40</v>
      </c>
      <c r="R112" s="35"/>
      <c r="S112" s="304"/>
      <c r="T112" s="186" t="s">
        <v>211</v>
      </c>
      <c r="U112" s="190">
        <f>(SUM(COUNTIF(U48:U108,6),COUNTIF(U48:U108,7),COUNTIF(U48:U108,8)))</f>
        <v>0</v>
      </c>
      <c r="V112" s="35"/>
      <c r="W112" s="304"/>
      <c r="X112" s="186" t="s">
        <v>211</v>
      </c>
      <c r="Y112" s="190">
        <f>(SUM(COUNTIF(Y48:Y108,6),COUNTIF(Y48:Y108,7),COUNTIF(Y48:Y108,8)))</f>
        <v>53</v>
      </c>
    </row>
    <row r="113" spans="5:25">
      <c r="E113" s="29"/>
      <c r="F113" s="263"/>
      <c r="G113" s="32"/>
      <c r="H113" s="33" t="s">
        <v>73</v>
      </c>
      <c r="I113" s="41">
        <f>I112*H$1</f>
        <v>7.6</v>
      </c>
      <c r="J113" s="41"/>
      <c r="K113" s="32"/>
      <c r="L113" s="33" t="s">
        <v>73</v>
      </c>
      <c r="M113" s="41">
        <f>M112*L$1</f>
        <v>0</v>
      </c>
      <c r="O113" s="32"/>
      <c r="P113" s="33" t="s">
        <v>73</v>
      </c>
      <c r="Q113" s="41">
        <f>Q112*P$1</f>
        <v>25.6</v>
      </c>
      <c r="S113" s="32"/>
      <c r="T113" s="33" t="s">
        <v>73</v>
      </c>
      <c r="U113" s="41">
        <f>U112*T$1</f>
        <v>0</v>
      </c>
      <c r="W113" s="32"/>
      <c r="X113" s="33" t="s">
        <v>73</v>
      </c>
      <c r="Y113" s="41">
        <f>Y112*X$1</f>
        <v>46.11</v>
      </c>
    </row>
    <row r="114" spans="5:25">
      <c r="F114" s="263"/>
      <c r="G114" s="32"/>
      <c r="H114" s="33" t="s">
        <v>74</v>
      </c>
      <c r="I114" s="187">
        <f>I112*(1/H$2)</f>
        <v>0.3125</v>
      </c>
      <c r="J114" s="40"/>
      <c r="K114" s="32"/>
      <c r="L114" s="33" t="s">
        <v>74</v>
      </c>
      <c r="M114" s="187">
        <f>M112*(1/L$2)</f>
        <v>0</v>
      </c>
      <c r="O114" s="32"/>
      <c r="P114" s="33" t="s">
        <v>74</v>
      </c>
      <c r="Q114" s="187">
        <f>Q112*(1/P$2)</f>
        <v>16.326530612244895</v>
      </c>
      <c r="S114" s="32"/>
      <c r="T114" s="33" t="s">
        <v>74</v>
      </c>
      <c r="U114" s="187">
        <f>U112*(1/T$2)</f>
        <v>0</v>
      </c>
      <c r="W114" s="32"/>
      <c r="X114" s="33" t="s">
        <v>74</v>
      </c>
      <c r="Y114" s="41">
        <f>Y112*(1/X$2)</f>
        <v>27.89473684210526</v>
      </c>
    </row>
    <row r="115" spans="5:25" ht="17" thickBot="1">
      <c r="F115" s="263"/>
      <c r="G115" s="37"/>
      <c r="H115" s="38"/>
      <c r="I115" s="38"/>
      <c r="K115" s="37"/>
      <c r="L115" s="37"/>
      <c r="M115" s="38"/>
      <c r="O115" s="38"/>
      <c r="P115" s="38"/>
      <c r="Q115" s="38"/>
      <c r="S115" s="38"/>
      <c r="T115" s="38"/>
      <c r="U115" s="38"/>
      <c r="W115" s="37"/>
      <c r="X115" s="37"/>
      <c r="Y115" s="37"/>
    </row>
    <row r="116" spans="5:25">
      <c r="E116" s="29">
        <v>98</v>
      </c>
      <c r="F116" s="262" t="s">
        <v>56</v>
      </c>
      <c r="G116" s="27">
        <f>IF(AND('Ecotox data'!P106&gt;='Model info'!$C$4,'Ecotox data'!P106&lt;='Model info'!$C$5),1,0)</f>
        <v>1</v>
      </c>
      <c r="H116" s="163">
        <f>IF(COUNTIF('Model info'!$H$4:$H$10,'Ecotox data'!B106)=1,7,IF(COUNTIF('Model info'!$J$4:$J$10,'Ecotox data'!C106)=1,6,IF(COUNTIF('Model info'!$K$4:$K$10,'Ecotox data'!D106)=1,5,IF(COUNTIF('Model info'!$L$4:$L$10,'Ecotox data'!E106)=1,4,IF(COUNTIF('Model info'!$M$4:$M$10,'Ecotox data'!F106)=1,3,IF(COUNTIF('Model info'!$N$4:$N$10,'Ecotox data'!G106)=1,2,IF(COUNTIF('Model info'!$O$4:$O$10,'Ecotox data'!H106)=1,1,0)))))))</f>
        <v>0</v>
      </c>
      <c r="I116" s="176">
        <f t="shared" si="9"/>
        <v>1</v>
      </c>
      <c r="J116" s="35"/>
      <c r="K116" s="27">
        <f>IF(AND('Ecotox data'!U106&gt;='Model info'!$D$8,'Ecotox data'!U106&lt;='Model info'!$D$9),1,0)</f>
        <v>1</v>
      </c>
      <c r="L116" s="168">
        <f>IF(COUNTIF('Model info'!$H$12,'Ecotox data'!B106)=1,7,IF(COUNTIF('Model info'!$J$12,'Ecotox data'!C106)=1,6,IF(COUNTIF('Model info'!$K$12,'Ecotox data'!D106)=1,5,IF(COUNTIF('Model info'!$L$12,'Ecotox data'!E106)=1,4,IF(COUNTIF('Model info'!$M$12,'Ecotox data'!F106)=1,3,IF(COUNTIF('Model info'!$N$12,'Ecotox data'!G106)=1,2,IF(COUNTIF('Model info'!$O$12,'Ecotox data'!H106)=1,1,0)))))))</f>
        <v>2</v>
      </c>
      <c r="M116" s="176">
        <f t="shared" ref="M116:M146" si="10">SUM(K116:L116)</f>
        <v>3</v>
      </c>
      <c r="N116" s="35"/>
      <c r="O116" s="27">
        <f>IF(AND('Ecotox data'!M106&gt;='Model info'!$E$12,'Ecotox data'!M106&lt;='Model info'!$E$13),1,0)</f>
        <v>1</v>
      </c>
      <c r="P116" s="164">
        <f>IF(COUNTIF('Model info'!$H$14,'Ecotox data'!B106)=1,7,IF(COUNTIF('Model info'!$J$14,'Ecotox data'!C106)=1,6,IF(COUNTIF('Model info'!$K$14,'Ecotox data'!D106)=1,5,IF(COUNTIF('Model info'!$L$14,'Ecotox data'!E106)=1,4,IF(COUNTIF('Model info'!$M$14,'Ecotox data'!F106)=1,3,IF(COUNTIF('Model info'!$N$14,'Ecotox data'!G106)=1,2,IF(COUNTIF('Model info'!$O$14,'Ecotox data'!H106)=1,1,0)))))))</f>
        <v>0</v>
      </c>
      <c r="Q116" s="176">
        <f t="shared" ref="Q116:Q146" si="11">SUM(O116:P116)</f>
        <v>1</v>
      </c>
      <c r="R116" s="35"/>
      <c r="S116" s="28">
        <f>IF(AND('Ecotox data'!P106&gt;='Model info'!$C$16,'Ecotox data'!P106&lt;='Model info'!$C$17,'Ecotox data'!U106&gt;='Model info'!$D$16,'Ecotox data'!U106&lt;='Model info'!$D$17,'Ecotox data'!M106&gt;='Model info'!$E$16,'Ecotox data'!M106&lt;='Model info'!$E$17),1,0)</f>
        <v>1</v>
      </c>
      <c r="T116" s="164">
        <f>IF(COUNTIF('Model info'!$H$16,'Ecotox data'!B106)=1,7,IF(COUNTIF('Model info'!$J$16,'Ecotox data'!C106)=1,6,IF(COUNTIF('Model info'!$K$16,'Ecotox data'!D106)=1,5,IF(COUNTIF('Model info'!$L$16,'Ecotox data'!E106)=1,4,IF(COUNTIF('Model info'!$M$16,'Ecotox data'!F106)=1,3,IF(COUNTIF('Model info'!$N$16,'Ecotox data'!G106)=1,2,IF(COUNTIF('Model info'!$O$16,'Ecotox data'!H106)=1,1,0)))))))</f>
        <v>0</v>
      </c>
      <c r="U116" s="176">
        <f t="shared" ref="U116:U146" si="12">SUM(S116:T116)</f>
        <v>1</v>
      </c>
      <c r="V116" s="35"/>
      <c r="W116" s="27">
        <f>IF(AND('Ecotox data'!P106&gt;='Model info'!$C$20,'Ecotox data'!P106&lt;='Model info'!$C$21,'Ecotox data'!U106&gt;='Model info'!$D$20,'Ecotox data'!U106&lt;='Model info'!$D$21,'Ecotox data'!M106&gt;='Model info'!$E$20,'Ecotox data'!M106&lt;='Model info'!$E$21),1,0)</f>
        <v>1</v>
      </c>
      <c r="X116" s="168">
        <f>IF(COUNTIF('Model info'!$H$18:$H$24,'Ecotox data'!B106)=1,7,IF(COUNTIF('Model info'!$J$18:$J$24,'Ecotox data'!C106)=1,6,IF(COUNTIF('Model info'!$K$18:$K$24,'Ecotox data'!D106)=1,5,IF(COUNTIF('Model info'!$L$2:$L$24,'Ecotox data'!E106)=1,4,IF(COUNTIF('Model info'!$M$18:$M$24,'Ecotox data'!F106)=1,3,IF(COUNTIF('Model info'!$N$18:$N$24,'Ecotox data'!G106)=1,2,IF(COUNTIF('Model info'!$O$18:$O$24,'Ecotox data'!H106)=1,1,0)))))))</f>
        <v>2</v>
      </c>
      <c r="Y116" s="176">
        <f t="shared" ref="Y116:Y146" si="13">SUM(W116:X116)</f>
        <v>3</v>
      </c>
    </row>
    <row r="117" spans="5:25">
      <c r="E117" s="29">
        <v>99</v>
      </c>
      <c r="F117" s="262" t="s">
        <v>56</v>
      </c>
      <c r="G117" s="27">
        <f>IF(AND('Ecotox data'!P107&gt;='Model info'!$C$4,'Ecotox data'!P107&lt;='Model info'!$C$5),1,0)</f>
        <v>1</v>
      </c>
      <c r="H117" s="163">
        <f>IF(COUNTIF('Model info'!$H$4:$H$10,'Ecotox data'!B107)=1,7,IF(COUNTIF('Model info'!$J$4:$J$10,'Ecotox data'!C107)=1,6,IF(COUNTIF('Model info'!$K$4:$K$10,'Ecotox data'!D107)=1,5,IF(COUNTIF('Model info'!$L$4:$L$10,'Ecotox data'!E107)=1,4,IF(COUNTIF('Model info'!$M$4:$M$10,'Ecotox data'!F107)=1,3,IF(COUNTIF('Model info'!$N$4:$N$10,'Ecotox data'!G107)=1,2,IF(COUNTIF('Model info'!$O$4:$O$10,'Ecotox data'!H107)=1,1,0)))))))</f>
        <v>0</v>
      </c>
      <c r="I117" s="176">
        <f t="shared" si="9"/>
        <v>1</v>
      </c>
      <c r="J117" s="35"/>
      <c r="K117" s="27">
        <f>IF(AND('Ecotox data'!U107&gt;='Model info'!$D$8,'Ecotox data'!U107&lt;='Model info'!$D$9),1,0)</f>
        <v>1</v>
      </c>
      <c r="L117" s="168">
        <f>IF(COUNTIF('Model info'!$H$12,'Ecotox data'!B107)=1,7,IF(COUNTIF('Model info'!$J$12,'Ecotox data'!C107)=1,6,IF(COUNTIF('Model info'!$K$12,'Ecotox data'!D107)=1,5,IF(COUNTIF('Model info'!$L$12,'Ecotox data'!E107)=1,4,IF(COUNTIF('Model info'!$M$12,'Ecotox data'!F107)=1,3,IF(COUNTIF('Model info'!$N$12,'Ecotox data'!G107)=1,2,IF(COUNTIF('Model info'!$O$12,'Ecotox data'!H107)=1,1,0)))))))</f>
        <v>2</v>
      </c>
      <c r="M117" s="176">
        <f t="shared" si="10"/>
        <v>3</v>
      </c>
      <c r="N117" s="35"/>
      <c r="O117" s="27">
        <f>IF(AND('Ecotox data'!M107&gt;='Model info'!$E$12,'Ecotox data'!M107&lt;='Model info'!$E$13),1,0)</f>
        <v>1</v>
      </c>
      <c r="P117" s="165">
        <f>IF(COUNTIF('Model info'!$H$14,'Ecotox data'!B107)=1,7,IF(COUNTIF('Model info'!$J$14,'Ecotox data'!C107)=1,6,IF(COUNTIF('Model info'!$K$14,'Ecotox data'!D107)=1,5,IF(COUNTIF('Model info'!$L$14,'Ecotox data'!E107)=1,4,IF(COUNTIF('Model info'!$M$14,'Ecotox data'!F107)=1,3,IF(COUNTIF('Model info'!$N$14,'Ecotox data'!G107)=1,2,IF(COUNTIF('Model info'!$O$14,'Ecotox data'!H107)=1,1,0)))))))</f>
        <v>0</v>
      </c>
      <c r="Q117" s="176">
        <f t="shared" si="11"/>
        <v>1</v>
      </c>
      <c r="R117" s="35"/>
      <c r="S117" s="27">
        <f>IF(AND('Ecotox data'!P107&gt;='Model info'!$C$16,'Ecotox data'!P107&lt;='Model info'!$C$17,'Ecotox data'!U107&gt;='Model info'!$D$16,'Ecotox data'!U107&lt;='Model info'!$D$17,'Ecotox data'!M107&gt;='Model info'!$E$16,'Ecotox data'!M107&lt;='Model info'!$E$17),1,0)</f>
        <v>1</v>
      </c>
      <c r="T117" s="165">
        <f>IF(COUNTIF('Model info'!$H$16,'Ecotox data'!B107)=1,7,IF(COUNTIF('Model info'!$J$16,'Ecotox data'!C107)=1,6,IF(COUNTIF('Model info'!$K$16,'Ecotox data'!D107)=1,5,IF(COUNTIF('Model info'!$L$16,'Ecotox data'!E107)=1,4,IF(COUNTIF('Model info'!$M$16,'Ecotox data'!F107)=1,3,IF(COUNTIF('Model info'!$N$16,'Ecotox data'!G107)=1,2,IF(COUNTIF('Model info'!$O$16,'Ecotox data'!H107)=1,1,0)))))))</f>
        <v>0</v>
      </c>
      <c r="U117" s="176">
        <f t="shared" si="12"/>
        <v>1</v>
      </c>
      <c r="V117" s="35"/>
      <c r="W117" s="27">
        <f>IF(AND('Ecotox data'!P107&gt;='Model info'!$C$20,'Ecotox data'!P107&lt;='Model info'!$C$21,'Ecotox data'!U107&gt;='Model info'!$D$20,'Ecotox data'!U107&lt;='Model info'!$D$21,'Ecotox data'!M107&gt;='Model info'!$E$20,'Ecotox data'!M107&lt;='Model info'!$E$21),1,0)</f>
        <v>1</v>
      </c>
      <c r="X117" s="168">
        <f>IF(COUNTIF('Model info'!$H$18:$H$24,'Ecotox data'!B107)=1,7,IF(COUNTIF('Model info'!$J$18:$J$24,'Ecotox data'!C107)=1,6,IF(COUNTIF('Model info'!$K$18:$K$24,'Ecotox data'!D107)=1,5,IF(COUNTIF('Model info'!$L$2:$L$24,'Ecotox data'!E107)=1,4,IF(COUNTIF('Model info'!$M$18:$M$24,'Ecotox data'!F107)=1,3,IF(COUNTIF('Model info'!$N$18:$N$24,'Ecotox data'!G107)=1,2,IF(COUNTIF('Model info'!$O$18:$O$24,'Ecotox data'!H107)=1,1,0)))))))</f>
        <v>2</v>
      </c>
      <c r="Y117" s="176">
        <f t="shared" si="13"/>
        <v>3</v>
      </c>
    </row>
    <row r="118" spans="5:25">
      <c r="E118" s="29">
        <v>100</v>
      </c>
      <c r="F118" s="262" t="s">
        <v>56</v>
      </c>
      <c r="G118" s="27">
        <f>IF(AND('Ecotox data'!P108&gt;='Model info'!$C$4,'Ecotox data'!P108&lt;='Model info'!$C$5),1,0)</f>
        <v>1</v>
      </c>
      <c r="H118" s="163">
        <f>IF(COUNTIF('Model info'!$H$4:$H$10,'Ecotox data'!B108)=1,7,IF(COUNTIF('Model info'!$J$4:$J$10,'Ecotox data'!C108)=1,6,IF(COUNTIF('Model info'!$K$4:$K$10,'Ecotox data'!D108)=1,5,IF(COUNTIF('Model info'!$L$4:$L$10,'Ecotox data'!E108)=1,4,IF(COUNTIF('Model info'!$M$4:$M$10,'Ecotox data'!F108)=1,3,IF(COUNTIF('Model info'!$N$4:$N$10,'Ecotox data'!G108)=1,2,IF(COUNTIF('Model info'!$O$4:$O$10,'Ecotox data'!H108)=1,1,0)))))))</f>
        <v>0</v>
      </c>
      <c r="I118" s="176">
        <f t="shared" si="9"/>
        <v>1</v>
      </c>
      <c r="J118" s="35"/>
      <c r="K118" s="27">
        <f>IF(AND('Ecotox data'!U108&gt;='Model info'!$D$8,'Ecotox data'!U108&lt;='Model info'!$D$9),1,0)</f>
        <v>1</v>
      </c>
      <c r="L118" s="168">
        <f>IF(COUNTIF('Model info'!$H$12,'Ecotox data'!B108)=1,7,IF(COUNTIF('Model info'!$J$12,'Ecotox data'!C108)=1,6,IF(COUNTIF('Model info'!$K$12,'Ecotox data'!D108)=1,5,IF(COUNTIF('Model info'!$L$12,'Ecotox data'!E108)=1,4,IF(COUNTIF('Model info'!$M$12,'Ecotox data'!F108)=1,3,IF(COUNTIF('Model info'!$N$12,'Ecotox data'!G108)=1,2,IF(COUNTIF('Model info'!$O$12,'Ecotox data'!H108)=1,1,0)))))))</f>
        <v>2</v>
      </c>
      <c r="M118" s="176">
        <f t="shared" si="10"/>
        <v>3</v>
      </c>
      <c r="N118" s="35"/>
      <c r="O118" s="27">
        <f>IF(AND('Ecotox data'!M108&gt;='Model info'!$E$12,'Ecotox data'!M108&lt;='Model info'!$E$13),1,0)</f>
        <v>1</v>
      </c>
      <c r="P118" s="165">
        <f>IF(COUNTIF('Model info'!$H$14,'Ecotox data'!B108)=1,7,IF(COUNTIF('Model info'!$J$14,'Ecotox data'!C108)=1,6,IF(COUNTIF('Model info'!$K$14,'Ecotox data'!D108)=1,5,IF(COUNTIF('Model info'!$L$14,'Ecotox data'!E108)=1,4,IF(COUNTIF('Model info'!$M$14,'Ecotox data'!F108)=1,3,IF(COUNTIF('Model info'!$N$14,'Ecotox data'!G108)=1,2,IF(COUNTIF('Model info'!$O$14,'Ecotox data'!H108)=1,1,0)))))))</f>
        <v>0</v>
      </c>
      <c r="Q118" s="176">
        <f t="shared" si="11"/>
        <v>1</v>
      </c>
      <c r="R118" s="35"/>
      <c r="S118" s="27">
        <f>IF(AND('Ecotox data'!P108&gt;='Model info'!$C$16,'Ecotox data'!P108&lt;='Model info'!$C$17,'Ecotox data'!U108&gt;='Model info'!$D$16,'Ecotox data'!U108&lt;='Model info'!$D$17,'Ecotox data'!M108&gt;='Model info'!$E$16,'Ecotox data'!M108&lt;='Model info'!$E$17),1,0)</f>
        <v>1</v>
      </c>
      <c r="T118" s="165">
        <f>IF(COUNTIF('Model info'!$H$16,'Ecotox data'!B108)=1,7,IF(COUNTIF('Model info'!$J$16,'Ecotox data'!C108)=1,6,IF(COUNTIF('Model info'!$K$16,'Ecotox data'!D108)=1,5,IF(COUNTIF('Model info'!$L$16,'Ecotox data'!E108)=1,4,IF(COUNTIF('Model info'!$M$16,'Ecotox data'!F108)=1,3,IF(COUNTIF('Model info'!$N$16,'Ecotox data'!G108)=1,2,IF(COUNTIF('Model info'!$O$16,'Ecotox data'!H108)=1,1,0)))))))</f>
        <v>0</v>
      </c>
      <c r="U118" s="176">
        <f t="shared" si="12"/>
        <v>1</v>
      </c>
      <c r="V118" s="35"/>
      <c r="W118" s="27">
        <f>IF(AND('Ecotox data'!P108&gt;='Model info'!$C$20,'Ecotox data'!P108&lt;='Model info'!$C$21,'Ecotox data'!U108&gt;='Model info'!$D$20,'Ecotox data'!U108&lt;='Model info'!$D$21,'Ecotox data'!M108&gt;='Model info'!$E$20,'Ecotox data'!M108&lt;='Model info'!$E$21),1,0)</f>
        <v>1</v>
      </c>
      <c r="X118" s="168">
        <f>IF(COUNTIF('Model info'!$H$18:$H$24,'Ecotox data'!B108)=1,7,IF(COUNTIF('Model info'!$J$18:$J$24,'Ecotox data'!C108)=1,6,IF(COUNTIF('Model info'!$K$18:$K$24,'Ecotox data'!D108)=1,5,IF(COUNTIF('Model info'!$L$2:$L$24,'Ecotox data'!E108)=1,4,IF(COUNTIF('Model info'!$M$18:$M$24,'Ecotox data'!F108)=1,3,IF(COUNTIF('Model info'!$N$18:$N$24,'Ecotox data'!G108)=1,2,IF(COUNTIF('Model info'!$O$18:$O$24,'Ecotox data'!H108)=1,1,0)))))))</f>
        <v>2</v>
      </c>
      <c r="Y118" s="176">
        <f t="shared" si="13"/>
        <v>3</v>
      </c>
    </row>
    <row r="119" spans="5:25">
      <c r="E119" s="29">
        <v>101</v>
      </c>
      <c r="F119" s="262" t="s">
        <v>56</v>
      </c>
      <c r="G119" s="27">
        <f>IF(AND('Ecotox data'!P109&gt;='Model info'!$C$4,'Ecotox data'!P109&lt;='Model info'!$C$5),1,0)</f>
        <v>1</v>
      </c>
      <c r="H119" s="163">
        <f>IF(COUNTIF('Model info'!$H$4:$H$10,'Ecotox data'!B109)=1,7,IF(COUNTIF('Model info'!$J$4:$J$10,'Ecotox data'!C109)=1,6,IF(COUNTIF('Model info'!$K$4:$K$10,'Ecotox data'!D109)=1,5,IF(COUNTIF('Model info'!$L$4:$L$10,'Ecotox data'!E109)=1,4,IF(COUNTIF('Model info'!$M$4:$M$10,'Ecotox data'!F109)=1,3,IF(COUNTIF('Model info'!$N$4:$N$10,'Ecotox data'!G109)=1,2,IF(COUNTIF('Model info'!$O$4:$O$10,'Ecotox data'!H109)=1,1,0)))))))</f>
        <v>0</v>
      </c>
      <c r="I119" s="176">
        <f t="shared" si="9"/>
        <v>1</v>
      </c>
      <c r="J119" s="35"/>
      <c r="K119" s="27">
        <f>IF(AND('Ecotox data'!U109&gt;='Model info'!$D$8,'Ecotox data'!U109&lt;='Model info'!$D$9),1,0)</f>
        <v>1</v>
      </c>
      <c r="L119" s="168">
        <f>IF(COUNTIF('Model info'!$H$12,'Ecotox data'!B109)=1,7,IF(COUNTIF('Model info'!$J$12,'Ecotox data'!C109)=1,6,IF(COUNTIF('Model info'!$K$12,'Ecotox data'!D109)=1,5,IF(COUNTIF('Model info'!$L$12,'Ecotox data'!E109)=1,4,IF(COUNTIF('Model info'!$M$12,'Ecotox data'!F109)=1,3,IF(COUNTIF('Model info'!$N$12,'Ecotox data'!G109)=1,2,IF(COUNTIF('Model info'!$O$12,'Ecotox data'!H109)=1,1,0)))))))</f>
        <v>2</v>
      </c>
      <c r="M119" s="176">
        <f t="shared" si="10"/>
        <v>3</v>
      </c>
      <c r="N119" s="35"/>
      <c r="O119" s="27">
        <f>IF(AND('Ecotox data'!M109&gt;='Model info'!$E$12,'Ecotox data'!M109&lt;='Model info'!$E$13),1,0)</f>
        <v>1</v>
      </c>
      <c r="P119" s="165">
        <f>IF(COUNTIF('Model info'!$H$14,'Ecotox data'!B109)=1,7,IF(COUNTIF('Model info'!$J$14,'Ecotox data'!C109)=1,6,IF(COUNTIF('Model info'!$K$14,'Ecotox data'!D109)=1,5,IF(COUNTIF('Model info'!$L$14,'Ecotox data'!E109)=1,4,IF(COUNTIF('Model info'!$M$14,'Ecotox data'!F109)=1,3,IF(COUNTIF('Model info'!$N$14,'Ecotox data'!G109)=1,2,IF(COUNTIF('Model info'!$O$14,'Ecotox data'!H109)=1,1,0)))))))</f>
        <v>0</v>
      </c>
      <c r="Q119" s="176">
        <f t="shared" si="11"/>
        <v>1</v>
      </c>
      <c r="R119" s="35"/>
      <c r="S119" s="27">
        <f>IF(AND('Ecotox data'!P109&gt;='Model info'!$C$16,'Ecotox data'!P109&lt;='Model info'!$C$17,'Ecotox data'!U109&gt;='Model info'!$D$16,'Ecotox data'!U109&lt;='Model info'!$D$17,'Ecotox data'!M109&gt;='Model info'!$E$16,'Ecotox data'!M109&lt;='Model info'!$E$17),1,0)</f>
        <v>1</v>
      </c>
      <c r="T119" s="165">
        <f>IF(COUNTIF('Model info'!$H$16,'Ecotox data'!B109)=1,7,IF(COUNTIF('Model info'!$J$16,'Ecotox data'!C109)=1,6,IF(COUNTIF('Model info'!$K$16,'Ecotox data'!D109)=1,5,IF(COUNTIF('Model info'!$L$16,'Ecotox data'!E109)=1,4,IF(COUNTIF('Model info'!$M$16,'Ecotox data'!F109)=1,3,IF(COUNTIF('Model info'!$N$16,'Ecotox data'!G109)=1,2,IF(COUNTIF('Model info'!$O$16,'Ecotox data'!H109)=1,1,0)))))))</f>
        <v>0</v>
      </c>
      <c r="U119" s="176">
        <f t="shared" si="12"/>
        <v>1</v>
      </c>
      <c r="V119" s="35"/>
      <c r="W119" s="27">
        <f>IF(AND('Ecotox data'!P109&gt;='Model info'!$C$20,'Ecotox data'!P109&lt;='Model info'!$C$21,'Ecotox data'!U109&gt;='Model info'!$D$20,'Ecotox data'!U109&lt;='Model info'!$D$21,'Ecotox data'!M109&gt;='Model info'!$E$20,'Ecotox data'!M109&lt;='Model info'!$E$21),1,0)</f>
        <v>1</v>
      </c>
      <c r="X119" s="168">
        <f>IF(COUNTIF('Model info'!$H$18:$H$24,'Ecotox data'!B109)=1,7,IF(COUNTIF('Model info'!$J$18:$J$24,'Ecotox data'!C109)=1,6,IF(COUNTIF('Model info'!$K$18:$K$24,'Ecotox data'!D109)=1,5,IF(COUNTIF('Model info'!$L$2:$L$24,'Ecotox data'!E109)=1,4,IF(COUNTIF('Model info'!$M$18:$M$24,'Ecotox data'!F109)=1,3,IF(COUNTIF('Model info'!$N$18:$N$24,'Ecotox data'!G109)=1,2,IF(COUNTIF('Model info'!$O$18:$O$24,'Ecotox data'!H109)=1,1,0)))))))</f>
        <v>2</v>
      </c>
      <c r="Y119" s="176">
        <f t="shared" si="13"/>
        <v>3</v>
      </c>
    </row>
    <row r="120" spans="5:25">
      <c r="E120" s="29">
        <v>102</v>
      </c>
      <c r="F120" s="262" t="s">
        <v>56</v>
      </c>
      <c r="G120" s="27">
        <f>IF(AND('Ecotox data'!P110&gt;='Model info'!$C$4,'Ecotox data'!P110&lt;='Model info'!$C$5),1,0)</f>
        <v>1</v>
      </c>
      <c r="H120" s="163">
        <f>IF(COUNTIF('Model info'!$H$4:$H$10,'Ecotox data'!B110)=1,7,IF(COUNTIF('Model info'!$J$4:$J$10,'Ecotox data'!C110)=1,6,IF(COUNTIF('Model info'!$K$4:$K$10,'Ecotox data'!D110)=1,5,IF(COUNTIF('Model info'!$L$4:$L$10,'Ecotox data'!E110)=1,4,IF(COUNTIF('Model info'!$M$4:$M$10,'Ecotox data'!F110)=1,3,IF(COUNTIF('Model info'!$N$4:$N$10,'Ecotox data'!G110)=1,2,IF(COUNTIF('Model info'!$O$4:$O$10,'Ecotox data'!H110)=1,1,0)))))))</f>
        <v>0</v>
      </c>
      <c r="I120" s="176">
        <f t="shared" si="9"/>
        <v>1</v>
      </c>
      <c r="J120" s="35"/>
      <c r="K120" s="27">
        <f>IF(AND('Ecotox data'!U110&gt;='Model info'!$D$8,'Ecotox data'!U110&lt;='Model info'!$D$9),1,0)</f>
        <v>1</v>
      </c>
      <c r="L120" s="168">
        <f>IF(COUNTIF('Model info'!$H$12,'Ecotox data'!B110)=1,7,IF(COUNTIF('Model info'!$J$12,'Ecotox data'!C110)=1,6,IF(COUNTIF('Model info'!$K$12,'Ecotox data'!D110)=1,5,IF(COUNTIF('Model info'!$L$12,'Ecotox data'!E110)=1,4,IF(COUNTIF('Model info'!$M$12,'Ecotox data'!F110)=1,3,IF(COUNTIF('Model info'!$N$12,'Ecotox data'!G110)=1,2,IF(COUNTIF('Model info'!$O$12,'Ecotox data'!H110)=1,1,0)))))))</f>
        <v>2</v>
      </c>
      <c r="M120" s="176">
        <f t="shared" si="10"/>
        <v>3</v>
      </c>
      <c r="N120" s="35"/>
      <c r="O120" s="27">
        <f>IF(AND('Ecotox data'!M110&gt;='Model info'!$E$12,'Ecotox data'!M110&lt;='Model info'!$E$13),1,0)</f>
        <v>1</v>
      </c>
      <c r="P120" s="165">
        <f>IF(COUNTIF('Model info'!$H$14,'Ecotox data'!B110)=1,7,IF(COUNTIF('Model info'!$J$14,'Ecotox data'!C110)=1,6,IF(COUNTIF('Model info'!$K$14,'Ecotox data'!D110)=1,5,IF(COUNTIF('Model info'!$L$14,'Ecotox data'!E110)=1,4,IF(COUNTIF('Model info'!$M$14,'Ecotox data'!F110)=1,3,IF(COUNTIF('Model info'!$N$14,'Ecotox data'!G110)=1,2,IF(COUNTIF('Model info'!$O$14,'Ecotox data'!H110)=1,1,0)))))))</f>
        <v>0</v>
      </c>
      <c r="Q120" s="176">
        <f t="shared" si="11"/>
        <v>1</v>
      </c>
      <c r="R120" s="35"/>
      <c r="S120" s="27">
        <f>IF(AND('Ecotox data'!P110&gt;='Model info'!$C$16,'Ecotox data'!P110&lt;='Model info'!$C$17,'Ecotox data'!U110&gt;='Model info'!$D$16,'Ecotox data'!U110&lt;='Model info'!$D$17,'Ecotox data'!M110&gt;='Model info'!$E$16,'Ecotox data'!M110&lt;='Model info'!$E$17),1,0)</f>
        <v>1</v>
      </c>
      <c r="T120" s="165">
        <f>IF(COUNTIF('Model info'!$H$16,'Ecotox data'!B110)=1,7,IF(COUNTIF('Model info'!$J$16,'Ecotox data'!C110)=1,6,IF(COUNTIF('Model info'!$K$16,'Ecotox data'!D110)=1,5,IF(COUNTIF('Model info'!$L$16,'Ecotox data'!E110)=1,4,IF(COUNTIF('Model info'!$M$16,'Ecotox data'!F110)=1,3,IF(COUNTIF('Model info'!$N$16,'Ecotox data'!G110)=1,2,IF(COUNTIF('Model info'!$O$16,'Ecotox data'!H110)=1,1,0)))))))</f>
        <v>0</v>
      </c>
      <c r="U120" s="176">
        <f t="shared" si="12"/>
        <v>1</v>
      </c>
      <c r="V120" s="35"/>
      <c r="W120" s="27">
        <f>IF(AND('Ecotox data'!P110&gt;='Model info'!$C$20,'Ecotox data'!P110&lt;='Model info'!$C$21,'Ecotox data'!U110&gt;='Model info'!$D$20,'Ecotox data'!U110&lt;='Model info'!$D$21,'Ecotox data'!M110&gt;='Model info'!$E$20,'Ecotox data'!M110&lt;='Model info'!$E$21),1,0)</f>
        <v>1</v>
      </c>
      <c r="X120" s="168">
        <f>IF(COUNTIF('Model info'!$H$18:$H$24,'Ecotox data'!B110)=1,7,IF(COUNTIF('Model info'!$J$18:$J$24,'Ecotox data'!C110)=1,6,IF(COUNTIF('Model info'!$K$18:$K$24,'Ecotox data'!D110)=1,5,IF(COUNTIF('Model info'!$L$2:$L$24,'Ecotox data'!E110)=1,4,IF(COUNTIF('Model info'!$M$18:$M$24,'Ecotox data'!F110)=1,3,IF(COUNTIF('Model info'!$N$18:$N$24,'Ecotox data'!G110)=1,2,IF(COUNTIF('Model info'!$O$18:$O$24,'Ecotox data'!H110)=1,1,0)))))))</f>
        <v>2</v>
      </c>
      <c r="Y120" s="176">
        <f t="shared" si="13"/>
        <v>3</v>
      </c>
    </row>
    <row r="121" spans="5:25">
      <c r="E121" s="29">
        <v>103</v>
      </c>
      <c r="F121" s="262" t="s">
        <v>54</v>
      </c>
      <c r="G121" s="27">
        <f>IF(AND('Ecotox data'!P111&gt;='Model info'!$C$4,'Ecotox data'!P111&lt;='Model info'!$C$5),1,0)</f>
        <v>1</v>
      </c>
      <c r="H121" s="163">
        <f>IF(COUNTIF('Model info'!$H$4:$H$10,'Ecotox data'!B111)=1,7,IF(COUNTIF('Model info'!$J$4:$J$10,'Ecotox data'!C111)=1,6,IF(COUNTIF('Model info'!$K$4:$K$10,'Ecotox data'!D111)=1,5,IF(COUNTIF('Model info'!$L$4:$L$10,'Ecotox data'!E111)=1,4,IF(COUNTIF('Model info'!$M$4:$M$10,'Ecotox data'!F111)=1,3,IF(COUNTIF('Model info'!$N$4:$N$10,'Ecotox data'!G111)=1,2,IF(COUNTIF('Model info'!$O$4:$O$10,'Ecotox data'!H111)=1,1,0)))))))</f>
        <v>0</v>
      </c>
      <c r="I121" s="176">
        <f t="shared" si="9"/>
        <v>1</v>
      </c>
      <c r="J121" s="35"/>
      <c r="K121" s="27">
        <f>IF(AND('Ecotox data'!U111&gt;='Model info'!$D$8,'Ecotox data'!U111&lt;='Model info'!$D$9),1,0)</f>
        <v>1</v>
      </c>
      <c r="L121" s="171">
        <f>IF(COUNTIF('Model info'!$H$12,'Ecotox data'!B111)=1,7,IF(COUNTIF('Model info'!$J$12,'Ecotox data'!C111)=1,6,IF(COUNTIF('Model info'!$K$12,'Ecotox data'!D111)=1,5,IF(COUNTIF('Model info'!$L$12,'Ecotox data'!E111)=1,4,IF(COUNTIF('Model info'!$M$12,'Ecotox data'!F111)=1,3,IF(COUNTIF('Model info'!$N$12,'Ecotox data'!G111)=1,2,IF(COUNTIF('Model info'!$O$12,'Ecotox data'!H111)=1,1,0)))))))</f>
        <v>7</v>
      </c>
      <c r="M121" s="177">
        <f t="shared" si="10"/>
        <v>8</v>
      </c>
      <c r="N121" s="35"/>
      <c r="O121" s="27">
        <f>IF(AND('Ecotox data'!M111&gt;='Model info'!$E$12,'Ecotox data'!M111&lt;='Model info'!$E$13),1,0)</f>
        <v>1</v>
      </c>
      <c r="P121" s="165">
        <f>IF(COUNTIF('Model info'!$H$14,'Ecotox data'!B111)=1,7,IF(COUNTIF('Model info'!$J$14,'Ecotox data'!C111)=1,6,IF(COUNTIF('Model info'!$K$14,'Ecotox data'!D111)=1,5,IF(COUNTIF('Model info'!$L$14,'Ecotox data'!E111)=1,4,IF(COUNTIF('Model info'!$M$14,'Ecotox data'!F111)=1,3,IF(COUNTIF('Model info'!$N$14,'Ecotox data'!G111)=1,2,IF(COUNTIF('Model info'!$O$14,'Ecotox data'!H111)=1,1,0)))))))</f>
        <v>0</v>
      </c>
      <c r="Q121" s="176">
        <f t="shared" si="11"/>
        <v>1</v>
      </c>
      <c r="R121" s="35"/>
      <c r="S121" s="27">
        <f>IF(AND('Ecotox data'!P111&gt;='Model info'!$C$16,'Ecotox data'!P111&lt;='Model info'!$C$17,'Ecotox data'!U111&gt;='Model info'!$D$16,'Ecotox data'!U111&lt;='Model info'!$D$17,'Ecotox data'!M111&gt;='Model info'!$E$16,'Ecotox data'!M111&lt;='Model info'!$E$17),1,0)</f>
        <v>1</v>
      </c>
      <c r="T121" s="165">
        <f>IF(COUNTIF('Model info'!$H$16,'Ecotox data'!B111)=1,7,IF(COUNTIF('Model info'!$J$16,'Ecotox data'!C111)=1,6,IF(COUNTIF('Model info'!$K$16,'Ecotox data'!D111)=1,5,IF(COUNTIF('Model info'!$L$16,'Ecotox data'!E111)=1,4,IF(COUNTIF('Model info'!$M$16,'Ecotox data'!F111)=1,3,IF(COUNTIF('Model info'!$N$16,'Ecotox data'!G111)=1,2,IF(COUNTIF('Model info'!$O$16,'Ecotox data'!H111)=1,1,0)))))))</f>
        <v>0</v>
      </c>
      <c r="U121" s="176">
        <f t="shared" si="12"/>
        <v>1</v>
      </c>
      <c r="V121" s="35"/>
      <c r="W121" s="27">
        <f>IF(AND('Ecotox data'!P111&gt;='Model info'!$C$20,'Ecotox data'!P111&lt;='Model info'!$C$21,'Ecotox data'!U111&gt;='Model info'!$D$20,'Ecotox data'!U111&lt;='Model info'!$D$21,'Ecotox data'!M111&gt;='Model info'!$E$20,'Ecotox data'!M111&lt;='Model info'!$E$21),1,0)</f>
        <v>1</v>
      </c>
      <c r="X121" s="171">
        <f>IF(COUNTIF('Model info'!$H$18:$H$24,'Ecotox data'!B111)=1,7,IF(COUNTIF('Model info'!$J$18:$J$24,'Ecotox data'!C111)=1,6,IF(COUNTIF('Model info'!$K$18:$K$24,'Ecotox data'!D111)=1,5,IF(COUNTIF('Model info'!$L$2:$L$24,'Ecotox data'!E111)=1,4,IF(COUNTIF('Model info'!$M$18:$M$24,'Ecotox data'!F111)=1,3,IF(COUNTIF('Model info'!$N$18:$N$24,'Ecotox data'!G111)=1,2,IF(COUNTIF('Model info'!$O$18:$O$24,'Ecotox data'!H111)=1,1,0)))))))</f>
        <v>7</v>
      </c>
      <c r="Y121" s="177">
        <f t="shared" si="13"/>
        <v>8</v>
      </c>
    </row>
    <row r="122" spans="5:25">
      <c r="E122" s="29">
        <v>104</v>
      </c>
      <c r="F122" s="262" t="s">
        <v>54</v>
      </c>
      <c r="G122" s="27">
        <f>IF(AND('Ecotox data'!P112&gt;='Model info'!$C$4,'Ecotox data'!P112&lt;='Model info'!$C$5),1,0)</f>
        <v>1</v>
      </c>
      <c r="H122" s="163">
        <f>IF(COUNTIF('Model info'!$H$4:$H$10,'Ecotox data'!B112)=1,7,IF(COUNTIF('Model info'!$J$4:$J$10,'Ecotox data'!C112)=1,6,IF(COUNTIF('Model info'!$K$4:$K$10,'Ecotox data'!D112)=1,5,IF(COUNTIF('Model info'!$L$4:$L$10,'Ecotox data'!E112)=1,4,IF(COUNTIF('Model info'!$M$4:$M$10,'Ecotox data'!F112)=1,3,IF(COUNTIF('Model info'!$N$4:$N$10,'Ecotox data'!G112)=1,2,IF(COUNTIF('Model info'!$O$4:$O$10,'Ecotox data'!H112)=1,1,0)))))))</f>
        <v>0</v>
      </c>
      <c r="I122" s="176">
        <f t="shared" si="9"/>
        <v>1</v>
      </c>
      <c r="J122" s="35"/>
      <c r="K122" s="27">
        <f>IF(AND('Ecotox data'!U112&gt;='Model info'!$D$8,'Ecotox data'!U112&lt;='Model info'!$D$9),1,0)</f>
        <v>1</v>
      </c>
      <c r="L122" s="171">
        <f>IF(COUNTIF('Model info'!$H$12,'Ecotox data'!B112)=1,7,IF(COUNTIF('Model info'!$J$12,'Ecotox data'!C112)=1,6,IF(COUNTIF('Model info'!$K$12,'Ecotox data'!D112)=1,5,IF(COUNTIF('Model info'!$L$12,'Ecotox data'!E112)=1,4,IF(COUNTIF('Model info'!$M$12,'Ecotox data'!F112)=1,3,IF(COUNTIF('Model info'!$N$12,'Ecotox data'!G112)=1,2,IF(COUNTIF('Model info'!$O$12,'Ecotox data'!H112)=1,1,0)))))))</f>
        <v>7</v>
      </c>
      <c r="M122" s="177">
        <f t="shared" si="10"/>
        <v>8</v>
      </c>
      <c r="N122" s="35"/>
      <c r="O122" s="27">
        <f>IF(AND('Ecotox data'!M112&gt;='Model info'!$E$12,'Ecotox data'!M112&lt;='Model info'!$E$13),1,0)</f>
        <v>1</v>
      </c>
      <c r="P122" s="165">
        <f>IF(COUNTIF('Model info'!$H$14,'Ecotox data'!B112)=1,7,IF(COUNTIF('Model info'!$J$14,'Ecotox data'!C112)=1,6,IF(COUNTIF('Model info'!$K$14,'Ecotox data'!D112)=1,5,IF(COUNTIF('Model info'!$L$14,'Ecotox data'!E112)=1,4,IF(COUNTIF('Model info'!$M$14,'Ecotox data'!F112)=1,3,IF(COUNTIF('Model info'!$N$14,'Ecotox data'!G112)=1,2,IF(COUNTIF('Model info'!$O$14,'Ecotox data'!H112)=1,1,0)))))))</f>
        <v>0</v>
      </c>
      <c r="Q122" s="176">
        <f t="shared" si="11"/>
        <v>1</v>
      </c>
      <c r="R122" s="35"/>
      <c r="S122" s="27">
        <f>IF(AND('Ecotox data'!P112&gt;='Model info'!$C$16,'Ecotox data'!P112&lt;='Model info'!$C$17,'Ecotox data'!U112&gt;='Model info'!$D$16,'Ecotox data'!U112&lt;='Model info'!$D$17,'Ecotox data'!M112&gt;='Model info'!$E$16,'Ecotox data'!M112&lt;='Model info'!$E$17),1,0)</f>
        <v>1</v>
      </c>
      <c r="T122" s="165">
        <f>IF(COUNTIF('Model info'!$H$16,'Ecotox data'!B112)=1,7,IF(COUNTIF('Model info'!$J$16,'Ecotox data'!C112)=1,6,IF(COUNTIF('Model info'!$K$16,'Ecotox data'!D112)=1,5,IF(COUNTIF('Model info'!$L$16,'Ecotox data'!E112)=1,4,IF(COUNTIF('Model info'!$M$16,'Ecotox data'!F112)=1,3,IF(COUNTIF('Model info'!$N$16,'Ecotox data'!G112)=1,2,IF(COUNTIF('Model info'!$O$16,'Ecotox data'!H112)=1,1,0)))))))</f>
        <v>0</v>
      </c>
      <c r="U122" s="176">
        <f t="shared" si="12"/>
        <v>1</v>
      </c>
      <c r="V122" s="35"/>
      <c r="W122" s="27">
        <f>IF(AND('Ecotox data'!P112&gt;='Model info'!$C$20,'Ecotox data'!P112&lt;='Model info'!$C$21,'Ecotox data'!U112&gt;='Model info'!$D$20,'Ecotox data'!U112&lt;='Model info'!$D$21,'Ecotox data'!M112&gt;='Model info'!$E$20,'Ecotox data'!M112&lt;='Model info'!$E$21),1,0)</f>
        <v>1</v>
      </c>
      <c r="X122" s="171">
        <f>IF(COUNTIF('Model info'!$H$18:$H$24,'Ecotox data'!B112)=1,7,IF(COUNTIF('Model info'!$J$18:$J$24,'Ecotox data'!C112)=1,6,IF(COUNTIF('Model info'!$K$18:$K$24,'Ecotox data'!D112)=1,5,IF(COUNTIF('Model info'!$L$2:$L$24,'Ecotox data'!E112)=1,4,IF(COUNTIF('Model info'!$M$18:$M$24,'Ecotox data'!F112)=1,3,IF(COUNTIF('Model info'!$N$18:$N$24,'Ecotox data'!G112)=1,2,IF(COUNTIF('Model info'!$O$18:$O$24,'Ecotox data'!H112)=1,1,0)))))))</f>
        <v>7</v>
      </c>
      <c r="Y122" s="177">
        <f t="shared" si="13"/>
        <v>8</v>
      </c>
    </row>
    <row r="123" spans="5:25">
      <c r="E123" s="29">
        <v>105</v>
      </c>
      <c r="F123" s="262" t="s">
        <v>54</v>
      </c>
      <c r="G123" s="27">
        <f>IF(AND('Ecotox data'!P113&gt;='Model info'!$C$4,'Ecotox data'!P113&lt;='Model info'!$C$5),1,0)</f>
        <v>1</v>
      </c>
      <c r="H123" s="163">
        <f>IF(COUNTIF('Model info'!$H$4:$H$10,'Ecotox data'!B113)=1,7,IF(COUNTIF('Model info'!$J$4:$J$10,'Ecotox data'!C113)=1,6,IF(COUNTIF('Model info'!$K$4:$K$10,'Ecotox data'!D113)=1,5,IF(COUNTIF('Model info'!$L$4:$L$10,'Ecotox data'!E113)=1,4,IF(COUNTIF('Model info'!$M$4:$M$10,'Ecotox data'!F113)=1,3,IF(COUNTIF('Model info'!$N$4:$N$10,'Ecotox data'!G113)=1,2,IF(COUNTIF('Model info'!$O$4:$O$10,'Ecotox data'!H113)=1,1,0)))))))</f>
        <v>0</v>
      </c>
      <c r="I123" s="176">
        <f t="shared" si="9"/>
        <v>1</v>
      </c>
      <c r="J123" s="35"/>
      <c r="K123" s="27">
        <f>IF(AND('Ecotox data'!U113&gt;='Model info'!$D$8,'Ecotox data'!U113&lt;='Model info'!$D$9),1,0)</f>
        <v>1</v>
      </c>
      <c r="L123" s="171">
        <f>IF(COUNTIF('Model info'!$H$12,'Ecotox data'!B113)=1,7,IF(COUNTIF('Model info'!$J$12,'Ecotox data'!C113)=1,6,IF(COUNTIF('Model info'!$K$12,'Ecotox data'!D113)=1,5,IF(COUNTIF('Model info'!$L$12,'Ecotox data'!E113)=1,4,IF(COUNTIF('Model info'!$M$12,'Ecotox data'!F113)=1,3,IF(COUNTIF('Model info'!$N$12,'Ecotox data'!G113)=1,2,IF(COUNTIF('Model info'!$O$12,'Ecotox data'!H113)=1,1,0)))))))</f>
        <v>7</v>
      </c>
      <c r="M123" s="177">
        <f t="shared" si="10"/>
        <v>8</v>
      </c>
      <c r="N123" s="35"/>
      <c r="O123" s="27">
        <f>IF(AND('Ecotox data'!M113&gt;='Model info'!$E$12,'Ecotox data'!M113&lt;='Model info'!$E$13),1,0)</f>
        <v>1</v>
      </c>
      <c r="P123" s="165">
        <f>IF(COUNTIF('Model info'!$H$14,'Ecotox data'!B113)=1,7,IF(COUNTIF('Model info'!$J$14,'Ecotox data'!C113)=1,6,IF(COUNTIF('Model info'!$K$14,'Ecotox data'!D113)=1,5,IF(COUNTIF('Model info'!$L$14,'Ecotox data'!E113)=1,4,IF(COUNTIF('Model info'!$M$14,'Ecotox data'!F113)=1,3,IF(COUNTIF('Model info'!$N$14,'Ecotox data'!G113)=1,2,IF(COUNTIF('Model info'!$O$14,'Ecotox data'!H113)=1,1,0)))))))</f>
        <v>0</v>
      </c>
      <c r="Q123" s="176">
        <f t="shared" si="11"/>
        <v>1</v>
      </c>
      <c r="R123" s="35"/>
      <c r="S123" s="27">
        <f>IF(AND('Ecotox data'!P113&gt;='Model info'!$C$16,'Ecotox data'!P113&lt;='Model info'!$C$17,'Ecotox data'!U113&gt;='Model info'!$D$16,'Ecotox data'!U113&lt;='Model info'!$D$17,'Ecotox data'!M113&gt;='Model info'!$E$16,'Ecotox data'!M113&lt;='Model info'!$E$17),1,0)</f>
        <v>1</v>
      </c>
      <c r="T123" s="165">
        <f>IF(COUNTIF('Model info'!$H$16,'Ecotox data'!B113)=1,7,IF(COUNTIF('Model info'!$J$16,'Ecotox data'!C113)=1,6,IF(COUNTIF('Model info'!$K$16,'Ecotox data'!D113)=1,5,IF(COUNTIF('Model info'!$L$16,'Ecotox data'!E113)=1,4,IF(COUNTIF('Model info'!$M$16,'Ecotox data'!F113)=1,3,IF(COUNTIF('Model info'!$N$16,'Ecotox data'!G113)=1,2,IF(COUNTIF('Model info'!$O$16,'Ecotox data'!H113)=1,1,0)))))))</f>
        <v>0</v>
      </c>
      <c r="U123" s="176">
        <f t="shared" si="12"/>
        <v>1</v>
      </c>
      <c r="V123" s="35"/>
      <c r="W123" s="27">
        <f>IF(AND('Ecotox data'!P113&gt;='Model info'!$C$20,'Ecotox data'!P113&lt;='Model info'!$C$21,'Ecotox data'!U113&gt;='Model info'!$D$20,'Ecotox data'!U113&lt;='Model info'!$D$21,'Ecotox data'!M113&gt;='Model info'!$E$20,'Ecotox data'!M113&lt;='Model info'!$E$21),1,0)</f>
        <v>1</v>
      </c>
      <c r="X123" s="171">
        <f>IF(COUNTIF('Model info'!$H$18:$H$24,'Ecotox data'!B113)=1,7,IF(COUNTIF('Model info'!$J$18:$J$24,'Ecotox data'!C113)=1,6,IF(COUNTIF('Model info'!$K$18:$K$24,'Ecotox data'!D113)=1,5,IF(COUNTIF('Model info'!$L$2:$L$24,'Ecotox data'!E113)=1,4,IF(COUNTIF('Model info'!$M$18:$M$24,'Ecotox data'!F113)=1,3,IF(COUNTIF('Model info'!$N$18:$N$24,'Ecotox data'!G113)=1,2,IF(COUNTIF('Model info'!$O$18:$O$24,'Ecotox data'!H113)=1,1,0)))))))</f>
        <v>7</v>
      </c>
      <c r="Y123" s="177">
        <f t="shared" si="13"/>
        <v>8</v>
      </c>
    </row>
    <row r="124" spans="5:25">
      <c r="E124" s="29">
        <v>106</v>
      </c>
      <c r="F124" s="262" t="s">
        <v>54</v>
      </c>
      <c r="G124" s="27">
        <f>IF(AND('Ecotox data'!P114&gt;='Model info'!$C$4,'Ecotox data'!P114&lt;='Model info'!$C$5),1,0)</f>
        <v>1</v>
      </c>
      <c r="H124" s="163">
        <f>IF(COUNTIF('Model info'!$H$4:$H$10,'Ecotox data'!B114)=1,7,IF(COUNTIF('Model info'!$J$4:$J$10,'Ecotox data'!C114)=1,6,IF(COUNTIF('Model info'!$K$4:$K$10,'Ecotox data'!D114)=1,5,IF(COUNTIF('Model info'!$L$4:$L$10,'Ecotox data'!E114)=1,4,IF(COUNTIF('Model info'!$M$4:$M$10,'Ecotox data'!F114)=1,3,IF(COUNTIF('Model info'!$N$4:$N$10,'Ecotox data'!G114)=1,2,IF(COUNTIF('Model info'!$O$4:$O$10,'Ecotox data'!H114)=1,1,0)))))))</f>
        <v>0</v>
      </c>
      <c r="I124" s="176">
        <f t="shared" si="9"/>
        <v>1</v>
      </c>
      <c r="J124" s="35"/>
      <c r="K124" s="27">
        <f>IF(AND('Ecotox data'!U114&gt;='Model info'!$D$8,'Ecotox data'!U114&lt;='Model info'!$D$9),1,0)</f>
        <v>1</v>
      </c>
      <c r="L124" s="171">
        <f>IF(COUNTIF('Model info'!$H$12,'Ecotox data'!B114)=1,7,IF(COUNTIF('Model info'!$J$12,'Ecotox data'!C114)=1,6,IF(COUNTIF('Model info'!$K$12,'Ecotox data'!D114)=1,5,IF(COUNTIF('Model info'!$L$12,'Ecotox data'!E114)=1,4,IF(COUNTIF('Model info'!$M$12,'Ecotox data'!F114)=1,3,IF(COUNTIF('Model info'!$N$12,'Ecotox data'!G114)=1,2,IF(COUNTIF('Model info'!$O$12,'Ecotox data'!H114)=1,1,0)))))))</f>
        <v>7</v>
      </c>
      <c r="M124" s="177">
        <f t="shared" si="10"/>
        <v>8</v>
      </c>
      <c r="N124" s="35"/>
      <c r="O124" s="27">
        <f>IF(AND('Ecotox data'!M114&gt;='Model info'!$E$12,'Ecotox data'!M114&lt;='Model info'!$E$13),1,0)</f>
        <v>1</v>
      </c>
      <c r="P124" s="165">
        <f>IF(COUNTIF('Model info'!$H$14,'Ecotox data'!B114)=1,7,IF(COUNTIF('Model info'!$J$14,'Ecotox data'!C114)=1,6,IF(COUNTIF('Model info'!$K$14,'Ecotox data'!D114)=1,5,IF(COUNTIF('Model info'!$L$14,'Ecotox data'!E114)=1,4,IF(COUNTIF('Model info'!$M$14,'Ecotox data'!F114)=1,3,IF(COUNTIF('Model info'!$N$14,'Ecotox data'!G114)=1,2,IF(COUNTIF('Model info'!$O$14,'Ecotox data'!H114)=1,1,0)))))))</f>
        <v>0</v>
      </c>
      <c r="Q124" s="176">
        <f t="shared" si="11"/>
        <v>1</v>
      </c>
      <c r="R124" s="35"/>
      <c r="S124" s="27">
        <f>IF(AND('Ecotox data'!P114&gt;='Model info'!$C$16,'Ecotox data'!P114&lt;='Model info'!$C$17,'Ecotox data'!U114&gt;='Model info'!$D$16,'Ecotox data'!U114&lt;='Model info'!$D$17,'Ecotox data'!M114&gt;='Model info'!$E$16,'Ecotox data'!M114&lt;='Model info'!$E$17),1,0)</f>
        <v>1</v>
      </c>
      <c r="T124" s="165">
        <f>IF(COUNTIF('Model info'!$H$16,'Ecotox data'!B114)=1,7,IF(COUNTIF('Model info'!$J$16,'Ecotox data'!C114)=1,6,IF(COUNTIF('Model info'!$K$16,'Ecotox data'!D114)=1,5,IF(COUNTIF('Model info'!$L$16,'Ecotox data'!E114)=1,4,IF(COUNTIF('Model info'!$M$16,'Ecotox data'!F114)=1,3,IF(COUNTIF('Model info'!$N$16,'Ecotox data'!G114)=1,2,IF(COUNTIF('Model info'!$O$16,'Ecotox data'!H114)=1,1,0)))))))</f>
        <v>0</v>
      </c>
      <c r="U124" s="176">
        <f t="shared" si="12"/>
        <v>1</v>
      </c>
      <c r="V124" s="35"/>
      <c r="W124" s="27">
        <f>IF(AND('Ecotox data'!P114&gt;='Model info'!$C$20,'Ecotox data'!P114&lt;='Model info'!$C$21,'Ecotox data'!U114&gt;='Model info'!$D$20,'Ecotox data'!U114&lt;='Model info'!$D$21,'Ecotox data'!M114&gt;='Model info'!$E$20,'Ecotox data'!M114&lt;='Model info'!$E$21),1,0)</f>
        <v>1</v>
      </c>
      <c r="X124" s="171">
        <f>IF(COUNTIF('Model info'!$H$18:$H$24,'Ecotox data'!B114)=1,7,IF(COUNTIF('Model info'!$J$18:$J$24,'Ecotox data'!C114)=1,6,IF(COUNTIF('Model info'!$K$18:$K$24,'Ecotox data'!D114)=1,5,IF(COUNTIF('Model info'!$L$2:$L$24,'Ecotox data'!E114)=1,4,IF(COUNTIF('Model info'!$M$18:$M$24,'Ecotox data'!F114)=1,3,IF(COUNTIF('Model info'!$N$18:$N$24,'Ecotox data'!G114)=1,2,IF(COUNTIF('Model info'!$O$18:$O$24,'Ecotox data'!H114)=1,1,0)))))))</f>
        <v>7</v>
      </c>
      <c r="Y124" s="177">
        <f t="shared" si="13"/>
        <v>8</v>
      </c>
    </row>
    <row r="125" spans="5:25">
      <c r="E125" s="29">
        <v>107</v>
      </c>
      <c r="F125" s="262" t="s">
        <v>54</v>
      </c>
      <c r="G125" s="27">
        <f>IF(AND('Ecotox data'!P115&gt;='Model info'!$C$4,'Ecotox data'!P115&lt;='Model info'!$C$5),1,0)</f>
        <v>1</v>
      </c>
      <c r="H125" s="163">
        <f>IF(COUNTIF('Model info'!$H$4:$H$10,'Ecotox data'!B115)=1,7,IF(COUNTIF('Model info'!$J$4:$J$10,'Ecotox data'!C115)=1,6,IF(COUNTIF('Model info'!$K$4:$K$10,'Ecotox data'!D115)=1,5,IF(COUNTIF('Model info'!$L$4:$L$10,'Ecotox data'!E115)=1,4,IF(COUNTIF('Model info'!$M$4:$M$10,'Ecotox data'!F115)=1,3,IF(COUNTIF('Model info'!$N$4:$N$10,'Ecotox data'!G115)=1,2,IF(COUNTIF('Model info'!$O$4:$O$10,'Ecotox data'!H115)=1,1,0)))))))</f>
        <v>0</v>
      </c>
      <c r="I125" s="176">
        <f t="shared" si="9"/>
        <v>1</v>
      </c>
      <c r="J125" s="35"/>
      <c r="K125" s="27">
        <f>IF(AND('Ecotox data'!U115&gt;='Model info'!$D$8,'Ecotox data'!U115&lt;='Model info'!$D$9),1,0)</f>
        <v>1</v>
      </c>
      <c r="L125" s="171">
        <f>IF(COUNTIF('Model info'!$H$12,'Ecotox data'!B115)=1,7,IF(COUNTIF('Model info'!$J$12,'Ecotox data'!C115)=1,6,IF(COUNTIF('Model info'!$K$12,'Ecotox data'!D115)=1,5,IF(COUNTIF('Model info'!$L$12,'Ecotox data'!E115)=1,4,IF(COUNTIF('Model info'!$M$12,'Ecotox data'!F115)=1,3,IF(COUNTIF('Model info'!$N$12,'Ecotox data'!G115)=1,2,IF(COUNTIF('Model info'!$O$12,'Ecotox data'!H115)=1,1,0)))))))</f>
        <v>7</v>
      </c>
      <c r="M125" s="177">
        <f t="shared" si="10"/>
        <v>8</v>
      </c>
      <c r="N125" s="35"/>
      <c r="O125" s="27">
        <f>IF(AND('Ecotox data'!M115&gt;='Model info'!$E$12,'Ecotox data'!M115&lt;='Model info'!$E$13),1,0)</f>
        <v>1</v>
      </c>
      <c r="P125" s="165">
        <f>IF(COUNTIF('Model info'!$H$14,'Ecotox data'!B115)=1,7,IF(COUNTIF('Model info'!$J$14,'Ecotox data'!C115)=1,6,IF(COUNTIF('Model info'!$K$14,'Ecotox data'!D115)=1,5,IF(COUNTIF('Model info'!$L$14,'Ecotox data'!E115)=1,4,IF(COUNTIF('Model info'!$M$14,'Ecotox data'!F115)=1,3,IF(COUNTIF('Model info'!$N$14,'Ecotox data'!G115)=1,2,IF(COUNTIF('Model info'!$O$14,'Ecotox data'!H115)=1,1,0)))))))</f>
        <v>0</v>
      </c>
      <c r="Q125" s="176">
        <f t="shared" si="11"/>
        <v>1</v>
      </c>
      <c r="R125" s="35"/>
      <c r="S125" s="27">
        <f>IF(AND('Ecotox data'!P115&gt;='Model info'!$C$16,'Ecotox data'!P115&lt;='Model info'!$C$17,'Ecotox data'!U115&gt;='Model info'!$D$16,'Ecotox data'!U115&lt;='Model info'!$D$17,'Ecotox data'!M115&gt;='Model info'!$E$16,'Ecotox data'!M115&lt;='Model info'!$E$17),1,0)</f>
        <v>1</v>
      </c>
      <c r="T125" s="165">
        <f>IF(COUNTIF('Model info'!$H$16,'Ecotox data'!B115)=1,7,IF(COUNTIF('Model info'!$J$16,'Ecotox data'!C115)=1,6,IF(COUNTIF('Model info'!$K$16,'Ecotox data'!D115)=1,5,IF(COUNTIF('Model info'!$L$16,'Ecotox data'!E115)=1,4,IF(COUNTIF('Model info'!$M$16,'Ecotox data'!F115)=1,3,IF(COUNTIF('Model info'!$N$16,'Ecotox data'!G115)=1,2,IF(COUNTIF('Model info'!$O$16,'Ecotox data'!H115)=1,1,0)))))))</f>
        <v>0</v>
      </c>
      <c r="U125" s="176">
        <f t="shared" si="12"/>
        <v>1</v>
      </c>
      <c r="V125" s="35"/>
      <c r="W125" s="27">
        <f>IF(AND('Ecotox data'!P115&gt;='Model info'!$C$20,'Ecotox data'!P115&lt;='Model info'!$C$21,'Ecotox data'!U115&gt;='Model info'!$D$20,'Ecotox data'!U115&lt;='Model info'!$D$21,'Ecotox data'!M115&gt;='Model info'!$E$20,'Ecotox data'!M115&lt;='Model info'!$E$21),1,0)</f>
        <v>1</v>
      </c>
      <c r="X125" s="171">
        <f>IF(COUNTIF('Model info'!$H$18:$H$24,'Ecotox data'!B115)=1,7,IF(COUNTIF('Model info'!$J$18:$J$24,'Ecotox data'!C115)=1,6,IF(COUNTIF('Model info'!$K$18:$K$24,'Ecotox data'!D115)=1,5,IF(COUNTIF('Model info'!$L$2:$L$24,'Ecotox data'!E115)=1,4,IF(COUNTIF('Model info'!$M$18:$M$24,'Ecotox data'!F115)=1,3,IF(COUNTIF('Model info'!$N$18:$N$24,'Ecotox data'!G115)=1,2,IF(COUNTIF('Model info'!$O$18:$O$24,'Ecotox data'!H115)=1,1,0)))))))</f>
        <v>7</v>
      </c>
      <c r="Y125" s="177">
        <f t="shared" si="13"/>
        <v>8</v>
      </c>
    </row>
    <row r="126" spans="5:25">
      <c r="E126" s="29">
        <v>108</v>
      </c>
      <c r="F126" s="262" t="s">
        <v>54</v>
      </c>
      <c r="G126" s="27">
        <f>IF(AND('Ecotox data'!P116&gt;='Model info'!$C$4,'Ecotox data'!P116&lt;='Model info'!$C$5),1,0)</f>
        <v>1</v>
      </c>
      <c r="H126" s="163">
        <f>IF(COUNTIF('Model info'!$H$4:$H$10,'Ecotox data'!B116)=1,7,IF(COUNTIF('Model info'!$J$4:$J$10,'Ecotox data'!C116)=1,6,IF(COUNTIF('Model info'!$K$4:$K$10,'Ecotox data'!D116)=1,5,IF(COUNTIF('Model info'!$L$4:$L$10,'Ecotox data'!E116)=1,4,IF(COUNTIF('Model info'!$M$4:$M$10,'Ecotox data'!F116)=1,3,IF(COUNTIF('Model info'!$N$4:$N$10,'Ecotox data'!G116)=1,2,IF(COUNTIF('Model info'!$O$4:$O$10,'Ecotox data'!H116)=1,1,0)))))))</f>
        <v>0</v>
      </c>
      <c r="I126" s="176">
        <f t="shared" si="9"/>
        <v>1</v>
      </c>
      <c r="J126" s="35"/>
      <c r="K126" s="27">
        <f>IF(AND('Ecotox data'!U116&gt;='Model info'!$D$8,'Ecotox data'!U116&lt;='Model info'!$D$9),1,0)</f>
        <v>1</v>
      </c>
      <c r="L126" s="171">
        <f>IF(COUNTIF('Model info'!$H$12,'Ecotox data'!B116)=1,7,IF(COUNTIF('Model info'!$J$12,'Ecotox data'!C116)=1,6,IF(COUNTIF('Model info'!$K$12,'Ecotox data'!D116)=1,5,IF(COUNTIF('Model info'!$L$12,'Ecotox data'!E116)=1,4,IF(COUNTIF('Model info'!$M$12,'Ecotox data'!F116)=1,3,IF(COUNTIF('Model info'!$N$12,'Ecotox data'!G116)=1,2,IF(COUNTIF('Model info'!$O$12,'Ecotox data'!H116)=1,1,0)))))))</f>
        <v>7</v>
      </c>
      <c r="M126" s="177">
        <f t="shared" si="10"/>
        <v>8</v>
      </c>
      <c r="N126" s="35"/>
      <c r="O126" s="27">
        <f>IF(AND('Ecotox data'!M116&gt;='Model info'!$E$12,'Ecotox data'!M116&lt;='Model info'!$E$13),1,0)</f>
        <v>1</v>
      </c>
      <c r="P126" s="165">
        <f>IF(COUNTIF('Model info'!$H$14,'Ecotox data'!B116)=1,7,IF(COUNTIF('Model info'!$J$14,'Ecotox data'!C116)=1,6,IF(COUNTIF('Model info'!$K$14,'Ecotox data'!D116)=1,5,IF(COUNTIF('Model info'!$L$14,'Ecotox data'!E116)=1,4,IF(COUNTIF('Model info'!$M$14,'Ecotox data'!F116)=1,3,IF(COUNTIF('Model info'!$N$14,'Ecotox data'!G116)=1,2,IF(COUNTIF('Model info'!$O$14,'Ecotox data'!H116)=1,1,0)))))))</f>
        <v>0</v>
      </c>
      <c r="Q126" s="176">
        <f t="shared" si="11"/>
        <v>1</v>
      </c>
      <c r="R126" s="35"/>
      <c r="S126" s="27">
        <f>IF(AND('Ecotox data'!P116&gt;='Model info'!$C$16,'Ecotox data'!P116&lt;='Model info'!$C$17,'Ecotox data'!U116&gt;='Model info'!$D$16,'Ecotox data'!U116&lt;='Model info'!$D$17,'Ecotox data'!M116&gt;='Model info'!$E$16,'Ecotox data'!M116&lt;='Model info'!$E$17),1,0)</f>
        <v>1</v>
      </c>
      <c r="T126" s="165">
        <f>IF(COUNTIF('Model info'!$H$16,'Ecotox data'!B116)=1,7,IF(COUNTIF('Model info'!$J$16,'Ecotox data'!C116)=1,6,IF(COUNTIF('Model info'!$K$16,'Ecotox data'!D116)=1,5,IF(COUNTIF('Model info'!$L$16,'Ecotox data'!E116)=1,4,IF(COUNTIF('Model info'!$M$16,'Ecotox data'!F116)=1,3,IF(COUNTIF('Model info'!$N$16,'Ecotox data'!G116)=1,2,IF(COUNTIF('Model info'!$O$16,'Ecotox data'!H116)=1,1,0)))))))</f>
        <v>0</v>
      </c>
      <c r="U126" s="176">
        <f t="shared" si="12"/>
        <v>1</v>
      </c>
      <c r="V126" s="35"/>
      <c r="W126" s="27">
        <f>IF(AND('Ecotox data'!P116&gt;='Model info'!$C$20,'Ecotox data'!P116&lt;='Model info'!$C$21,'Ecotox data'!U116&gt;='Model info'!$D$20,'Ecotox data'!U116&lt;='Model info'!$D$21,'Ecotox data'!M116&gt;='Model info'!$E$20,'Ecotox data'!M116&lt;='Model info'!$E$21),1,0)</f>
        <v>1</v>
      </c>
      <c r="X126" s="171">
        <f>IF(COUNTIF('Model info'!$H$18:$H$24,'Ecotox data'!B116)=1,7,IF(COUNTIF('Model info'!$J$18:$J$24,'Ecotox data'!C116)=1,6,IF(COUNTIF('Model info'!$K$18:$K$24,'Ecotox data'!D116)=1,5,IF(COUNTIF('Model info'!$L$2:$L$24,'Ecotox data'!E116)=1,4,IF(COUNTIF('Model info'!$M$18:$M$24,'Ecotox data'!F116)=1,3,IF(COUNTIF('Model info'!$N$18:$N$24,'Ecotox data'!G116)=1,2,IF(COUNTIF('Model info'!$O$18:$O$24,'Ecotox data'!H116)=1,1,0)))))))</f>
        <v>7</v>
      </c>
      <c r="Y126" s="177">
        <f t="shared" si="13"/>
        <v>8</v>
      </c>
    </row>
    <row r="127" spans="5:25">
      <c r="E127" s="29">
        <v>109</v>
      </c>
      <c r="F127" s="262" t="s">
        <v>54</v>
      </c>
      <c r="G127" s="27">
        <f>IF(AND('Ecotox data'!P117&gt;='Model info'!$C$4,'Ecotox data'!P117&lt;='Model info'!$C$5),1,0)</f>
        <v>1</v>
      </c>
      <c r="H127" s="163">
        <f>IF(COUNTIF('Model info'!$H$4:$H$10,'Ecotox data'!B117)=1,7,IF(COUNTIF('Model info'!$J$4:$J$10,'Ecotox data'!C117)=1,6,IF(COUNTIF('Model info'!$K$4:$K$10,'Ecotox data'!D117)=1,5,IF(COUNTIF('Model info'!$L$4:$L$10,'Ecotox data'!E117)=1,4,IF(COUNTIF('Model info'!$M$4:$M$10,'Ecotox data'!F117)=1,3,IF(COUNTIF('Model info'!$N$4:$N$10,'Ecotox data'!G117)=1,2,IF(COUNTIF('Model info'!$O$4:$O$10,'Ecotox data'!H117)=1,1,0)))))))</f>
        <v>0</v>
      </c>
      <c r="I127" s="176">
        <f t="shared" si="9"/>
        <v>1</v>
      </c>
      <c r="J127" s="35"/>
      <c r="K127" s="27">
        <f>IF(AND('Ecotox data'!U117&gt;='Model info'!$D$8,'Ecotox data'!U117&lt;='Model info'!$D$9),1,0)</f>
        <v>1</v>
      </c>
      <c r="L127" s="171">
        <f>IF(COUNTIF('Model info'!$H$12,'Ecotox data'!B117)=1,7,IF(COUNTIF('Model info'!$J$12,'Ecotox data'!C117)=1,6,IF(COUNTIF('Model info'!$K$12,'Ecotox data'!D117)=1,5,IF(COUNTIF('Model info'!$L$12,'Ecotox data'!E117)=1,4,IF(COUNTIF('Model info'!$M$12,'Ecotox data'!F117)=1,3,IF(COUNTIF('Model info'!$N$12,'Ecotox data'!G117)=1,2,IF(COUNTIF('Model info'!$O$12,'Ecotox data'!H117)=1,1,0)))))))</f>
        <v>7</v>
      </c>
      <c r="M127" s="177">
        <f t="shared" si="10"/>
        <v>8</v>
      </c>
      <c r="N127" s="35"/>
      <c r="O127" s="27">
        <f>IF(AND('Ecotox data'!M117&gt;='Model info'!$E$12,'Ecotox data'!M117&lt;='Model info'!$E$13),1,0)</f>
        <v>1</v>
      </c>
      <c r="P127" s="165">
        <f>IF(COUNTIF('Model info'!$H$14,'Ecotox data'!B117)=1,7,IF(COUNTIF('Model info'!$J$14,'Ecotox data'!C117)=1,6,IF(COUNTIF('Model info'!$K$14,'Ecotox data'!D117)=1,5,IF(COUNTIF('Model info'!$L$14,'Ecotox data'!E117)=1,4,IF(COUNTIF('Model info'!$M$14,'Ecotox data'!F117)=1,3,IF(COUNTIF('Model info'!$N$14,'Ecotox data'!G117)=1,2,IF(COUNTIF('Model info'!$O$14,'Ecotox data'!H117)=1,1,0)))))))</f>
        <v>0</v>
      </c>
      <c r="Q127" s="176">
        <f t="shared" si="11"/>
        <v>1</v>
      </c>
      <c r="R127" s="35"/>
      <c r="S127" s="27">
        <f>IF(AND('Ecotox data'!P117&gt;='Model info'!$C$16,'Ecotox data'!P117&lt;='Model info'!$C$17,'Ecotox data'!U117&gt;='Model info'!$D$16,'Ecotox data'!U117&lt;='Model info'!$D$17,'Ecotox data'!M117&gt;='Model info'!$E$16,'Ecotox data'!M117&lt;='Model info'!$E$17),1,0)</f>
        <v>1</v>
      </c>
      <c r="T127" s="165">
        <f>IF(COUNTIF('Model info'!$H$16,'Ecotox data'!B117)=1,7,IF(COUNTIF('Model info'!$J$16,'Ecotox data'!C117)=1,6,IF(COUNTIF('Model info'!$K$16,'Ecotox data'!D117)=1,5,IF(COUNTIF('Model info'!$L$16,'Ecotox data'!E117)=1,4,IF(COUNTIF('Model info'!$M$16,'Ecotox data'!F117)=1,3,IF(COUNTIF('Model info'!$N$16,'Ecotox data'!G117)=1,2,IF(COUNTIF('Model info'!$O$16,'Ecotox data'!H117)=1,1,0)))))))</f>
        <v>0</v>
      </c>
      <c r="U127" s="176">
        <f t="shared" si="12"/>
        <v>1</v>
      </c>
      <c r="V127" s="35"/>
      <c r="W127" s="27">
        <f>IF(AND('Ecotox data'!P117&gt;='Model info'!$C$20,'Ecotox data'!P117&lt;='Model info'!$C$21,'Ecotox data'!U117&gt;='Model info'!$D$20,'Ecotox data'!U117&lt;='Model info'!$D$21,'Ecotox data'!M117&gt;='Model info'!$E$20,'Ecotox data'!M117&lt;='Model info'!$E$21),1,0)</f>
        <v>1</v>
      </c>
      <c r="X127" s="171">
        <f>IF(COUNTIF('Model info'!$H$18:$H$24,'Ecotox data'!B117)=1,7,IF(COUNTIF('Model info'!$J$18:$J$24,'Ecotox data'!C117)=1,6,IF(COUNTIF('Model info'!$K$18:$K$24,'Ecotox data'!D117)=1,5,IF(COUNTIF('Model info'!$L$2:$L$24,'Ecotox data'!E117)=1,4,IF(COUNTIF('Model info'!$M$18:$M$24,'Ecotox data'!F117)=1,3,IF(COUNTIF('Model info'!$N$18:$N$24,'Ecotox data'!G117)=1,2,IF(COUNTIF('Model info'!$O$18:$O$24,'Ecotox data'!H117)=1,1,0)))))))</f>
        <v>7</v>
      </c>
      <c r="Y127" s="177">
        <f t="shared" si="13"/>
        <v>8</v>
      </c>
    </row>
    <row r="128" spans="5:25">
      <c r="E128" s="29">
        <v>110</v>
      </c>
      <c r="F128" s="262" t="s">
        <v>54</v>
      </c>
      <c r="G128" s="27">
        <f>IF(AND('Ecotox data'!P118&gt;='Model info'!$C$4,'Ecotox data'!P118&lt;='Model info'!$C$5),1,0)</f>
        <v>1</v>
      </c>
      <c r="H128" s="163">
        <f>IF(COUNTIF('Model info'!$H$4:$H$10,'Ecotox data'!B118)=1,7,IF(COUNTIF('Model info'!$J$4:$J$10,'Ecotox data'!C118)=1,6,IF(COUNTIF('Model info'!$K$4:$K$10,'Ecotox data'!D118)=1,5,IF(COUNTIF('Model info'!$L$4:$L$10,'Ecotox data'!E118)=1,4,IF(COUNTIF('Model info'!$M$4:$M$10,'Ecotox data'!F118)=1,3,IF(COUNTIF('Model info'!$N$4:$N$10,'Ecotox data'!G118)=1,2,IF(COUNTIF('Model info'!$O$4:$O$10,'Ecotox data'!H118)=1,1,0)))))))</f>
        <v>0</v>
      </c>
      <c r="I128" s="176">
        <f t="shared" si="9"/>
        <v>1</v>
      </c>
      <c r="J128" s="35"/>
      <c r="K128" s="27">
        <f>IF(AND('Ecotox data'!U118&gt;='Model info'!$D$8,'Ecotox data'!U118&lt;='Model info'!$D$9),1,0)</f>
        <v>1</v>
      </c>
      <c r="L128" s="171">
        <f>IF(COUNTIF('Model info'!$H$12,'Ecotox data'!B118)=1,7,IF(COUNTIF('Model info'!$J$12,'Ecotox data'!C118)=1,6,IF(COUNTIF('Model info'!$K$12,'Ecotox data'!D118)=1,5,IF(COUNTIF('Model info'!$L$12,'Ecotox data'!E118)=1,4,IF(COUNTIF('Model info'!$M$12,'Ecotox data'!F118)=1,3,IF(COUNTIF('Model info'!$N$12,'Ecotox data'!G118)=1,2,IF(COUNTIF('Model info'!$O$12,'Ecotox data'!H118)=1,1,0)))))))</f>
        <v>7</v>
      </c>
      <c r="M128" s="177">
        <f t="shared" si="10"/>
        <v>8</v>
      </c>
      <c r="N128" s="35"/>
      <c r="O128" s="27">
        <f>IF(AND('Ecotox data'!M118&gt;='Model info'!$E$12,'Ecotox data'!M118&lt;='Model info'!$E$13),1,0)</f>
        <v>1</v>
      </c>
      <c r="P128" s="165">
        <f>IF(COUNTIF('Model info'!$H$14,'Ecotox data'!B118)=1,7,IF(COUNTIF('Model info'!$J$14,'Ecotox data'!C118)=1,6,IF(COUNTIF('Model info'!$K$14,'Ecotox data'!D118)=1,5,IF(COUNTIF('Model info'!$L$14,'Ecotox data'!E118)=1,4,IF(COUNTIF('Model info'!$M$14,'Ecotox data'!F118)=1,3,IF(COUNTIF('Model info'!$N$14,'Ecotox data'!G118)=1,2,IF(COUNTIF('Model info'!$O$14,'Ecotox data'!H118)=1,1,0)))))))</f>
        <v>0</v>
      </c>
      <c r="Q128" s="176">
        <f t="shared" si="11"/>
        <v>1</v>
      </c>
      <c r="R128" s="35"/>
      <c r="S128" s="27">
        <f>IF(AND('Ecotox data'!P118&gt;='Model info'!$C$16,'Ecotox data'!P118&lt;='Model info'!$C$17,'Ecotox data'!U118&gt;='Model info'!$D$16,'Ecotox data'!U118&lt;='Model info'!$D$17,'Ecotox data'!M118&gt;='Model info'!$E$16,'Ecotox data'!M118&lt;='Model info'!$E$17),1,0)</f>
        <v>1</v>
      </c>
      <c r="T128" s="165">
        <f>IF(COUNTIF('Model info'!$H$16,'Ecotox data'!B118)=1,7,IF(COUNTIF('Model info'!$J$16,'Ecotox data'!C118)=1,6,IF(COUNTIF('Model info'!$K$16,'Ecotox data'!D118)=1,5,IF(COUNTIF('Model info'!$L$16,'Ecotox data'!E118)=1,4,IF(COUNTIF('Model info'!$M$16,'Ecotox data'!F118)=1,3,IF(COUNTIF('Model info'!$N$16,'Ecotox data'!G118)=1,2,IF(COUNTIF('Model info'!$O$16,'Ecotox data'!H118)=1,1,0)))))))</f>
        <v>0</v>
      </c>
      <c r="U128" s="176">
        <f t="shared" si="12"/>
        <v>1</v>
      </c>
      <c r="V128" s="35"/>
      <c r="W128" s="27">
        <f>IF(AND('Ecotox data'!P118&gt;='Model info'!$C$20,'Ecotox data'!P118&lt;='Model info'!$C$21,'Ecotox data'!U118&gt;='Model info'!$D$20,'Ecotox data'!U118&lt;='Model info'!$D$21,'Ecotox data'!M118&gt;='Model info'!$E$20,'Ecotox data'!M118&lt;='Model info'!$E$21),1,0)</f>
        <v>1</v>
      </c>
      <c r="X128" s="171">
        <f>IF(COUNTIF('Model info'!$H$18:$H$24,'Ecotox data'!B118)=1,7,IF(COUNTIF('Model info'!$J$18:$J$24,'Ecotox data'!C118)=1,6,IF(COUNTIF('Model info'!$K$18:$K$24,'Ecotox data'!D118)=1,5,IF(COUNTIF('Model info'!$L$2:$L$24,'Ecotox data'!E118)=1,4,IF(COUNTIF('Model info'!$M$18:$M$24,'Ecotox data'!F118)=1,3,IF(COUNTIF('Model info'!$N$18:$N$24,'Ecotox data'!G118)=1,2,IF(COUNTIF('Model info'!$O$18:$O$24,'Ecotox data'!H118)=1,1,0)))))))</f>
        <v>7</v>
      </c>
      <c r="Y128" s="177">
        <f t="shared" si="13"/>
        <v>8</v>
      </c>
    </row>
    <row r="129" spans="5:25">
      <c r="E129" s="29">
        <v>111</v>
      </c>
      <c r="F129" s="262" t="s">
        <v>54</v>
      </c>
      <c r="G129" s="27">
        <f>IF(AND('Ecotox data'!P119&gt;='Model info'!$C$4,'Ecotox data'!P119&lt;='Model info'!$C$5),1,0)</f>
        <v>1</v>
      </c>
      <c r="H129" s="163">
        <f>IF(COUNTIF('Model info'!$H$4:$H$10,'Ecotox data'!B119)=1,7,IF(COUNTIF('Model info'!$J$4:$J$10,'Ecotox data'!C119)=1,6,IF(COUNTIF('Model info'!$K$4:$K$10,'Ecotox data'!D119)=1,5,IF(COUNTIF('Model info'!$L$4:$L$10,'Ecotox data'!E119)=1,4,IF(COUNTIF('Model info'!$M$4:$M$10,'Ecotox data'!F119)=1,3,IF(COUNTIF('Model info'!$N$4:$N$10,'Ecotox data'!G119)=1,2,IF(COUNTIF('Model info'!$O$4:$O$10,'Ecotox data'!H119)=1,1,0)))))))</f>
        <v>0</v>
      </c>
      <c r="I129" s="176">
        <f t="shared" si="9"/>
        <v>1</v>
      </c>
      <c r="J129" s="35"/>
      <c r="K129" s="27">
        <f>IF(AND('Ecotox data'!U119&gt;='Model info'!$D$8,'Ecotox data'!U119&lt;='Model info'!$D$9),1,0)</f>
        <v>1</v>
      </c>
      <c r="L129" s="171">
        <f>IF(COUNTIF('Model info'!$H$12,'Ecotox data'!B119)=1,7,IF(COUNTIF('Model info'!$J$12,'Ecotox data'!C119)=1,6,IF(COUNTIF('Model info'!$K$12,'Ecotox data'!D119)=1,5,IF(COUNTIF('Model info'!$L$12,'Ecotox data'!E119)=1,4,IF(COUNTIF('Model info'!$M$12,'Ecotox data'!F119)=1,3,IF(COUNTIF('Model info'!$N$12,'Ecotox data'!G119)=1,2,IF(COUNTIF('Model info'!$O$12,'Ecotox data'!H119)=1,1,0)))))))</f>
        <v>7</v>
      </c>
      <c r="M129" s="177">
        <f t="shared" si="10"/>
        <v>8</v>
      </c>
      <c r="N129" s="35"/>
      <c r="O129" s="27">
        <f>IF(AND('Ecotox data'!M119&gt;='Model info'!$E$12,'Ecotox data'!M119&lt;='Model info'!$E$13),1,0)</f>
        <v>1</v>
      </c>
      <c r="P129" s="165">
        <f>IF(COUNTIF('Model info'!$H$14,'Ecotox data'!B119)=1,7,IF(COUNTIF('Model info'!$J$14,'Ecotox data'!C119)=1,6,IF(COUNTIF('Model info'!$K$14,'Ecotox data'!D119)=1,5,IF(COUNTIF('Model info'!$L$14,'Ecotox data'!E119)=1,4,IF(COUNTIF('Model info'!$M$14,'Ecotox data'!F119)=1,3,IF(COUNTIF('Model info'!$N$14,'Ecotox data'!G119)=1,2,IF(COUNTIF('Model info'!$O$14,'Ecotox data'!H119)=1,1,0)))))))</f>
        <v>0</v>
      </c>
      <c r="Q129" s="176">
        <f t="shared" si="11"/>
        <v>1</v>
      </c>
      <c r="R129" s="35"/>
      <c r="S129" s="27">
        <f>IF(AND('Ecotox data'!P119&gt;='Model info'!$C$16,'Ecotox data'!P119&lt;='Model info'!$C$17,'Ecotox data'!U119&gt;='Model info'!$D$16,'Ecotox data'!U119&lt;='Model info'!$D$17,'Ecotox data'!M119&gt;='Model info'!$E$16,'Ecotox data'!M119&lt;='Model info'!$E$17),1,0)</f>
        <v>1</v>
      </c>
      <c r="T129" s="165">
        <f>IF(COUNTIF('Model info'!$H$16,'Ecotox data'!B119)=1,7,IF(COUNTIF('Model info'!$J$16,'Ecotox data'!C119)=1,6,IF(COUNTIF('Model info'!$K$16,'Ecotox data'!D119)=1,5,IF(COUNTIF('Model info'!$L$16,'Ecotox data'!E119)=1,4,IF(COUNTIF('Model info'!$M$16,'Ecotox data'!F119)=1,3,IF(COUNTIF('Model info'!$N$16,'Ecotox data'!G119)=1,2,IF(COUNTIF('Model info'!$O$16,'Ecotox data'!H119)=1,1,0)))))))</f>
        <v>0</v>
      </c>
      <c r="U129" s="176">
        <f t="shared" si="12"/>
        <v>1</v>
      </c>
      <c r="V129" s="35"/>
      <c r="W129" s="27">
        <f>IF(AND('Ecotox data'!P119&gt;='Model info'!$C$20,'Ecotox data'!P119&lt;='Model info'!$C$21,'Ecotox data'!U119&gt;='Model info'!$D$20,'Ecotox data'!U119&lt;='Model info'!$D$21,'Ecotox data'!M119&gt;='Model info'!$E$20,'Ecotox data'!M119&lt;='Model info'!$E$21),1,0)</f>
        <v>1</v>
      </c>
      <c r="X129" s="171">
        <f>IF(COUNTIF('Model info'!$H$18:$H$24,'Ecotox data'!B119)=1,7,IF(COUNTIF('Model info'!$J$18:$J$24,'Ecotox data'!C119)=1,6,IF(COUNTIF('Model info'!$K$18:$K$24,'Ecotox data'!D119)=1,5,IF(COUNTIF('Model info'!$L$2:$L$24,'Ecotox data'!E119)=1,4,IF(COUNTIF('Model info'!$M$18:$M$24,'Ecotox data'!F119)=1,3,IF(COUNTIF('Model info'!$N$18:$N$24,'Ecotox data'!G119)=1,2,IF(COUNTIF('Model info'!$O$18:$O$24,'Ecotox data'!H119)=1,1,0)))))))</f>
        <v>7</v>
      </c>
      <c r="Y129" s="177">
        <f t="shared" si="13"/>
        <v>8</v>
      </c>
    </row>
    <row r="130" spans="5:25">
      <c r="E130" s="29">
        <v>112</v>
      </c>
      <c r="F130" s="262" t="s">
        <v>54</v>
      </c>
      <c r="G130" s="27">
        <f>IF(AND('Ecotox data'!P120&gt;='Model info'!$C$4,'Ecotox data'!P120&lt;='Model info'!$C$5),1,0)</f>
        <v>1</v>
      </c>
      <c r="H130" s="163">
        <f>IF(COUNTIF('Model info'!$H$4:$H$10,'Ecotox data'!B120)=1,7,IF(COUNTIF('Model info'!$J$4:$J$10,'Ecotox data'!C120)=1,6,IF(COUNTIF('Model info'!$K$4:$K$10,'Ecotox data'!D120)=1,5,IF(COUNTIF('Model info'!$L$4:$L$10,'Ecotox data'!E120)=1,4,IF(COUNTIF('Model info'!$M$4:$M$10,'Ecotox data'!F120)=1,3,IF(COUNTIF('Model info'!$N$4:$N$10,'Ecotox data'!G120)=1,2,IF(COUNTIF('Model info'!$O$4:$O$10,'Ecotox data'!H120)=1,1,0)))))))</f>
        <v>0</v>
      </c>
      <c r="I130" s="176">
        <f t="shared" si="9"/>
        <v>1</v>
      </c>
      <c r="J130" s="35"/>
      <c r="K130" s="27">
        <f>IF(AND('Ecotox data'!U120&gt;='Model info'!$D$8,'Ecotox data'!U120&lt;='Model info'!$D$9),1,0)</f>
        <v>1</v>
      </c>
      <c r="L130" s="171">
        <f>IF(COUNTIF('Model info'!$H$12,'Ecotox data'!B120)=1,7,IF(COUNTIF('Model info'!$J$12,'Ecotox data'!C120)=1,6,IF(COUNTIF('Model info'!$K$12,'Ecotox data'!D120)=1,5,IF(COUNTIF('Model info'!$L$12,'Ecotox data'!E120)=1,4,IF(COUNTIF('Model info'!$M$12,'Ecotox data'!F120)=1,3,IF(COUNTIF('Model info'!$N$12,'Ecotox data'!G120)=1,2,IF(COUNTIF('Model info'!$O$12,'Ecotox data'!H120)=1,1,0)))))))</f>
        <v>7</v>
      </c>
      <c r="M130" s="177">
        <f t="shared" si="10"/>
        <v>8</v>
      </c>
      <c r="N130" s="35"/>
      <c r="O130" s="27">
        <f>IF(AND('Ecotox data'!M120&gt;='Model info'!$E$12,'Ecotox data'!M120&lt;='Model info'!$E$13),1,0)</f>
        <v>1</v>
      </c>
      <c r="P130" s="165">
        <f>IF(COUNTIF('Model info'!$H$14,'Ecotox data'!B120)=1,7,IF(COUNTIF('Model info'!$J$14,'Ecotox data'!C120)=1,6,IF(COUNTIF('Model info'!$K$14,'Ecotox data'!D120)=1,5,IF(COUNTIF('Model info'!$L$14,'Ecotox data'!E120)=1,4,IF(COUNTIF('Model info'!$M$14,'Ecotox data'!F120)=1,3,IF(COUNTIF('Model info'!$N$14,'Ecotox data'!G120)=1,2,IF(COUNTIF('Model info'!$O$14,'Ecotox data'!H120)=1,1,0)))))))</f>
        <v>0</v>
      </c>
      <c r="Q130" s="176">
        <f t="shared" si="11"/>
        <v>1</v>
      </c>
      <c r="R130" s="35"/>
      <c r="S130" s="27">
        <f>IF(AND('Ecotox data'!P120&gt;='Model info'!$C$16,'Ecotox data'!P120&lt;='Model info'!$C$17,'Ecotox data'!U120&gt;='Model info'!$D$16,'Ecotox data'!U120&lt;='Model info'!$D$17,'Ecotox data'!M120&gt;='Model info'!$E$16,'Ecotox data'!M120&lt;='Model info'!$E$17),1,0)</f>
        <v>1</v>
      </c>
      <c r="T130" s="165">
        <f>IF(COUNTIF('Model info'!$H$16,'Ecotox data'!B120)=1,7,IF(COUNTIF('Model info'!$J$16,'Ecotox data'!C120)=1,6,IF(COUNTIF('Model info'!$K$16,'Ecotox data'!D120)=1,5,IF(COUNTIF('Model info'!$L$16,'Ecotox data'!E120)=1,4,IF(COUNTIF('Model info'!$M$16,'Ecotox data'!F120)=1,3,IF(COUNTIF('Model info'!$N$16,'Ecotox data'!G120)=1,2,IF(COUNTIF('Model info'!$O$16,'Ecotox data'!H120)=1,1,0)))))))</f>
        <v>0</v>
      </c>
      <c r="U130" s="176">
        <f t="shared" si="12"/>
        <v>1</v>
      </c>
      <c r="V130" s="35"/>
      <c r="W130" s="27">
        <f>IF(AND('Ecotox data'!P120&gt;='Model info'!$C$20,'Ecotox data'!P120&lt;='Model info'!$C$21,'Ecotox data'!U120&gt;='Model info'!$D$20,'Ecotox data'!U120&lt;='Model info'!$D$21,'Ecotox data'!M120&gt;='Model info'!$E$20,'Ecotox data'!M120&lt;='Model info'!$E$21),1,0)</f>
        <v>1</v>
      </c>
      <c r="X130" s="171">
        <f>IF(COUNTIF('Model info'!$H$18:$H$24,'Ecotox data'!B120)=1,7,IF(COUNTIF('Model info'!$J$18:$J$24,'Ecotox data'!C120)=1,6,IF(COUNTIF('Model info'!$K$18:$K$24,'Ecotox data'!D120)=1,5,IF(COUNTIF('Model info'!$L$2:$L$24,'Ecotox data'!E120)=1,4,IF(COUNTIF('Model info'!$M$18:$M$24,'Ecotox data'!F120)=1,3,IF(COUNTIF('Model info'!$N$18:$N$24,'Ecotox data'!G120)=1,2,IF(COUNTIF('Model info'!$O$18:$O$24,'Ecotox data'!H120)=1,1,0)))))))</f>
        <v>7</v>
      </c>
      <c r="Y130" s="177">
        <f t="shared" si="13"/>
        <v>8</v>
      </c>
    </row>
    <row r="131" spans="5:25">
      <c r="E131" s="29">
        <v>113</v>
      </c>
      <c r="F131" s="262" t="s">
        <v>54</v>
      </c>
      <c r="G131" s="27">
        <f>IF(AND('Ecotox data'!P121&gt;='Model info'!$C$4,'Ecotox data'!P121&lt;='Model info'!$C$5),1,0)</f>
        <v>1</v>
      </c>
      <c r="H131" s="163">
        <f>IF(COUNTIF('Model info'!$H$4:$H$10,'Ecotox data'!B121)=1,7,IF(COUNTIF('Model info'!$J$4:$J$10,'Ecotox data'!C121)=1,6,IF(COUNTIF('Model info'!$K$4:$K$10,'Ecotox data'!D121)=1,5,IF(COUNTIF('Model info'!$L$4:$L$10,'Ecotox data'!E121)=1,4,IF(COUNTIF('Model info'!$M$4:$M$10,'Ecotox data'!F121)=1,3,IF(COUNTIF('Model info'!$N$4:$N$10,'Ecotox data'!G121)=1,2,IF(COUNTIF('Model info'!$O$4:$O$10,'Ecotox data'!H121)=1,1,0)))))))</f>
        <v>0</v>
      </c>
      <c r="I131" s="176">
        <f t="shared" si="9"/>
        <v>1</v>
      </c>
      <c r="J131" s="35"/>
      <c r="K131" s="27">
        <f>IF(AND('Ecotox data'!U121&gt;='Model info'!$D$8,'Ecotox data'!U121&lt;='Model info'!$D$9),1,0)</f>
        <v>1</v>
      </c>
      <c r="L131" s="171">
        <f>IF(COUNTIF('Model info'!$H$12,'Ecotox data'!B121)=1,7,IF(COUNTIF('Model info'!$J$12,'Ecotox data'!C121)=1,6,IF(COUNTIF('Model info'!$K$12,'Ecotox data'!D121)=1,5,IF(COUNTIF('Model info'!$L$12,'Ecotox data'!E121)=1,4,IF(COUNTIF('Model info'!$M$12,'Ecotox data'!F121)=1,3,IF(COUNTIF('Model info'!$N$12,'Ecotox data'!G121)=1,2,IF(COUNTIF('Model info'!$O$12,'Ecotox data'!H121)=1,1,0)))))))</f>
        <v>7</v>
      </c>
      <c r="M131" s="177">
        <f t="shared" si="10"/>
        <v>8</v>
      </c>
      <c r="N131" s="35"/>
      <c r="O131" s="27">
        <f>IF(AND('Ecotox data'!M121&gt;='Model info'!$E$12,'Ecotox data'!M121&lt;='Model info'!$E$13),1,0)</f>
        <v>1</v>
      </c>
      <c r="P131" s="165">
        <f>IF(COUNTIF('Model info'!$H$14,'Ecotox data'!B121)=1,7,IF(COUNTIF('Model info'!$J$14,'Ecotox data'!C121)=1,6,IF(COUNTIF('Model info'!$K$14,'Ecotox data'!D121)=1,5,IF(COUNTIF('Model info'!$L$14,'Ecotox data'!E121)=1,4,IF(COUNTIF('Model info'!$M$14,'Ecotox data'!F121)=1,3,IF(COUNTIF('Model info'!$N$14,'Ecotox data'!G121)=1,2,IF(COUNTIF('Model info'!$O$14,'Ecotox data'!H121)=1,1,0)))))))</f>
        <v>0</v>
      </c>
      <c r="Q131" s="176">
        <f t="shared" si="11"/>
        <v>1</v>
      </c>
      <c r="R131" s="35"/>
      <c r="S131" s="27">
        <f>IF(AND('Ecotox data'!P121&gt;='Model info'!$C$16,'Ecotox data'!P121&lt;='Model info'!$C$17,'Ecotox data'!U121&gt;='Model info'!$D$16,'Ecotox data'!U121&lt;='Model info'!$D$17,'Ecotox data'!M121&gt;='Model info'!$E$16,'Ecotox data'!M121&lt;='Model info'!$E$17),1,0)</f>
        <v>1</v>
      </c>
      <c r="T131" s="165">
        <f>IF(COUNTIF('Model info'!$H$16,'Ecotox data'!B121)=1,7,IF(COUNTIF('Model info'!$J$16,'Ecotox data'!C121)=1,6,IF(COUNTIF('Model info'!$K$16,'Ecotox data'!D121)=1,5,IF(COUNTIF('Model info'!$L$16,'Ecotox data'!E121)=1,4,IF(COUNTIF('Model info'!$M$16,'Ecotox data'!F121)=1,3,IF(COUNTIF('Model info'!$N$16,'Ecotox data'!G121)=1,2,IF(COUNTIF('Model info'!$O$16,'Ecotox data'!H121)=1,1,0)))))))</f>
        <v>0</v>
      </c>
      <c r="U131" s="176">
        <f t="shared" si="12"/>
        <v>1</v>
      </c>
      <c r="V131" s="35"/>
      <c r="W131" s="27">
        <f>IF(AND('Ecotox data'!P121&gt;='Model info'!$C$20,'Ecotox data'!P121&lt;='Model info'!$C$21,'Ecotox data'!U121&gt;='Model info'!$D$20,'Ecotox data'!U121&lt;='Model info'!$D$21,'Ecotox data'!M121&gt;='Model info'!$E$20,'Ecotox data'!M121&lt;='Model info'!$E$21),1,0)</f>
        <v>1</v>
      </c>
      <c r="X131" s="171">
        <f>IF(COUNTIF('Model info'!$H$18:$H$24,'Ecotox data'!B121)=1,7,IF(COUNTIF('Model info'!$J$18:$J$24,'Ecotox data'!C121)=1,6,IF(COUNTIF('Model info'!$K$18:$K$24,'Ecotox data'!D121)=1,5,IF(COUNTIF('Model info'!$L$2:$L$24,'Ecotox data'!E121)=1,4,IF(COUNTIF('Model info'!$M$18:$M$24,'Ecotox data'!F121)=1,3,IF(COUNTIF('Model info'!$N$18:$N$24,'Ecotox data'!G121)=1,2,IF(COUNTIF('Model info'!$O$18:$O$24,'Ecotox data'!H121)=1,1,0)))))))</f>
        <v>7</v>
      </c>
      <c r="Y131" s="177">
        <f t="shared" si="13"/>
        <v>8</v>
      </c>
    </row>
    <row r="132" spans="5:25">
      <c r="E132" s="29">
        <v>114</v>
      </c>
      <c r="F132" s="262" t="s">
        <v>54</v>
      </c>
      <c r="G132" s="27">
        <f>IF(AND('Ecotox data'!P122&gt;='Model info'!$C$4,'Ecotox data'!P122&lt;='Model info'!$C$5),1,0)</f>
        <v>1</v>
      </c>
      <c r="H132" s="163">
        <f>IF(COUNTIF('Model info'!$H$4:$H$10,'Ecotox data'!B122)=1,7,IF(COUNTIF('Model info'!$J$4:$J$10,'Ecotox data'!C122)=1,6,IF(COUNTIF('Model info'!$K$4:$K$10,'Ecotox data'!D122)=1,5,IF(COUNTIF('Model info'!$L$4:$L$10,'Ecotox data'!E122)=1,4,IF(COUNTIF('Model info'!$M$4:$M$10,'Ecotox data'!F122)=1,3,IF(COUNTIF('Model info'!$N$4:$N$10,'Ecotox data'!G122)=1,2,IF(COUNTIF('Model info'!$O$4:$O$10,'Ecotox data'!H122)=1,1,0)))))))</f>
        <v>0</v>
      </c>
      <c r="I132" s="176">
        <f t="shared" si="9"/>
        <v>1</v>
      </c>
      <c r="J132" s="35"/>
      <c r="K132" s="27">
        <f>IF(AND('Ecotox data'!U122&gt;='Model info'!$D$8,'Ecotox data'!U122&lt;='Model info'!$D$9),1,0)</f>
        <v>1</v>
      </c>
      <c r="L132" s="171">
        <f>IF(COUNTIF('Model info'!$H$12,'Ecotox data'!B122)=1,7,IF(COUNTIF('Model info'!$J$12,'Ecotox data'!C122)=1,6,IF(COUNTIF('Model info'!$K$12,'Ecotox data'!D122)=1,5,IF(COUNTIF('Model info'!$L$12,'Ecotox data'!E122)=1,4,IF(COUNTIF('Model info'!$M$12,'Ecotox data'!F122)=1,3,IF(COUNTIF('Model info'!$N$12,'Ecotox data'!G122)=1,2,IF(COUNTIF('Model info'!$O$12,'Ecotox data'!H122)=1,1,0)))))))</f>
        <v>7</v>
      </c>
      <c r="M132" s="177">
        <f t="shared" si="10"/>
        <v>8</v>
      </c>
      <c r="N132" s="35"/>
      <c r="O132" s="27">
        <f>IF(AND('Ecotox data'!M122&gt;='Model info'!$E$12,'Ecotox data'!M122&lt;='Model info'!$E$13),1,0)</f>
        <v>1</v>
      </c>
      <c r="P132" s="165">
        <f>IF(COUNTIF('Model info'!$H$14,'Ecotox data'!B122)=1,7,IF(COUNTIF('Model info'!$J$14,'Ecotox data'!C122)=1,6,IF(COUNTIF('Model info'!$K$14,'Ecotox data'!D122)=1,5,IF(COUNTIF('Model info'!$L$14,'Ecotox data'!E122)=1,4,IF(COUNTIF('Model info'!$M$14,'Ecotox data'!F122)=1,3,IF(COUNTIF('Model info'!$N$14,'Ecotox data'!G122)=1,2,IF(COUNTIF('Model info'!$O$14,'Ecotox data'!H122)=1,1,0)))))))</f>
        <v>0</v>
      </c>
      <c r="Q132" s="176">
        <f t="shared" si="11"/>
        <v>1</v>
      </c>
      <c r="R132" s="35"/>
      <c r="S132" s="27">
        <f>IF(AND('Ecotox data'!P122&gt;='Model info'!$C$16,'Ecotox data'!P122&lt;='Model info'!$C$17,'Ecotox data'!U122&gt;='Model info'!$D$16,'Ecotox data'!U122&lt;='Model info'!$D$17,'Ecotox data'!M122&gt;='Model info'!$E$16,'Ecotox data'!M122&lt;='Model info'!$E$17),1,0)</f>
        <v>1</v>
      </c>
      <c r="T132" s="165">
        <f>IF(COUNTIF('Model info'!$H$16,'Ecotox data'!B122)=1,7,IF(COUNTIF('Model info'!$J$16,'Ecotox data'!C122)=1,6,IF(COUNTIF('Model info'!$K$16,'Ecotox data'!D122)=1,5,IF(COUNTIF('Model info'!$L$16,'Ecotox data'!E122)=1,4,IF(COUNTIF('Model info'!$M$16,'Ecotox data'!F122)=1,3,IF(COUNTIF('Model info'!$N$16,'Ecotox data'!G122)=1,2,IF(COUNTIF('Model info'!$O$16,'Ecotox data'!H122)=1,1,0)))))))</f>
        <v>0</v>
      </c>
      <c r="U132" s="176">
        <f t="shared" si="12"/>
        <v>1</v>
      </c>
      <c r="V132" s="35"/>
      <c r="W132" s="27">
        <f>IF(AND('Ecotox data'!P122&gt;='Model info'!$C$20,'Ecotox data'!P122&lt;='Model info'!$C$21,'Ecotox data'!U122&gt;='Model info'!$D$20,'Ecotox data'!U122&lt;='Model info'!$D$21,'Ecotox data'!M122&gt;='Model info'!$E$20,'Ecotox data'!M122&lt;='Model info'!$E$21),1,0)</f>
        <v>1</v>
      </c>
      <c r="X132" s="171">
        <f>IF(COUNTIF('Model info'!$H$18:$H$24,'Ecotox data'!B122)=1,7,IF(COUNTIF('Model info'!$J$18:$J$24,'Ecotox data'!C122)=1,6,IF(COUNTIF('Model info'!$K$18:$K$24,'Ecotox data'!D122)=1,5,IF(COUNTIF('Model info'!$L$2:$L$24,'Ecotox data'!E122)=1,4,IF(COUNTIF('Model info'!$M$18:$M$24,'Ecotox data'!F122)=1,3,IF(COUNTIF('Model info'!$N$18:$N$24,'Ecotox data'!G122)=1,2,IF(COUNTIF('Model info'!$O$18:$O$24,'Ecotox data'!H122)=1,1,0)))))))</f>
        <v>7</v>
      </c>
      <c r="Y132" s="177">
        <f t="shared" si="13"/>
        <v>8</v>
      </c>
    </row>
    <row r="133" spans="5:25">
      <c r="E133" s="29">
        <v>115</v>
      </c>
      <c r="F133" s="262" t="s">
        <v>54</v>
      </c>
      <c r="G133" s="27">
        <f>IF(AND('Ecotox data'!P123&gt;='Model info'!$C$4,'Ecotox data'!P123&lt;='Model info'!$C$5),1,0)</f>
        <v>1</v>
      </c>
      <c r="H133" s="163">
        <f>IF(COUNTIF('Model info'!$H$4:$H$10,'Ecotox data'!B123)=1,7,IF(COUNTIF('Model info'!$J$4:$J$10,'Ecotox data'!C123)=1,6,IF(COUNTIF('Model info'!$K$4:$K$10,'Ecotox data'!D123)=1,5,IF(COUNTIF('Model info'!$L$4:$L$10,'Ecotox data'!E123)=1,4,IF(COUNTIF('Model info'!$M$4:$M$10,'Ecotox data'!F123)=1,3,IF(COUNTIF('Model info'!$N$4:$N$10,'Ecotox data'!G123)=1,2,IF(COUNTIF('Model info'!$O$4:$O$10,'Ecotox data'!H123)=1,1,0)))))))</f>
        <v>0</v>
      </c>
      <c r="I133" s="176">
        <f t="shared" si="9"/>
        <v>1</v>
      </c>
      <c r="J133" s="35"/>
      <c r="K133" s="27">
        <f>IF(AND('Ecotox data'!U123&gt;='Model info'!$D$8,'Ecotox data'!U123&lt;='Model info'!$D$9),1,0)</f>
        <v>1</v>
      </c>
      <c r="L133" s="171">
        <f>IF(COUNTIF('Model info'!$H$12,'Ecotox data'!B123)=1,7,IF(COUNTIF('Model info'!$J$12,'Ecotox data'!C123)=1,6,IF(COUNTIF('Model info'!$K$12,'Ecotox data'!D123)=1,5,IF(COUNTIF('Model info'!$L$12,'Ecotox data'!E123)=1,4,IF(COUNTIF('Model info'!$M$12,'Ecotox data'!F123)=1,3,IF(COUNTIF('Model info'!$N$12,'Ecotox data'!G123)=1,2,IF(COUNTIF('Model info'!$O$12,'Ecotox data'!H123)=1,1,0)))))))</f>
        <v>7</v>
      </c>
      <c r="M133" s="177">
        <f t="shared" si="10"/>
        <v>8</v>
      </c>
      <c r="N133" s="35"/>
      <c r="O133" s="27">
        <f>IF(AND('Ecotox data'!M123&gt;='Model info'!$E$12,'Ecotox data'!M123&lt;='Model info'!$E$13),1,0)</f>
        <v>1</v>
      </c>
      <c r="P133" s="165">
        <f>IF(COUNTIF('Model info'!$H$14,'Ecotox data'!B123)=1,7,IF(COUNTIF('Model info'!$J$14,'Ecotox data'!C123)=1,6,IF(COUNTIF('Model info'!$K$14,'Ecotox data'!D123)=1,5,IF(COUNTIF('Model info'!$L$14,'Ecotox data'!E123)=1,4,IF(COUNTIF('Model info'!$M$14,'Ecotox data'!F123)=1,3,IF(COUNTIF('Model info'!$N$14,'Ecotox data'!G123)=1,2,IF(COUNTIF('Model info'!$O$14,'Ecotox data'!H123)=1,1,0)))))))</f>
        <v>0</v>
      </c>
      <c r="Q133" s="176">
        <f t="shared" si="11"/>
        <v>1</v>
      </c>
      <c r="R133" s="35"/>
      <c r="S133" s="27">
        <f>IF(AND('Ecotox data'!P123&gt;='Model info'!$C$16,'Ecotox data'!P123&lt;='Model info'!$C$17,'Ecotox data'!U123&gt;='Model info'!$D$16,'Ecotox data'!U123&lt;='Model info'!$D$17,'Ecotox data'!M123&gt;='Model info'!$E$16,'Ecotox data'!M123&lt;='Model info'!$E$17),1,0)</f>
        <v>1</v>
      </c>
      <c r="T133" s="165">
        <f>IF(COUNTIF('Model info'!$H$16,'Ecotox data'!B123)=1,7,IF(COUNTIF('Model info'!$J$16,'Ecotox data'!C123)=1,6,IF(COUNTIF('Model info'!$K$16,'Ecotox data'!D123)=1,5,IF(COUNTIF('Model info'!$L$16,'Ecotox data'!E123)=1,4,IF(COUNTIF('Model info'!$M$16,'Ecotox data'!F123)=1,3,IF(COUNTIF('Model info'!$N$16,'Ecotox data'!G123)=1,2,IF(COUNTIF('Model info'!$O$16,'Ecotox data'!H123)=1,1,0)))))))</f>
        <v>0</v>
      </c>
      <c r="U133" s="176">
        <f t="shared" si="12"/>
        <v>1</v>
      </c>
      <c r="V133" s="35"/>
      <c r="W133" s="27">
        <f>IF(AND('Ecotox data'!P123&gt;='Model info'!$C$20,'Ecotox data'!P123&lt;='Model info'!$C$21,'Ecotox data'!U123&gt;='Model info'!$D$20,'Ecotox data'!U123&lt;='Model info'!$D$21,'Ecotox data'!M123&gt;='Model info'!$E$20,'Ecotox data'!M123&lt;='Model info'!$E$21),1,0)</f>
        <v>1</v>
      </c>
      <c r="X133" s="171">
        <f>IF(COUNTIF('Model info'!$H$18:$H$24,'Ecotox data'!B123)=1,7,IF(COUNTIF('Model info'!$J$18:$J$24,'Ecotox data'!C123)=1,6,IF(COUNTIF('Model info'!$K$18:$K$24,'Ecotox data'!D123)=1,5,IF(COUNTIF('Model info'!$L$2:$L$24,'Ecotox data'!E123)=1,4,IF(COUNTIF('Model info'!$M$18:$M$24,'Ecotox data'!F123)=1,3,IF(COUNTIF('Model info'!$N$18:$N$24,'Ecotox data'!G123)=1,2,IF(COUNTIF('Model info'!$O$18:$O$24,'Ecotox data'!H123)=1,1,0)))))))</f>
        <v>7</v>
      </c>
      <c r="Y133" s="177">
        <f t="shared" si="13"/>
        <v>8</v>
      </c>
    </row>
    <row r="134" spans="5:25">
      <c r="E134" s="29">
        <v>116</v>
      </c>
      <c r="F134" s="262" t="s">
        <v>54</v>
      </c>
      <c r="G134" s="27">
        <f>IF(AND('Ecotox data'!P124&gt;='Model info'!$C$4,'Ecotox data'!P124&lt;='Model info'!$C$5),1,0)</f>
        <v>1</v>
      </c>
      <c r="H134" s="163">
        <f>IF(COUNTIF('Model info'!$H$4:$H$10,'Ecotox data'!B124)=1,7,IF(COUNTIF('Model info'!$J$4:$J$10,'Ecotox data'!C124)=1,6,IF(COUNTIF('Model info'!$K$4:$K$10,'Ecotox data'!D124)=1,5,IF(COUNTIF('Model info'!$L$4:$L$10,'Ecotox data'!E124)=1,4,IF(COUNTIF('Model info'!$M$4:$M$10,'Ecotox data'!F124)=1,3,IF(COUNTIF('Model info'!$N$4:$N$10,'Ecotox data'!G124)=1,2,IF(COUNTIF('Model info'!$O$4:$O$10,'Ecotox data'!H124)=1,1,0)))))))</f>
        <v>0</v>
      </c>
      <c r="I134" s="176">
        <f t="shared" si="9"/>
        <v>1</v>
      </c>
      <c r="J134" s="35"/>
      <c r="K134" s="27">
        <f>IF(AND('Ecotox data'!U124&gt;='Model info'!$D$8,'Ecotox data'!U124&lt;='Model info'!$D$9),1,0)</f>
        <v>1</v>
      </c>
      <c r="L134" s="171">
        <f>IF(COUNTIF('Model info'!$H$12,'Ecotox data'!B124)=1,7,IF(COUNTIF('Model info'!$J$12,'Ecotox data'!C124)=1,6,IF(COUNTIF('Model info'!$K$12,'Ecotox data'!D124)=1,5,IF(COUNTIF('Model info'!$L$12,'Ecotox data'!E124)=1,4,IF(COUNTIF('Model info'!$M$12,'Ecotox data'!F124)=1,3,IF(COUNTIF('Model info'!$N$12,'Ecotox data'!G124)=1,2,IF(COUNTIF('Model info'!$O$12,'Ecotox data'!H124)=1,1,0)))))))</f>
        <v>7</v>
      </c>
      <c r="M134" s="177">
        <f t="shared" si="10"/>
        <v>8</v>
      </c>
      <c r="N134" s="35"/>
      <c r="O134" s="27">
        <f>IF(AND('Ecotox data'!M124&gt;='Model info'!$E$12,'Ecotox data'!M124&lt;='Model info'!$E$13),1,0)</f>
        <v>1</v>
      </c>
      <c r="P134" s="165">
        <f>IF(COUNTIF('Model info'!$H$14,'Ecotox data'!B124)=1,7,IF(COUNTIF('Model info'!$J$14,'Ecotox data'!C124)=1,6,IF(COUNTIF('Model info'!$K$14,'Ecotox data'!D124)=1,5,IF(COUNTIF('Model info'!$L$14,'Ecotox data'!E124)=1,4,IF(COUNTIF('Model info'!$M$14,'Ecotox data'!F124)=1,3,IF(COUNTIF('Model info'!$N$14,'Ecotox data'!G124)=1,2,IF(COUNTIF('Model info'!$O$14,'Ecotox data'!H124)=1,1,0)))))))</f>
        <v>0</v>
      </c>
      <c r="Q134" s="176">
        <f t="shared" si="11"/>
        <v>1</v>
      </c>
      <c r="R134" s="35"/>
      <c r="S134" s="27">
        <f>IF(AND('Ecotox data'!P124&gt;='Model info'!$C$16,'Ecotox data'!P124&lt;='Model info'!$C$17,'Ecotox data'!U124&gt;='Model info'!$D$16,'Ecotox data'!U124&lt;='Model info'!$D$17,'Ecotox data'!M124&gt;='Model info'!$E$16,'Ecotox data'!M124&lt;='Model info'!$E$17),1,0)</f>
        <v>1</v>
      </c>
      <c r="T134" s="165">
        <f>IF(COUNTIF('Model info'!$H$16,'Ecotox data'!B124)=1,7,IF(COUNTIF('Model info'!$J$16,'Ecotox data'!C124)=1,6,IF(COUNTIF('Model info'!$K$16,'Ecotox data'!D124)=1,5,IF(COUNTIF('Model info'!$L$16,'Ecotox data'!E124)=1,4,IF(COUNTIF('Model info'!$M$16,'Ecotox data'!F124)=1,3,IF(COUNTIF('Model info'!$N$16,'Ecotox data'!G124)=1,2,IF(COUNTIF('Model info'!$O$16,'Ecotox data'!H124)=1,1,0)))))))</f>
        <v>0</v>
      </c>
      <c r="U134" s="176">
        <f t="shared" si="12"/>
        <v>1</v>
      </c>
      <c r="V134" s="35"/>
      <c r="W134" s="27">
        <f>IF(AND('Ecotox data'!P124&gt;='Model info'!$C$20,'Ecotox data'!P124&lt;='Model info'!$C$21,'Ecotox data'!U124&gt;='Model info'!$D$20,'Ecotox data'!U124&lt;='Model info'!$D$21,'Ecotox data'!M124&gt;='Model info'!$E$20,'Ecotox data'!M124&lt;='Model info'!$E$21),1,0)</f>
        <v>1</v>
      </c>
      <c r="X134" s="171">
        <f>IF(COUNTIF('Model info'!$H$18:$H$24,'Ecotox data'!B124)=1,7,IF(COUNTIF('Model info'!$J$18:$J$24,'Ecotox data'!C124)=1,6,IF(COUNTIF('Model info'!$K$18:$K$24,'Ecotox data'!D124)=1,5,IF(COUNTIF('Model info'!$L$2:$L$24,'Ecotox data'!E124)=1,4,IF(COUNTIF('Model info'!$M$18:$M$24,'Ecotox data'!F124)=1,3,IF(COUNTIF('Model info'!$N$18:$N$24,'Ecotox data'!G124)=1,2,IF(COUNTIF('Model info'!$O$18:$O$24,'Ecotox data'!H124)=1,1,0)))))))</f>
        <v>7</v>
      </c>
      <c r="Y134" s="177">
        <f t="shared" si="13"/>
        <v>8</v>
      </c>
    </row>
    <row r="135" spans="5:25">
      <c r="E135" s="29">
        <v>117</v>
      </c>
      <c r="F135" s="262" t="s">
        <v>54</v>
      </c>
      <c r="G135" s="27">
        <f>IF(AND('Ecotox data'!P125&gt;='Model info'!$C$4,'Ecotox data'!P125&lt;='Model info'!$C$5),1,0)</f>
        <v>1</v>
      </c>
      <c r="H135" s="163">
        <f>IF(COUNTIF('Model info'!$H$4:$H$10,'Ecotox data'!B125)=1,7,IF(COUNTIF('Model info'!$J$4:$J$10,'Ecotox data'!C125)=1,6,IF(COUNTIF('Model info'!$K$4:$K$10,'Ecotox data'!D125)=1,5,IF(COUNTIF('Model info'!$L$4:$L$10,'Ecotox data'!E125)=1,4,IF(COUNTIF('Model info'!$M$4:$M$10,'Ecotox data'!F125)=1,3,IF(COUNTIF('Model info'!$N$4:$N$10,'Ecotox data'!G125)=1,2,IF(COUNTIF('Model info'!$O$4:$O$10,'Ecotox data'!H125)=1,1,0)))))))</f>
        <v>0</v>
      </c>
      <c r="I135" s="176">
        <f t="shared" si="9"/>
        <v>1</v>
      </c>
      <c r="J135" s="35"/>
      <c r="K135" s="27">
        <f>IF(AND('Ecotox data'!U125&gt;='Model info'!$D$8,'Ecotox data'!U125&lt;='Model info'!$D$9),1,0)</f>
        <v>1</v>
      </c>
      <c r="L135" s="171">
        <f>IF(COUNTIF('Model info'!$H$12,'Ecotox data'!B125)=1,7,IF(COUNTIF('Model info'!$J$12,'Ecotox data'!C125)=1,6,IF(COUNTIF('Model info'!$K$12,'Ecotox data'!D125)=1,5,IF(COUNTIF('Model info'!$L$12,'Ecotox data'!E125)=1,4,IF(COUNTIF('Model info'!$M$12,'Ecotox data'!F125)=1,3,IF(COUNTIF('Model info'!$N$12,'Ecotox data'!G125)=1,2,IF(COUNTIF('Model info'!$O$12,'Ecotox data'!H125)=1,1,0)))))))</f>
        <v>7</v>
      </c>
      <c r="M135" s="177">
        <f t="shared" si="10"/>
        <v>8</v>
      </c>
      <c r="N135" s="35"/>
      <c r="O135" s="27">
        <f>IF(AND('Ecotox data'!M125&gt;='Model info'!$E$12,'Ecotox data'!M125&lt;='Model info'!$E$13),1,0)</f>
        <v>1</v>
      </c>
      <c r="P135" s="165">
        <f>IF(COUNTIF('Model info'!$H$14,'Ecotox data'!B125)=1,7,IF(COUNTIF('Model info'!$J$14,'Ecotox data'!C125)=1,6,IF(COUNTIF('Model info'!$K$14,'Ecotox data'!D125)=1,5,IF(COUNTIF('Model info'!$L$14,'Ecotox data'!E125)=1,4,IF(COUNTIF('Model info'!$M$14,'Ecotox data'!F125)=1,3,IF(COUNTIF('Model info'!$N$14,'Ecotox data'!G125)=1,2,IF(COUNTIF('Model info'!$O$14,'Ecotox data'!H125)=1,1,0)))))))</f>
        <v>0</v>
      </c>
      <c r="Q135" s="176">
        <f t="shared" si="11"/>
        <v>1</v>
      </c>
      <c r="R135" s="35"/>
      <c r="S135" s="27">
        <f>IF(AND('Ecotox data'!P125&gt;='Model info'!$C$16,'Ecotox data'!P125&lt;='Model info'!$C$17,'Ecotox data'!U125&gt;='Model info'!$D$16,'Ecotox data'!U125&lt;='Model info'!$D$17,'Ecotox data'!M125&gt;='Model info'!$E$16,'Ecotox data'!M125&lt;='Model info'!$E$17),1,0)</f>
        <v>1</v>
      </c>
      <c r="T135" s="165">
        <f>IF(COUNTIF('Model info'!$H$16,'Ecotox data'!B125)=1,7,IF(COUNTIF('Model info'!$J$16,'Ecotox data'!C125)=1,6,IF(COUNTIF('Model info'!$K$16,'Ecotox data'!D125)=1,5,IF(COUNTIF('Model info'!$L$16,'Ecotox data'!E125)=1,4,IF(COUNTIF('Model info'!$M$16,'Ecotox data'!F125)=1,3,IF(COUNTIF('Model info'!$N$16,'Ecotox data'!G125)=1,2,IF(COUNTIF('Model info'!$O$16,'Ecotox data'!H125)=1,1,0)))))))</f>
        <v>0</v>
      </c>
      <c r="U135" s="176">
        <f t="shared" si="12"/>
        <v>1</v>
      </c>
      <c r="V135" s="35"/>
      <c r="W135" s="27">
        <f>IF(AND('Ecotox data'!P125&gt;='Model info'!$C$20,'Ecotox data'!P125&lt;='Model info'!$C$21,'Ecotox data'!U125&gt;='Model info'!$D$20,'Ecotox data'!U125&lt;='Model info'!$D$21,'Ecotox data'!M125&gt;='Model info'!$E$20,'Ecotox data'!M125&lt;='Model info'!$E$21),1,0)</f>
        <v>1</v>
      </c>
      <c r="X135" s="171">
        <f>IF(COUNTIF('Model info'!$H$18:$H$24,'Ecotox data'!B125)=1,7,IF(COUNTIF('Model info'!$J$18:$J$24,'Ecotox data'!C125)=1,6,IF(COUNTIF('Model info'!$K$18:$K$24,'Ecotox data'!D125)=1,5,IF(COUNTIF('Model info'!$L$2:$L$24,'Ecotox data'!E125)=1,4,IF(COUNTIF('Model info'!$M$18:$M$24,'Ecotox data'!F125)=1,3,IF(COUNTIF('Model info'!$N$18:$N$24,'Ecotox data'!G125)=1,2,IF(COUNTIF('Model info'!$O$18:$O$24,'Ecotox data'!H125)=1,1,0)))))))</f>
        <v>7</v>
      </c>
      <c r="Y135" s="177">
        <f t="shared" si="13"/>
        <v>8</v>
      </c>
    </row>
    <row r="136" spans="5:25">
      <c r="E136" s="29">
        <v>118</v>
      </c>
      <c r="F136" s="262" t="s">
        <v>54</v>
      </c>
      <c r="G136" s="27">
        <f>IF(AND('Ecotox data'!P126&gt;='Model info'!$C$4,'Ecotox data'!P126&lt;='Model info'!$C$5),1,0)</f>
        <v>1</v>
      </c>
      <c r="H136" s="163">
        <f>IF(COUNTIF('Model info'!$H$4:$H$10,'Ecotox data'!B126)=1,7,IF(COUNTIF('Model info'!$J$4:$J$10,'Ecotox data'!C126)=1,6,IF(COUNTIF('Model info'!$K$4:$K$10,'Ecotox data'!D126)=1,5,IF(COUNTIF('Model info'!$L$4:$L$10,'Ecotox data'!E126)=1,4,IF(COUNTIF('Model info'!$M$4:$M$10,'Ecotox data'!F126)=1,3,IF(COUNTIF('Model info'!$N$4:$N$10,'Ecotox data'!G126)=1,2,IF(COUNTIF('Model info'!$O$4:$O$10,'Ecotox data'!H126)=1,1,0)))))))</f>
        <v>0</v>
      </c>
      <c r="I136" s="176">
        <f t="shared" si="9"/>
        <v>1</v>
      </c>
      <c r="J136" s="35"/>
      <c r="K136" s="27">
        <f>IF(AND('Ecotox data'!U126&gt;='Model info'!$D$8,'Ecotox data'!U126&lt;='Model info'!$D$9),1,0)</f>
        <v>1</v>
      </c>
      <c r="L136" s="171">
        <f>IF(COUNTIF('Model info'!$H$12,'Ecotox data'!B126)=1,7,IF(COUNTIF('Model info'!$J$12,'Ecotox data'!C126)=1,6,IF(COUNTIF('Model info'!$K$12,'Ecotox data'!D126)=1,5,IF(COUNTIF('Model info'!$L$12,'Ecotox data'!E126)=1,4,IF(COUNTIF('Model info'!$M$12,'Ecotox data'!F126)=1,3,IF(COUNTIF('Model info'!$N$12,'Ecotox data'!G126)=1,2,IF(COUNTIF('Model info'!$O$12,'Ecotox data'!H126)=1,1,0)))))))</f>
        <v>7</v>
      </c>
      <c r="M136" s="177">
        <f t="shared" si="10"/>
        <v>8</v>
      </c>
      <c r="N136" s="35"/>
      <c r="O136" s="27">
        <f>IF(AND('Ecotox data'!M126&gt;='Model info'!$E$12,'Ecotox data'!M126&lt;='Model info'!$E$13),1,0)</f>
        <v>1</v>
      </c>
      <c r="P136" s="165">
        <f>IF(COUNTIF('Model info'!$H$14,'Ecotox data'!B126)=1,7,IF(COUNTIF('Model info'!$J$14,'Ecotox data'!C126)=1,6,IF(COUNTIF('Model info'!$K$14,'Ecotox data'!D126)=1,5,IF(COUNTIF('Model info'!$L$14,'Ecotox data'!E126)=1,4,IF(COUNTIF('Model info'!$M$14,'Ecotox data'!F126)=1,3,IF(COUNTIF('Model info'!$N$14,'Ecotox data'!G126)=1,2,IF(COUNTIF('Model info'!$O$14,'Ecotox data'!H126)=1,1,0)))))))</f>
        <v>0</v>
      </c>
      <c r="Q136" s="176">
        <f t="shared" si="11"/>
        <v>1</v>
      </c>
      <c r="R136" s="35"/>
      <c r="S136" s="27">
        <f>IF(AND('Ecotox data'!P126&gt;='Model info'!$C$16,'Ecotox data'!P126&lt;='Model info'!$C$17,'Ecotox data'!U126&gt;='Model info'!$D$16,'Ecotox data'!U126&lt;='Model info'!$D$17,'Ecotox data'!M126&gt;='Model info'!$E$16,'Ecotox data'!M126&lt;='Model info'!$E$17),1,0)</f>
        <v>1</v>
      </c>
      <c r="T136" s="165">
        <f>IF(COUNTIF('Model info'!$H$16,'Ecotox data'!B126)=1,7,IF(COUNTIF('Model info'!$J$16,'Ecotox data'!C126)=1,6,IF(COUNTIF('Model info'!$K$16,'Ecotox data'!D126)=1,5,IF(COUNTIF('Model info'!$L$16,'Ecotox data'!E126)=1,4,IF(COUNTIF('Model info'!$M$16,'Ecotox data'!F126)=1,3,IF(COUNTIF('Model info'!$N$16,'Ecotox data'!G126)=1,2,IF(COUNTIF('Model info'!$O$16,'Ecotox data'!H126)=1,1,0)))))))</f>
        <v>0</v>
      </c>
      <c r="U136" s="176">
        <f t="shared" si="12"/>
        <v>1</v>
      </c>
      <c r="V136" s="35"/>
      <c r="W136" s="27">
        <f>IF(AND('Ecotox data'!P126&gt;='Model info'!$C$20,'Ecotox data'!P126&lt;='Model info'!$C$21,'Ecotox data'!U126&gt;='Model info'!$D$20,'Ecotox data'!U126&lt;='Model info'!$D$21,'Ecotox data'!M126&gt;='Model info'!$E$20,'Ecotox data'!M126&lt;='Model info'!$E$21),1,0)</f>
        <v>1</v>
      </c>
      <c r="X136" s="171">
        <f>IF(COUNTIF('Model info'!$H$18:$H$24,'Ecotox data'!B126)=1,7,IF(COUNTIF('Model info'!$J$18:$J$24,'Ecotox data'!C126)=1,6,IF(COUNTIF('Model info'!$K$18:$K$24,'Ecotox data'!D126)=1,5,IF(COUNTIF('Model info'!$L$2:$L$24,'Ecotox data'!E126)=1,4,IF(COUNTIF('Model info'!$M$18:$M$24,'Ecotox data'!F126)=1,3,IF(COUNTIF('Model info'!$N$18:$N$24,'Ecotox data'!G126)=1,2,IF(COUNTIF('Model info'!$O$18:$O$24,'Ecotox data'!H126)=1,1,0)))))))</f>
        <v>7</v>
      </c>
      <c r="Y136" s="177">
        <f t="shared" si="13"/>
        <v>8</v>
      </c>
    </row>
    <row r="137" spans="5:25">
      <c r="E137" s="29">
        <v>119</v>
      </c>
      <c r="F137" s="262" t="s">
        <v>54</v>
      </c>
      <c r="G137" s="27">
        <f>IF(AND('Ecotox data'!P127&gt;='Model info'!$C$4,'Ecotox data'!P127&lt;='Model info'!$C$5),1,0)</f>
        <v>1</v>
      </c>
      <c r="H137" s="163">
        <f>IF(COUNTIF('Model info'!$H$4:$H$10,'Ecotox data'!B127)=1,7,IF(COUNTIF('Model info'!$J$4:$J$10,'Ecotox data'!C127)=1,6,IF(COUNTIF('Model info'!$K$4:$K$10,'Ecotox data'!D127)=1,5,IF(COUNTIF('Model info'!$L$4:$L$10,'Ecotox data'!E127)=1,4,IF(COUNTIF('Model info'!$M$4:$M$10,'Ecotox data'!F127)=1,3,IF(COUNTIF('Model info'!$N$4:$N$10,'Ecotox data'!G127)=1,2,IF(COUNTIF('Model info'!$O$4:$O$10,'Ecotox data'!H127)=1,1,0)))))))</f>
        <v>0</v>
      </c>
      <c r="I137" s="176">
        <f t="shared" si="9"/>
        <v>1</v>
      </c>
      <c r="J137" s="35"/>
      <c r="K137" s="27">
        <f>IF(AND('Ecotox data'!U127&gt;='Model info'!$D$8,'Ecotox data'!U127&lt;='Model info'!$D$9),1,0)</f>
        <v>1</v>
      </c>
      <c r="L137" s="171">
        <f>IF(COUNTIF('Model info'!$H$12,'Ecotox data'!B127)=1,7,IF(COUNTIF('Model info'!$J$12,'Ecotox data'!C127)=1,6,IF(COUNTIF('Model info'!$K$12,'Ecotox data'!D127)=1,5,IF(COUNTIF('Model info'!$L$12,'Ecotox data'!E127)=1,4,IF(COUNTIF('Model info'!$M$12,'Ecotox data'!F127)=1,3,IF(COUNTIF('Model info'!$N$12,'Ecotox data'!G127)=1,2,IF(COUNTIF('Model info'!$O$12,'Ecotox data'!H127)=1,1,0)))))))</f>
        <v>7</v>
      </c>
      <c r="M137" s="177">
        <f t="shared" si="10"/>
        <v>8</v>
      </c>
      <c r="N137" s="35"/>
      <c r="O137" s="27">
        <f>IF(AND('Ecotox data'!M127&gt;='Model info'!$E$12,'Ecotox data'!M127&lt;='Model info'!$E$13),1,0)</f>
        <v>1</v>
      </c>
      <c r="P137" s="165">
        <f>IF(COUNTIF('Model info'!$H$14,'Ecotox data'!B127)=1,7,IF(COUNTIF('Model info'!$J$14,'Ecotox data'!C127)=1,6,IF(COUNTIF('Model info'!$K$14,'Ecotox data'!D127)=1,5,IF(COUNTIF('Model info'!$L$14,'Ecotox data'!E127)=1,4,IF(COUNTIF('Model info'!$M$14,'Ecotox data'!F127)=1,3,IF(COUNTIF('Model info'!$N$14,'Ecotox data'!G127)=1,2,IF(COUNTIF('Model info'!$O$14,'Ecotox data'!H127)=1,1,0)))))))</f>
        <v>0</v>
      </c>
      <c r="Q137" s="176">
        <f t="shared" si="11"/>
        <v>1</v>
      </c>
      <c r="R137" s="35"/>
      <c r="S137" s="27">
        <f>IF(AND('Ecotox data'!P127&gt;='Model info'!$C$16,'Ecotox data'!P127&lt;='Model info'!$C$17,'Ecotox data'!U127&gt;='Model info'!$D$16,'Ecotox data'!U127&lt;='Model info'!$D$17,'Ecotox data'!M127&gt;='Model info'!$E$16,'Ecotox data'!M127&lt;='Model info'!$E$17),1,0)</f>
        <v>1</v>
      </c>
      <c r="T137" s="165">
        <f>IF(COUNTIF('Model info'!$H$16,'Ecotox data'!B127)=1,7,IF(COUNTIF('Model info'!$J$16,'Ecotox data'!C127)=1,6,IF(COUNTIF('Model info'!$K$16,'Ecotox data'!D127)=1,5,IF(COUNTIF('Model info'!$L$16,'Ecotox data'!E127)=1,4,IF(COUNTIF('Model info'!$M$16,'Ecotox data'!F127)=1,3,IF(COUNTIF('Model info'!$N$16,'Ecotox data'!G127)=1,2,IF(COUNTIF('Model info'!$O$16,'Ecotox data'!H127)=1,1,0)))))))</f>
        <v>0</v>
      </c>
      <c r="U137" s="176">
        <f t="shared" si="12"/>
        <v>1</v>
      </c>
      <c r="V137" s="35"/>
      <c r="W137" s="27">
        <f>IF(AND('Ecotox data'!P127&gt;='Model info'!$C$20,'Ecotox data'!P127&lt;='Model info'!$C$21,'Ecotox data'!U127&gt;='Model info'!$D$20,'Ecotox data'!U127&lt;='Model info'!$D$21,'Ecotox data'!M127&gt;='Model info'!$E$20,'Ecotox data'!M127&lt;='Model info'!$E$21),1,0)</f>
        <v>1</v>
      </c>
      <c r="X137" s="171">
        <f>IF(COUNTIF('Model info'!$H$18:$H$24,'Ecotox data'!B127)=1,7,IF(COUNTIF('Model info'!$J$18:$J$24,'Ecotox data'!C127)=1,6,IF(COUNTIF('Model info'!$K$18:$K$24,'Ecotox data'!D127)=1,5,IF(COUNTIF('Model info'!$L$2:$L$24,'Ecotox data'!E127)=1,4,IF(COUNTIF('Model info'!$M$18:$M$24,'Ecotox data'!F127)=1,3,IF(COUNTIF('Model info'!$N$18:$N$24,'Ecotox data'!G127)=1,2,IF(COUNTIF('Model info'!$O$18:$O$24,'Ecotox data'!H127)=1,1,0)))))))</f>
        <v>7</v>
      </c>
      <c r="Y137" s="177">
        <f t="shared" si="13"/>
        <v>8</v>
      </c>
    </row>
    <row r="138" spans="5:25">
      <c r="E138" s="29">
        <v>120</v>
      </c>
      <c r="F138" s="262" t="s">
        <v>54</v>
      </c>
      <c r="G138" s="27">
        <f>IF(AND('Ecotox data'!P128&gt;='Model info'!$C$4,'Ecotox data'!P128&lt;='Model info'!$C$5),1,0)</f>
        <v>1</v>
      </c>
      <c r="H138" s="163">
        <f>IF(COUNTIF('Model info'!$H$4:$H$10,'Ecotox data'!B128)=1,7,IF(COUNTIF('Model info'!$J$4:$J$10,'Ecotox data'!C128)=1,6,IF(COUNTIF('Model info'!$K$4:$K$10,'Ecotox data'!D128)=1,5,IF(COUNTIF('Model info'!$L$4:$L$10,'Ecotox data'!E128)=1,4,IF(COUNTIF('Model info'!$M$4:$M$10,'Ecotox data'!F128)=1,3,IF(COUNTIF('Model info'!$N$4:$N$10,'Ecotox data'!G128)=1,2,IF(COUNTIF('Model info'!$O$4:$O$10,'Ecotox data'!H128)=1,1,0)))))))</f>
        <v>0</v>
      </c>
      <c r="I138" s="176">
        <f t="shared" si="9"/>
        <v>1</v>
      </c>
      <c r="J138" s="35"/>
      <c r="K138" s="27">
        <f>IF(AND('Ecotox data'!U128&gt;='Model info'!$D$8,'Ecotox data'!U128&lt;='Model info'!$D$9),1,0)</f>
        <v>1</v>
      </c>
      <c r="L138" s="171">
        <f>IF(COUNTIF('Model info'!$H$12,'Ecotox data'!B128)=1,7,IF(COUNTIF('Model info'!$J$12,'Ecotox data'!C128)=1,6,IF(COUNTIF('Model info'!$K$12,'Ecotox data'!D128)=1,5,IF(COUNTIF('Model info'!$L$12,'Ecotox data'!E128)=1,4,IF(COUNTIF('Model info'!$M$12,'Ecotox data'!F128)=1,3,IF(COUNTIF('Model info'!$N$12,'Ecotox data'!G128)=1,2,IF(COUNTIF('Model info'!$O$12,'Ecotox data'!H128)=1,1,0)))))))</f>
        <v>7</v>
      </c>
      <c r="M138" s="177">
        <f t="shared" si="10"/>
        <v>8</v>
      </c>
      <c r="N138" s="35"/>
      <c r="O138" s="27">
        <f>IF(AND('Ecotox data'!M128&gt;='Model info'!$E$12,'Ecotox data'!M128&lt;='Model info'!$E$13),1,0)</f>
        <v>1</v>
      </c>
      <c r="P138" s="165">
        <f>IF(COUNTIF('Model info'!$H$14,'Ecotox data'!B128)=1,7,IF(COUNTIF('Model info'!$J$14,'Ecotox data'!C128)=1,6,IF(COUNTIF('Model info'!$K$14,'Ecotox data'!D128)=1,5,IF(COUNTIF('Model info'!$L$14,'Ecotox data'!E128)=1,4,IF(COUNTIF('Model info'!$M$14,'Ecotox data'!F128)=1,3,IF(COUNTIF('Model info'!$N$14,'Ecotox data'!G128)=1,2,IF(COUNTIF('Model info'!$O$14,'Ecotox data'!H128)=1,1,0)))))))</f>
        <v>0</v>
      </c>
      <c r="Q138" s="176">
        <f t="shared" si="11"/>
        <v>1</v>
      </c>
      <c r="R138" s="35"/>
      <c r="S138" s="27">
        <f>IF(AND('Ecotox data'!P128&gt;='Model info'!$C$16,'Ecotox data'!P128&lt;='Model info'!$C$17,'Ecotox data'!U128&gt;='Model info'!$D$16,'Ecotox data'!U128&lt;='Model info'!$D$17,'Ecotox data'!M128&gt;='Model info'!$E$16,'Ecotox data'!M128&lt;='Model info'!$E$17),1,0)</f>
        <v>1</v>
      </c>
      <c r="T138" s="165">
        <f>IF(COUNTIF('Model info'!$H$16,'Ecotox data'!B128)=1,7,IF(COUNTIF('Model info'!$J$16,'Ecotox data'!C128)=1,6,IF(COUNTIF('Model info'!$K$16,'Ecotox data'!D128)=1,5,IF(COUNTIF('Model info'!$L$16,'Ecotox data'!E128)=1,4,IF(COUNTIF('Model info'!$M$16,'Ecotox data'!F128)=1,3,IF(COUNTIF('Model info'!$N$16,'Ecotox data'!G128)=1,2,IF(COUNTIF('Model info'!$O$16,'Ecotox data'!H128)=1,1,0)))))))</f>
        <v>0</v>
      </c>
      <c r="U138" s="176">
        <f t="shared" si="12"/>
        <v>1</v>
      </c>
      <c r="V138" s="35"/>
      <c r="W138" s="27">
        <f>IF(AND('Ecotox data'!P128&gt;='Model info'!$C$20,'Ecotox data'!P128&lt;='Model info'!$C$21,'Ecotox data'!U128&gt;='Model info'!$D$20,'Ecotox data'!U128&lt;='Model info'!$D$21,'Ecotox data'!M128&gt;='Model info'!$E$20,'Ecotox data'!M128&lt;='Model info'!$E$21),1,0)</f>
        <v>1</v>
      </c>
      <c r="X138" s="171">
        <f>IF(COUNTIF('Model info'!$H$18:$H$24,'Ecotox data'!B128)=1,7,IF(COUNTIF('Model info'!$J$18:$J$24,'Ecotox data'!C128)=1,6,IF(COUNTIF('Model info'!$K$18:$K$24,'Ecotox data'!D128)=1,5,IF(COUNTIF('Model info'!$L$2:$L$24,'Ecotox data'!E128)=1,4,IF(COUNTIF('Model info'!$M$18:$M$24,'Ecotox data'!F128)=1,3,IF(COUNTIF('Model info'!$N$18:$N$24,'Ecotox data'!G128)=1,2,IF(COUNTIF('Model info'!$O$18:$O$24,'Ecotox data'!H128)=1,1,0)))))))</f>
        <v>7</v>
      </c>
      <c r="Y138" s="177">
        <f t="shared" si="13"/>
        <v>8</v>
      </c>
    </row>
    <row r="139" spans="5:25">
      <c r="E139" s="29">
        <v>121</v>
      </c>
      <c r="F139" s="262" t="s">
        <v>54</v>
      </c>
      <c r="G139" s="27">
        <f>IF(AND('Ecotox data'!P129&gt;='Model info'!$C$4,'Ecotox data'!P129&lt;='Model info'!$C$5),1,0)</f>
        <v>1</v>
      </c>
      <c r="H139" s="163">
        <f>IF(COUNTIF('Model info'!$H$4:$H$10,'Ecotox data'!B129)=1,7,IF(COUNTIF('Model info'!$J$4:$J$10,'Ecotox data'!C129)=1,6,IF(COUNTIF('Model info'!$K$4:$K$10,'Ecotox data'!D129)=1,5,IF(COUNTIF('Model info'!$L$4:$L$10,'Ecotox data'!E129)=1,4,IF(COUNTIF('Model info'!$M$4:$M$10,'Ecotox data'!F129)=1,3,IF(COUNTIF('Model info'!$N$4:$N$10,'Ecotox data'!G129)=1,2,IF(COUNTIF('Model info'!$O$4:$O$10,'Ecotox data'!H129)=1,1,0)))))))</f>
        <v>0</v>
      </c>
      <c r="I139" s="176">
        <f t="shared" si="9"/>
        <v>1</v>
      </c>
      <c r="J139" s="35"/>
      <c r="K139" s="27">
        <f>IF(AND('Ecotox data'!U129&gt;='Model info'!$D$8,'Ecotox data'!U129&lt;='Model info'!$D$9),1,0)</f>
        <v>1</v>
      </c>
      <c r="L139" s="171">
        <f>IF(COUNTIF('Model info'!$H$12,'Ecotox data'!B129)=1,7,IF(COUNTIF('Model info'!$J$12,'Ecotox data'!C129)=1,6,IF(COUNTIF('Model info'!$K$12,'Ecotox data'!D129)=1,5,IF(COUNTIF('Model info'!$L$12,'Ecotox data'!E129)=1,4,IF(COUNTIF('Model info'!$M$12,'Ecotox data'!F129)=1,3,IF(COUNTIF('Model info'!$N$12,'Ecotox data'!G129)=1,2,IF(COUNTIF('Model info'!$O$12,'Ecotox data'!H129)=1,1,0)))))))</f>
        <v>7</v>
      </c>
      <c r="M139" s="177">
        <f t="shared" si="10"/>
        <v>8</v>
      </c>
      <c r="N139" s="35"/>
      <c r="O139" s="27">
        <f>IF(AND('Ecotox data'!M129&gt;='Model info'!$E$12,'Ecotox data'!M129&lt;='Model info'!$E$13),1,0)</f>
        <v>1</v>
      </c>
      <c r="P139" s="165">
        <f>IF(COUNTIF('Model info'!$H$14,'Ecotox data'!B129)=1,7,IF(COUNTIF('Model info'!$J$14,'Ecotox data'!C129)=1,6,IF(COUNTIF('Model info'!$K$14,'Ecotox data'!D129)=1,5,IF(COUNTIF('Model info'!$L$14,'Ecotox data'!E129)=1,4,IF(COUNTIF('Model info'!$M$14,'Ecotox data'!F129)=1,3,IF(COUNTIF('Model info'!$N$14,'Ecotox data'!G129)=1,2,IF(COUNTIF('Model info'!$O$14,'Ecotox data'!H129)=1,1,0)))))))</f>
        <v>0</v>
      </c>
      <c r="Q139" s="176">
        <f t="shared" si="11"/>
        <v>1</v>
      </c>
      <c r="R139" s="35"/>
      <c r="S139" s="27">
        <f>IF(AND('Ecotox data'!P129&gt;='Model info'!$C$16,'Ecotox data'!P129&lt;='Model info'!$C$17,'Ecotox data'!U129&gt;='Model info'!$D$16,'Ecotox data'!U129&lt;='Model info'!$D$17,'Ecotox data'!M129&gt;='Model info'!$E$16,'Ecotox data'!M129&lt;='Model info'!$E$17),1,0)</f>
        <v>1</v>
      </c>
      <c r="T139" s="165">
        <f>IF(COUNTIF('Model info'!$H$16,'Ecotox data'!B129)=1,7,IF(COUNTIF('Model info'!$J$16,'Ecotox data'!C129)=1,6,IF(COUNTIF('Model info'!$K$16,'Ecotox data'!D129)=1,5,IF(COUNTIF('Model info'!$L$16,'Ecotox data'!E129)=1,4,IF(COUNTIF('Model info'!$M$16,'Ecotox data'!F129)=1,3,IF(COUNTIF('Model info'!$N$16,'Ecotox data'!G129)=1,2,IF(COUNTIF('Model info'!$O$16,'Ecotox data'!H129)=1,1,0)))))))</f>
        <v>0</v>
      </c>
      <c r="U139" s="176">
        <f t="shared" si="12"/>
        <v>1</v>
      </c>
      <c r="V139" s="35"/>
      <c r="W139" s="27">
        <f>IF(AND('Ecotox data'!P129&gt;='Model info'!$C$20,'Ecotox data'!P129&lt;='Model info'!$C$21,'Ecotox data'!U129&gt;='Model info'!$D$20,'Ecotox data'!U129&lt;='Model info'!$D$21,'Ecotox data'!M129&gt;='Model info'!$E$20,'Ecotox data'!M129&lt;='Model info'!$E$21),1,0)</f>
        <v>1</v>
      </c>
      <c r="X139" s="171">
        <f>IF(COUNTIF('Model info'!$H$18:$H$24,'Ecotox data'!B129)=1,7,IF(COUNTIF('Model info'!$J$18:$J$24,'Ecotox data'!C129)=1,6,IF(COUNTIF('Model info'!$K$18:$K$24,'Ecotox data'!D129)=1,5,IF(COUNTIF('Model info'!$L$2:$L$24,'Ecotox data'!E129)=1,4,IF(COUNTIF('Model info'!$M$18:$M$24,'Ecotox data'!F129)=1,3,IF(COUNTIF('Model info'!$N$18:$N$24,'Ecotox data'!G129)=1,2,IF(COUNTIF('Model info'!$O$18:$O$24,'Ecotox data'!H129)=1,1,0)))))))</f>
        <v>7</v>
      </c>
      <c r="Y139" s="177">
        <f t="shared" si="13"/>
        <v>8</v>
      </c>
    </row>
    <row r="140" spans="5:25">
      <c r="E140" s="29">
        <v>122</v>
      </c>
      <c r="F140" s="262" t="s">
        <v>54</v>
      </c>
      <c r="G140" s="27">
        <f>IF(AND('Ecotox data'!P130&gt;='Model info'!$C$4,'Ecotox data'!P130&lt;='Model info'!$C$5),1,0)</f>
        <v>1</v>
      </c>
      <c r="H140" s="163">
        <f>IF(COUNTIF('Model info'!$H$4:$H$10,'Ecotox data'!B130)=1,7,IF(COUNTIF('Model info'!$J$4:$J$10,'Ecotox data'!C130)=1,6,IF(COUNTIF('Model info'!$K$4:$K$10,'Ecotox data'!D130)=1,5,IF(COUNTIF('Model info'!$L$4:$L$10,'Ecotox data'!E130)=1,4,IF(COUNTIF('Model info'!$M$4:$M$10,'Ecotox data'!F130)=1,3,IF(COUNTIF('Model info'!$N$4:$N$10,'Ecotox data'!G130)=1,2,IF(COUNTIF('Model info'!$O$4:$O$10,'Ecotox data'!H130)=1,1,0)))))))</f>
        <v>0</v>
      </c>
      <c r="I140" s="176">
        <f t="shared" si="9"/>
        <v>1</v>
      </c>
      <c r="J140" s="35"/>
      <c r="K140" s="27">
        <f>IF(AND('Ecotox data'!U130&gt;='Model info'!$D$8,'Ecotox data'!U130&lt;='Model info'!$D$9),1,0)</f>
        <v>1</v>
      </c>
      <c r="L140" s="171">
        <f>IF(COUNTIF('Model info'!$H$12,'Ecotox data'!B130)=1,7,IF(COUNTIF('Model info'!$J$12,'Ecotox data'!C130)=1,6,IF(COUNTIF('Model info'!$K$12,'Ecotox data'!D130)=1,5,IF(COUNTIF('Model info'!$L$12,'Ecotox data'!E130)=1,4,IF(COUNTIF('Model info'!$M$12,'Ecotox data'!F130)=1,3,IF(COUNTIF('Model info'!$N$12,'Ecotox data'!G130)=1,2,IF(COUNTIF('Model info'!$O$12,'Ecotox data'!H130)=1,1,0)))))))</f>
        <v>7</v>
      </c>
      <c r="M140" s="177">
        <f t="shared" si="10"/>
        <v>8</v>
      </c>
      <c r="N140" s="35"/>
      <c r="O140" s="27">
        <f>IF(AND('Ecotox data'!M130&gt;='Model info'!$E$12,'Ecotox data'!M130&lt;='Model info'!$E$13),1,0)</f>
        <v>1</v>
      </c>
      <c r="P140" s="165">
        <f>IF(COUNTIF('Model info'!$H$14,'Ecotox data'!B130)=1,7,IF(COUNTIF('Model info'!$J$14,'Ecotox data'!C130)=1,6,IF(COUNTIF('Model info'!$K$14,'Ecotox data'!D130)=1,5,IF(COUNTIF('Model info'!$L$14,'Ecotox data'!E130)=1,4,IF(COUNTIF('Model info'!$M$14,'Ecotox data'!F130)=1,3,IF(COUNTIF('Model info'!$N$14,'Ecotox data'!G130)=1,2,IF(COUNTIF('Model info'!$O$14,'Ecotox data'!H130)=1,1,0)))))))</f>
        <v>0</v>
      </c>
      <c r="Q140" s="176">
        <f t="shared" si="11"/>
        <v>1</v>
      </c>
      <c r="R140" s="35"/>
      <c r="S140" s="27">
        <f>IF(AND('Ecotox data'!P130&gt;='Model info'!$C$16,'Ecotox data'!P130&lt;='Model info'!$C$17,'Ecotox data'!U130&gt;='Model info'!$D$16,'Ecotox data'!U130&lt;='Model info'!$D$17,'Ecotox data'!M130&gt;='Model info'!$E$16,'Ecotox data'!M130&lt;='Model info'!$E$17),1,0)</f>
        <v>1</v>
      </c>
      <c r="T140" s="165">
        <f>IF(COUNTIF('Model info'!$H$16,'Ecotox data'!B130)=1,7,IF(COUNTIF('Model info'!$J$16,'Ecotox data'!C130)=1,6,IF(COUNTIF('Model info'!$K$16,'Ecotox data'!D130)=1,5,IF(COUNTIF('Model info'!$L$16,'Ecotox data'!E130)=1,4,IF(COUNTIF('Model info'!$M$16,'Ecotox data'!F130)=1,3,IF(COUNTIF('Model info'!$N$16,'Ecotox data'!G130)=1,2,IF(COUNTIF('Model info'!$O$16,'Ecotox data'!H130)=1,1,0)))))))</f>
        <v>0</v>
      </c>
      <c r="U140" s="176">
        <f t="shared" si="12"/>
        <v>1</v>
      </c>
      <c r="V140" s="35"/>
      <c r="W140" s="27">
        <f>IF(AND('Ecotox data'!P130&gt;='Model info'!$C$20,'Ecotox data'!P130&lt;='Model info'!$C$21,'Ecotox data'!U130&gt;='Model info'!$D$20,'Ecotox data'!U130&lt;='Model info'!$D$21,'Ecotox data'!M130&gt;='Model info'!$E$20,'Ecotox data'!M130&lt;='Model info'!$E$21),1,0)</f>
        <v>1</v>
      </c>
      <c r="X140" s="171">
        <f>IF(COUNTIF('Model info'!$H$18:$H$24,'Ecotox data'!B130)=1,7,IF(COUNTIF('Model info'!$J$18:$J$24,'Ecotox data'!C130)=1,6,IF(COUNTIF('Model info'!$K$18:$K$24,'Ecotox data'!D130)=1,5,IF(COUNTIF('Model info'!$L$2:$L$24,'Ecotox data'!E130)=1,4,IF(COUNTIF('Model info'!$M$18:$M$24,'Ecotox data'!F130)=1,3,IF(COUNTIF('Model info'!$N$18:$N$24,'Ecotox data'!G130)=1,2,IF(COUNTIF('Model info'!$O$18:$O$24,'Ecotox data'!H130)=1,1,0)))))))</f>
        <v>7</v>
      </c>
      <c r="Y140" s="177">
        <f t="shared" si="13"/>
        <v>8</v>
      </c>
    </row>
    <row r="141" spans="5:25">
      <c r="E141" s="29">
        <v>123</v>
      </c>
      <c r="F141" s="262" t="s">
        <v>54</v>
      </c>
      <c r="G141" s="27">
        <f>IF(AND('Ecotox data'!P131&gt;='Model info'!$C$4,'Ecotox data'!P131&lt;='Model info'!$C$5),1,0)</f>
        <v>1</v>
      </c>
      <c r="H141" s="163">
        <f>IF(COUNTIF('Model info'!$H$4:$H$10,'Ecotox data'!B131)=1,7,IF(COUNTIF('Model info'!$J$4:$J$10,'Ecotox data'!C131)=1,6,IF(COUNTIF('Model info'!$K$4:$K$10,'Ecotox data'!D131)=1,5,IF(COUNTIF('Model info'!$L$4:$L$10,'Ecotox data'!E131)=1,4,IF(COUNTIF('Model info'!$M$4:$M$10,'Ecotox data'!F131)=1,3,IF(COUNTIF('Model info'!$N$4:$N$10,'Ecotox data'!G131)=1,2,IF(COUNTIF('Model info'!$O$4:$O$10,'Ecotox data'!H131)=1,1,0)))))))</f>
        <v>0</v>
      </c>
      <c r="I141" s="176">
        <f t="shared" si="9"/>
        <v>1</v>
      </c>
      <c r="J141" s="35"/>
      <c r="K141" s="27">
        <f>IF(AND('Ecotox data'!U131&gt;='Model info'!$D$8,'Ecotox data'!U131&lt;='Model info'!$D$9),1,0)</f>
        <v>1</v>
      </c>
      <c r="L141" s="171">
        <f>IF(COUNTIF('Model info'!$H$12,'Ecotox data'!B131)=1,7,IF(COUNTIF('Model info'!$J$12,'Ecotox data'!C131)=1,6,IF(COUNTIF('Model info'!$K$12,'Ecotox data'!D131)=1,5,IF(COUNTIF('Model info'!$L$12,'Ecotox data'!E131)=1,4,IF(COUNTIF('Model info'!$M$12,'Ecotox data'!F131)=1,3,IF(COUNTIF('Model info'!$N$12,'Ecotox data'!G131)=1,2,IF(COUNTIF('Model info'!$O$12,'Ecotox data'!H131)=1,1,0)))))))</f>
        <v>7</v>
      </c>
      <c r="M141" s="177">
        <f t="shared" si="10"/>
        <v>8</v>
      </c>
      <c r="N141" s="35"/>
      <c r="O141" s="27">
        <f>IF(AND('Ecotox data'!M131&gt;='Model info'!$E$12,'Ecotox data'!M131&lt;='Model info'!$E$13),1,0)</f>
        <v>1</v>
      </c>
      <c r="P141" s="165">
        <f>IF(COUNTIF('Model info'!$H$14,'Ecotox data'!B131)=1,7,IF(COUNTIF('Model info'!$J$14,'Ecotox data'!C131)=1,6,IF(COUNTIF('Model info'!$K$14,'Ecotox data'!D131)=1,5,IF(COUNTIF('Model info'!$L$14,'Ecotox data'!E131)=1,4,IF(COUNTIF('Model info'!$M$14,'Ecotox data'!F131)=1,3,IF(COUNTIF('Model info'!$N$14,'Ecotox data'!G131)=1,2,IF(COUNTIF('Model info'!$O$14,'Ecotox data'!H131)=1,1,0)))))))</f>
        <v>0</v>
      </c>
      <c r="Q141" s="176">
        <f t="shared" si="11"/>
        <v>1</v>
      </c>
      <c r="R141" s="35"/>
      <c r="S141" s="27">
        <f>IF(AND('Ecotox data'!P131&gt;='Model info'!$C$16,'Ecotox data'!P131&lt;='Model info'!$C$17,'Ecotox data'!U131&gt;='Model info'!$D$16,'Ecotox data'!U131&lt;='Model info'!$D$17,'Ecotox data'!M131&gt;='Model info'!$E$16,'Ecotox data'!M131&lt;='Model info'!$E$17),1,0)</f>
        <v>1</v>
      </c>
      <c r="T141" s="165">
        <f>IF(COUNTIF('Model info'!$H$16,'Ecotox data'!B131)=1,7,IF(COUNTIF('Model info'!$J$16,'Ecotox data'!C131)=1,6,IF(COUNTIF('Model info'!$K$16,'Ecotox data'!D131)=1,5,IF(COUNTIF('Model info'!$L$16,'Ecotox data'!E131)=1,4,IF(COUNTIF('Model info'!$M$16,'Ecotox data'!F131)=1,3,IF(COUNTIF('Model info'!$N$16,'Ecotox data'!G131)=1,2,IF(COUNTIF('Model info'!$O$16,'Ecotox data'!H131)=1,1,0)))))))</f>
        <v>0</v>
      </c>
      <c r="U141" s="176">
        <f t="shared" si="12"/>
        <v>1</v>
      </c>
      <c r="V141" s="35"/>
      <c r="W141" s="27">
        <f>IF(AND('Ecotox data'!P131&gt;='Model info'!$C$20,'Ecotox data'!P131&lt;='Model info'!$C$21,'Ecotox data'!U131&gt;='Model info'!$D$20,'Ecotox data'!U131&lt;='Model info'!$D$21,'Ecotox data'!M131&gt;='Model info'!$E$20,'Ecotox data'!M131&lt;='Model info'!$E$21),1,0)</f>
        <v>1</v>
      </c>
      <c r="X141" s="171">
        <f>IF(COUNTIF('Model info'!$H$18:$H$24,'Ecotox data'!B131)=1,7,IF(COUNTIF('Model info'!$J$18:$J$24,'Ecotox data'!C131)=1,6,IF(COUNTIF('Model info'!$K$18:$K$24,'Ecotox data'!D131)=1,5,IF(COUNTIF('Model info'!$L$2:$L$24,'Ecotox data'!E131)=1,4,IF(COUNTIF('Model info'!$M$18:$M$24,'Ecotox data'!F131)=1,3,IF(COUNTIF('Model info'!$N$18:$N$24,'Ecotox data'!G131)=1,2,IF(COUNTIF('Model info'!$O$18:$O$24,'Ecotox data'!H131)=1,1,0)))))))</f>
        <v>7</v>
      </c>
      <c r="Y141" s="177">
        <f t="shared" si="13"/>
        <v>8</v>
      </c>
    </row>
    <row r="142" spans="5:25">
      <c r="E142" s="29">
        <v>124</v>
      </c>
      <c r="F142" s="262" t="s">
        <v>54</v>
      </c>
      <c r="G142" s="27">
        <f>IF(AND('Ecotox data'!P132&gt;='Model info'!$C$4,'Ecotox data'!P132&lt;='Model info'!$C$5),1,0)</f>
        <v>1</v>
      </c>
      <c r="H142" s="163">
        <f>IF(COUNTIF('Model info'!$H$4:$H$10,'Ecotox data'!B132)=1,7,IF(COUNTIF('Model info'!$J$4:$J$10,'Ecotox data'!C132)=1,6,IF(COUNTIF('Model info'!$K$4:$K$10,'Ecotox data'!D132)=1,5,IF(COUNTIF('Model info'!$L$4:$L$10,'Ecotox data'!E132)=1,4,IF(COUNTIF('Model info'!$M$4:$M$10,'Ecotox data'!F132)=1,3,IF(COUNTIF('Model info'!$N$4:$N$10,'Ecotox data'!G132)=1,2,IF(COUNTIF('Model info'!$O$4:$O$10,'Ecotox data'!H132)=1,1,0)))))))</f>
        <v>0</v>
      </c>
      <c r="I142" s="176">
        <f t="shared" si="9"/>
        <v>1</v>
      </c>
      <c r="J142" s="35"/>
      <c r="K142" s="27">
        <f>IF(AND('Ecotox data'!U132&gt;='Model info'!$D$8,'Ecotox data'!U132&lt;='Model info'!$D$9),1,0)</f>
        <v>1</v>
      </c>
      <c r="L142" s="171">
        <f>IF(COUNTIF('Model info'!$H$12,'Ecotox data'!B132)=1,7,IF(COUNTIF('Model info'!$J$12,'Ecotox data'!C132)=1,6,IF(COUNTIF('Model info'!$K$12,'Ecotox data'!D132)=1,5,IF(COUNTIF('Model info'!$L$12,'Ecotox data'!E132)=1,4,IF(COUNTIF('Model info'!$M$12,'Ecotox data'!F132)=1,3,IF(COUNTIF('Model info'!$N$12,'Ecotox data'!G132)=1,2,IF(COUNTIF('Model info'!$O$12,'Ecotox data'!H132)=1,1,0)))))))</f>
        <v>7</v>
      </c>
      <c r="M142" s="177">
        <f t="shared" si="10"/>
        <v>8</v>
      </c>
      <c r="N142" s="35"/>
      <c r="O142" s="27">
        <f>IF(AND('Ecotox data'!M132&gt;='Model info'!$E$12,'Ecotox data'!M132&lt;='Model info'!$E$13),1,0)</f>
        <v>1</v>
      </c>
      <c r="P142" s="165">
        <f>IF(COUNTIF('Model info'!$H$14,'Ecotox data'!B132)=1,7,IF(COUNTIF('Model info'!$J$14,'Ecotox data'!C132)=1,6,IF(COUNTIF('Model info'!$K$14,'Ecotox data'!D132)=1,5,IF(COUNTIF('Model info'!$L$14,'Ecotox data'!E132)=1,4,IF(COUNTIF('Model info'!$M$14,'Ecotox data'!F132)=1,3,IF(COUNTIF('Model info'!$N$14,'Ecotox data'!G132)=1,2,IF(COUNTIF('Model info'!$O$14,'Ecotox data'!H132)=1,1,0)))))))</f>
        <v>0</v>
      </c>
      <c r="Q142" s="176">
        <f t="shared" si="11"/>
        <v>1</v>
      </c>
      <c r="R142" s="35"/>
      <c r="S142" s="27">
        <f>IF(AND('Ecotox data'!P132&gt;='Model info'!$C$16,'Ecotox data'!P132&lt;='Model info'!$C$17,'Ecotox data'!U132&gt;='Model info'!$D$16,'Ecotox data'!U132&lt;='Model info'!$D$17,'Ecotox data'!M132&gt;='Model info'!$E$16,'Ecotox data'!M132&lt;='Model info'!$E$17),1,0)</f>
        <v>1</v>
      </c>
      <c r="T142" s="165">
        <f>IF(COUNTIF('Model info'!$H$16,'Ecotox data'!B132)=1,7,IF(COUNTIF('Model info'!$J$16,'Ecotox data'!C132)=1,6,IF(COUNTIF('Model info'!$K$16,'Ecotox data'!D132)=1,5,IF(COUNTIF('Model info'!$L$16,'Ecotox data'!E132)=1,4,IF(COUNTIF('Model info'!$M$16,'Ecotox data'!F132)=1,3,IF(COUNTIF('Model info'!$N$16,'Ecotox data'!G132)=1,2,IF(COUNTIF('Model info'!$O$16,'Ecotox data'!H132)=1,1,0)))))))</f>
        <v>0</v>
      </c>
      <c r="U142" s="176">
        <f t="shared" si="12"/>
        <v>1</v>
      </c>
      <c r="V142" s="35"/>
      <c r="W142" s="27">
        <f>IF(AND('Ecotox data'!P132&gt;='Model info'!$C$20,'Ecotox data'!P132&lt;='Model info'!$C$21,'Ecotox data'!U132&gt;='Model info'!$D$20,'Ecotox data'!U132&lt;='Model info'!$D$21,'Ecotox data'!M132&gt;='Model info'!$E$20,'Ecotox data'!M132&lt;='Model info'!$E$21),1,0)</f>
        <v>1</v>
      </c>
      <c r="X142" s="171">
        <f>IF(COUNTIF('Model info'!$H$18:$H$24,'Ecotox data'!B132)=1,7,IF(COUNTIF('Model info'!$J$18:$J$24,'Ecotox data'!C132)=1,6,IF(COUNTIF('Model info'!$K$18:$K$24,'Ecotox data'!D132)=1,5,IF(COUNTIF('Model info'!$L$2:$L$24,'Ecotox data'!E132)=1,4,IF(COUNTIF('Model info'!$M$18:$M$24,'Ecotox data'!F132)=1,3,IF(COUNTIF('Model info'!$N$18:$N$24,'Ecotox data'!G132)=1,2,IF(COUNTIF('Model info'!$O$18:$O$24,'Ecotox data'!H132)=1,1,0)))))))</f>
        <v>7</v>
      </c>
      <c r="Y142" s="177">
        <f t="shared" si="13"/>
        <v>8</v>
      </c>
    </row>
    <row r="143" spans="5:25">
      <c r="E143" s="29">
        <v>125</v>
      </c>
      <c r="F143" s="262" t="s">
        <v>54</v>
      </c>
      <c r="G143" s="27">
        <f>IF(AND('Ecotox data'!P133&gt;='Model info'!$C$4,'Ecotox data'!P133&lt;='Model info'!$C$5),1,0)</f>
        <v>1</v>
      </c>
      <c r="H143" s="163">
        <f>IF(COUNTIF('Model info'!$H$4:$H$10,'Ecotox data'!B133)=1,7,IF(COUNTIF('Model info'!$J$4:$J$10,'Ecotox data'!C133)=1,6,IF(COUNTIF('Model info'!$K$4:$K$10,'Ecotox data'!D133)=1,5,IF(COUNTIF('Model info'!$L$4:$L$10,'Ecotox data'!E133)=1,4,IF(COUNTIF('Model info'!$M$4:$M$10,'Ecotox data'!F133)=1,3,IF(COUNTIF('Model info'!$N$4:$N$10,'Ecotox data'!G133)=1,2,IF(COUNTIF('Model info'!$O$4:$O$10,'Ecotox data'!H133)=1,1,0)))))))</f>
        <v>0</v>
      </c>
      <c r="I143" s="176">
        <f t="shared" si="9"/>
        <v>1</v>
      </c>
      <c r="J143" s="35"/>
      <c r="K143" s="27">
        <f>IF(AND('Ecotox data'!U133&gt;='Model info'!$D$8,'Ecotox data'!U133&lt;='Model info'!$D$9),1,0)</f>
        <v>1</v>
      </c>
      <c r="L143" s="171">
        <f>IF(COUNTIF('Model info'!$H$12,'Ecotox data'!B133)=1,7,IF(COUNTIF('Model info'!$J$12,'Ecotox data'!C133)=1,6,IF(COUNTIF('Model info'!$K$12,'Ecotox data'!D133)=1,5,IF(COUNTIF('Model info'!$L$12,'Ecotox data'!E133)=1,4,IF(COUNTIF('Model info'!$M$12,'Ecotox data'!F133)=1,3,IF(COUNTIF('Model info'!$N$12,'Ecotox data'!G133)=1,2,IF(COUNTIF('Model info'!$O$12,'Ecotox data'!H133)=1,1,0)))))))</f>
        <v>7</v>
      </c>
      <c r="M143" s="177">
        <f t="shared" si="10"/>
        <v>8</v>
      </c>
      <c r="N143" s="35"/>
      <c r="O143" s="27">
        <f>IF(AND('Ecotox data'!M133&gt;='Model info'!$E$12,'Ecotox data'!M133&lt;='Model info'!$E$13),1,0)</f>
        <v>1</v>
      </c>
      <c r="P143" s="165">
        <f>IF(COUNTIF('Model info'!$H$14,'Ecotox data'!B133)=1,7,IF(COUNTIF('Model info'!$J$14,'Ecotox data'!C133)=1,6,IF(COUNTIF('Model info'!$K$14,'Ecotox data'!D133)=1,5,IF(COUNTIF('Model info'!$L$14,'Ecotox data'!E133)=1,4,IF(COUNTIF('Model info'!$M$14,'Ecotox data'!F133)=1,3,IF(COUNTIF('Model info'!$N$14,'Ecotox data'!G133)=1,2,IF(COUNTIF('Model info'!$O$14,'Ecotox data'!H133)=1,1,0)))))))</f>
        <v>0</v>
      </c>
      <c r="Q143" s="176">
        <f t="shared" si="11"/>
        <v>1</v>
      </c>
      <c r="R143" s="35"/>
      <c r="S143" s="27">
        <f>IF(AND('Ecotox data'!P133&gt;='Model info'!$C$16,'Ecotox data'!P133&lt;='Model info'!$C$17,'Ecotox data'!U133&gt;='Model info'!$D$16,'Ecotox data'!U133&lt;='Model info'!$D$17,'Ecotox data'!M133&gt;='Model info'!$E$16,'Ecotox data'!M133&lt;='Model info'!$E$17),1,0)</f>
        <v>1</v>
      </c>
      <c r="T143" s="165">
        <f>IF(COUNTIF('Model info'!$H$16,'Ecotox data'!B133)=1,7,IF(COUNTIF('Model info'!$J$16,'Ecotox data'!C133)=1,6,IF(COUNTIF('Model info'!$K$16,'Ecotox data'!D133)=1,5,IF(COUNTIF('Model info'!$L$16,'Ecotox data'!E133)=1,4,IF(COUNTIF('Model info'!$M$16,'Ecotox data'!F133)=1,3,IF(COUNTIF('Model info'!$N$16,'Ecotox data'!G133)=1,2,IF(COUNTIF('Model info'!$O$16,'Ecotox data'!H133)=1,1,0)))))))</f>
        <v>0</v>
      </c>
      <c r="U143" s="176">
        <f t="shared" si="12"/>
        <v>1</v>
      </c>
      <c r="V143" s="35"/>
      <c r="W143" s="27">
        <f>IF(AND('Ecotox data'!P133&gt;='Model info'!$C$20,'Ecotox data'!P133&lt;='Model info'!$C$21,'Ecotox data'!U133&gt;='Model info'!$D$20,'Ecotox data'!U133&lt;='Model info'!$D$21,'Ecotox data'!M133&gt;='Model info'!$E$20,'Ecotox data'!M133&lt;='Model info'!$E$21),1,0)</f>
        <v>1</v>
      </c>
      <c r="X143" s="171">
        <f>IF(COUNTIF('Model info'!$H$18:$H$24,'Ecotox data'!B133)=1,7,IF(COUNTIF('Model info'!$J$18:$J$24,'Ecotox data'!C133)=1,6,IF(COUNTIF('Model info'!$K$18:$K$24,'Ecotox data'!D133)=1,5,IF(COUNTIF('Model info'!$L$2:$L$24,'Ecotox data'!E133)=1,4,IF(COUNTIF('Model info'!$M$18:$M$24,'Ecotox data'!F133)=1,3,IF(COUNTIF('Model info'!$N$18:$N$24,'Ecotox data'!G133)=1,2,IF(COUNTIF('Model info'!$O$18:$O$24,'Ecotox data'!H133)=1,1,0)))))))</f>
        <v>7</v>
      </c>
      <c r="Y143" s="177">
        <f t="shared" si="13"/>
        <v>8</v>
      </c>
    </row>
    <row r="144" spans="5:25">
      <c r="E144" s="29">
        <v>126</v>
      </c>
      <c r="F144" s="262" t="s">
        <v>54</v>
      </c>
      <c r="G144" s="27">
        <f>IF(AND('Ecotox data'!P134&gt;='Model info'!$C$4,'Ecotox data'!P134&lt;='Model info'!$C$5),1,0)</f>
        <v>1</v>
      </c>
      <c r="H144" s="163">
        <f>IF(COUNTIF('Model info'!$H$4:$H$10,'Ecotox data'!B134)=1,7,IF(COUNTIF('Model info'!$J$4:$J$10,'Ecotox data'!C134)=1,6,IF(COUNTIF('Model info'!$K$4:$K$10,'Ecotox data'!D134)=1,5,IF(COUNTIF('Model info'!$L$4:$L$10,'Ecotox data'!E134)=1,4,IF(COUNTIF('Model info'!$M$4:$M$10,'Ecotox data'!F134)=1,3,IF(COUNTIF('Model info'!$N$4:$N$10,'Ecotox data'!G134)=1,2,IF(COUNTIF('Model info'!$O$4:$O$10,'Ecotox data'!H134)=1,1,0)))))))</f>
        <v>0</v>
      </c>
      <c r="I144" s="176">
        <f>SUM(G144:H144)</f>
        <v>1</v>
      </c>
      <c r="J144" s="35"/>
      <c r="K144" s="27">
        <f>IF(AND('Ecotox data'!U134&gt;='Model info'!$D$8,'Ecotox data'!U134&lt;='Model info'!$D$9),1,0)</f>
        <v>1</v>
      </c>
      <c r="L144" s="171">
        <f>IF(COUNTIF('Model info'!$H$12,'Ecotox data'!B134)=1,7,IF(COUNTIF('Model info'!$J$12,'Ecotox data'!C134)=1,6,IF(COUNTIF('Model info'!$K$12,'Ecotox data'!D134)=1,5,IF(COUNTIF('Model info'!$L$12,'Ecotox data'!E134)=1,4,IF(COUNTIF('Model info'!$M$12,'Ecotox data'!F134)=1,3,IF(COUNTIF('Model info'!$N$12,'Ecotox data'!G134)=1,2,IF(COUNTIF('Model info'!$O$12,'Ecotox data'!H134)=1,1,0)))))))</f>
        <v>7</v>
      </c>
      <c r="M144" s="177">
        <f t="shared" si="10"/>
        <v>8</v>
      </c>
      <c r="N144" s="35"/>
      <c r="O144" s="27">
        <f>IF(AND('Ecotox data'!M134&gt;='Model info'!$E$12,'Ecotox data'!M134&lt;='Model info'!$E$13),1,0)</f>
        <v>1</v>
      </c>
      <c r="P144" s="165">
        <f>IF(COUNTIF('Model info'!$H$14,'Ecotox data'!B134)=1,7,IF(COUNTIF('Model info'!$J$14,'Ecotox data'!C134)=1,6,IF(COUNTIF('Model info'!$K$14,'Ecotox data'!D134)=1,5,IF(COUNTIF('Model info'!$L$14,'Ecotox data'!E134)=1,4,IF(COUNTIF('Model info'!$M$14,'Ecotox data'!F134)=1,3,IF(COUNTIF('Model info'!$N$14,'Ecotox data'!G134)=1,2,IF(COUNTIF('Model info'!$O$14,'Ecotox data'!H134)=1,1,0)))))))</f>
        <v>0</v>
      </c>
      <c r="Q144" s="176">
        <f t="shared" si="11"/>
        <v>1</v>
      </c>
      <c r="R144" s="35"/>
      <c r="S144" s="27">
        <f>IF(AND('Ecotox data'!P134&gt;='Model info'!$C$16,'Ecotox data'!P134&lt;='Model info'!$C$17,'Ecotox data'!U134&gt;='Model info'!$D$16,'Ecotox data'!U134&lt;='Model info'!$D$17,'Ecotox data'!M134&gt;='Model info'!$E$16,'Ecotox data'!M134&lt;='Model info'!$E$17),1,0)</f>
        <v>1</v>
      </c>
      <c r="T144" s="165">
        <f>IF(COUNTIF('Model info'!$H$16,'Ecotox data'!B134)=1,7,IF(COUNTIF('Model info'!$J$16,'Ecotox data'!C134)=1,6,IF(COUNTIF('Model info'!$K$16,'Ecotox data'!D134)=1,5,IF(COUNTIF('Model info'!$L$16,'Ecotox data'!E134)=1,4,IF(COUNTIF('Model info'!$M$16,'Ecotox data'!F134)=1,3,IF(COUNTIF('Model info'!$N$16,'Ecotox data'!G134)=1,2,IF(COUNTIF('Model info'!$O$16,'Ecotox data'!H134)=1,1,0)))))))</f>
        <v>0</v>
      </c>
      <c r="U144" s="176">
        <f t="shared" si="12"/>
        <v>1</v>
      </c>
      <c r="V144" s="35"/>
      <c r="W144" s="27">
        <f>IF(AND('Ecotox data'!P134&gt;='Model info'!$C$20,'Ecotox data'!P134&lt;='Model info'!$C$21,'Ecotox data'!U134&gt;='Model info'!$D$20,'Ecotox data'!U134&lt;='Model info'!$D$21,'Ecotox data'!M134&gt;='Model info'!$E$20,'Ecotox data'!M134&lt;='Model info'!$E$21),1,0)</f>
        <v>1</v>
      </c>
      <c r="X144" s="171">
        <f>IF(COUNTIF('Model info'!$H$18:$H$24,'Ecotox data'!B134)=1,7,IF(COUNTIF('Model info'!$J$18:$J$24,'Ecotox data'!C134)=1,6,IF(COUNTIF('Model info'!$K$18:$K$24,'Ecotox data'!D134)=1,5,IF(COUNTIF('Model info'!$L$2:$L$24,'Ecotox data'!E134)=1,4,IF(COUNTIF('Model info'!$M$18:$M$24,'Ecotox data'!F134)=1,3,IF(COUNTIF('Model info'!$N$18:$N$24,'Ecotox data'!G134)=1,2,IF(COUNTIF('Model info'!$O$18:$O$24,'Ecotox data'!H134)=1,1,0)))))))</f>
        <v>7</v>
      </c>
      <c r="Y144" s="177">
        <f t="shared" si="13"/>
        <v>8</v>
      </c>
    </row>
    <row r="145" spans="5:25">
      <c r="E145" s="29">
        <v>127</v>
      </c>
      <c r="F145" s="262" t="s">
        <v>54</v>
      </c>
      <c r="G145" s="27">
        <f>IF(AND('Ecotox data'!P135&gt;='Model info'!$C$4,'Ecotox data'!P135&lt;='Model info'!$C$5),1,0)</f>
        <v>1</v>
      </c>
      <c r="H145" s="163">
        <f>IF(COUNTIF('Model info'!$H$4:$H$10,'Ecotox data'!B135)=1,7,IF(COUNTIF('Model info'!$J$4:$J$10,'Ecotox data'!C135)=1,6,IF(COUNTIF('Model info'!$K$4:$K$10,'Ecotox data'!D135)=1,5,IF(COUNTIF('Model info'!$L$4:$L$10,'Ecotox data'!E135)=1,4,IF(COUNTIF('Model info'!$M$4:$M$10,'Ecotox data'!F135)=1,3,IF(COUNTIF('Model info'!$N$4:$N$10,'Ecotox data'!G135)=1,2,IF(COUNTIF('Model info'!$O$4:$O$10,'Ecotox data'!H135)=1,1,0)))))))</f>
        <v>0</v>
      </c>
      <c r="I145" s="176">
        <f>SUM(G145:H145)</f>
        <v>1</v>
      </c>
      <c r="J145" s="35"/>
      <c r="K145" s="129">
        <f>IF(AND('Ecotox data'!U135&gt;='Model info'!$D$8,'Ecotox data'!U135&lt;='Model info'!$D$9),1,0)</f>
        <v>0</v>
      </c>
      <c r="L145" s="171">
        <f>IF(COUNTIF('Model info'!$H$12,'Ecotox data'!B135)=1,7,IF(COUNTIF('Model info'!$J$12,'Ecotox data'!C135)=1,6,IF(COUNTIF('Model info'!$K$12,'Ecotox data'!D135)=1,5,IF(COUNTIF('Model info'!$L$12,'Ecotox data'!E135)=1,4,IF(COUNTIF('Model info'!$M$12,'Ecotox data'!F135)=1,3,IF(COUNTIF('Model info'!$N$12,'Ecotox data'!G135)=1,2,IF(COUNTIF('Model info'!$O$12,'Ecotox data'!H135)=1,1,0)))))))</f>
        <v>7</v>
      </c>
      <c r="M145" s="177">
        <f t="shared" si="10"/>
        <v>7</v>
      </c>
      <c r="N145" s="35"/>
      <c r="O145" s="27">
        <f>IF(AND('Ecotox data'!M135&gt;='Model info'!$E$12,'Ecotox data'!M135&lt;='Model info'!$E$13),1,0)</f>
        <v>1</v>
      </c>
      <c r="P145" s="165">
        <f>IF(COUNTIF('Model info'!$H$14,'Ecotox data'!B135)=1,7,IF(COUNTIF('Model info'!$J$14,'Ecotox data'!C135)=1,6,IF(COUNTIF('Model info'!$K$14,'Ecotox data'!D135)=1,5,IF(COUNTIF('Model info'!$L$14,'Ecotox data'!E135)=1,4,IF(COUNTIF('Model info'!$M$14,'Ecotox data'!F135)=1,3,IF(COUNTIF('Model info'!$N$14,'Ecotox data'!G135)=1,2,IF(COUNTIF('Model info'!$O$14,'Ecotox data'!H135)=1,1,0)))))))</f>
        <v>0</v>
      </c>
      <c r="Q145" s="176">
        <f t="shared" si="11"/>
        <v>1</v>
      </c>
      <c r="R145" s="35"/>
      <c r="S145" s="27">
        <f>IF(AND('Ecotox data'!P135&gt;='Model info'!$C$16,'Ecotox data'!P135&lt;='Model info'!$C$17,'Ecotox data'!U135&gt;='Model info'!$D$16,'Ecotox data'!U135&lt;='Model info'!$D$17,'Ecotox data'!M135&gt;='Model info'!$E$16,'Ecotox data'!M135&lt;='Model info'!$E$17),1,0)</f>
        <v>1</v>
      </c>
      <c r="T145" s="165">
        <f>IF(COUNTIF('Model info'!$H$16,'Ecotox data'!B135)=1,7,IF(COUNTIF('Model info'!$J$16,'Ecotox data'!C135)=1,6,IF(COUNTIF('Model info'!$K$16,'Ecotox data'!D135)=1,5,IF(COUNTIF('Model info'!$L$16,'Ecotox data'!E135)=1,4,IF(COUNTIF('Model info'!$M$16,'Ecotox data'!F135)=1,3,IF(COUNTIF('Model info'!$N$16,'Ecotox data'!G135)=1,2,IF(COUNTIF('Model info'!$O$16,'Ecotox data'!H135)=1,1,0)))))))</f>
        <v>0</v>
      </c>
      <c r="U145" s="176">
        <f t="shared" si="12"/>
        <v>1</v>
      </c>
      <c r="V145" s="35"/>
      <c r="W145" s="27">
        <f>IF(AND('Ecotox data'!P135&gt;='Model info'!$C$20,'Ecotox data'!P135&lt;='Model info'!$C$21,'Ecotox data'!U135&gt;='Model info'!$D$20,'Ecotox data'!U135&lt;='Model info'!$D$21,'Ecotox data'!M135&gt;='Model info'!$E$20,'Ecotox data'!M135&lt;='Model info'!$E$21),1,0)</f>
        <v>1</v>
      </c>
      <c r="X145" s="171">
        <f>IF(COUNTIF('Model info'!$H$18:$H$24,'Ecotox data'!B135)=1,7,IF(COUNTIF('Model info'!$J$18:$J$24,'Ecotox data'!C135)=1,6,IF(COUNTIF('Model info'!$K$18:$K$24,'Ecotox data'!D135)=1,5,IF(COUNTIF('Model info'!$L$2:$L$24,'Ecotox data'!E135)=1,4,IF(COUNTIF('Model info'!$M$18:$M$24,'Ecotox data'!F135)=1,3,IF(COUNTIF('Model info'!$N$18:$N$24,'Ecotox data'!G135)=1,2,IF(COUNTIF('Model info'!$O$18:$O$24,'Ecotox data'!H135)=1,1,0)))))))</f>
        <v>7</v>
      </c>
      <c r="Y145" s="177">
        <f t="shared" si="13"/>
        <v>8</v>
      </c>
    </row>
    <row r="146" spans="5:25" ht="17" thickBot="1">
      <c r="E146" s="29">
        <v>128</v>
      </c>
      <c r="F146" s="262" t="s">
        <v>54</v>
      </c>
      <c r="G146" s="27">
        <f>IF(AND('Ecotox data'!P136&gt;='Model info'!$C$4,'Ecotox data'!P136&lt;='Model info'!$C$5),1,0)</f>
        <v>1</v>
      </c>
      <c r="H146" s="163">
        <f>IF(COUNTIF('Model info'!$H$4:$H$10,'Ecotox data'!B136)=1,7,IF(COUNTIF('Model info'!$J$4:$J$10,'Ecotox data'!C136)=1,6,IF(COUNTIF('Model info'!$K$4:$K$10,'Ecotox data'!D136)=1,5,IF(COUNTIF('Model info'!$L$4:$L$10,'Ecotox data'!E136)=1,4,IF(COUNTIF('Model info'!$M$4:$M$10,'Ecotox data'!F136)=1,3,IF(COUNTIF('Model info'!$N$4:$N$10,'Ecotox data'!G136)=1,2,IF(COUNTIF('Model info'!$O$4:$O$10,'Ecotox data'!H136)=1,1,0)))))))</f>
        <v>0</v>
      </c>
      <c r="I146" s="176">
        <f>SUM(G146:H146)</f>
        <v>1</v>
      </c>
      <c r="J146" s="35"/>
      <c r="K146" s="27">
        <f>IF(AND('Ecotox data'!U136&gt;='Model info'!$D$8,'Ecotox data'!U136&lt;='Model info'!$D$9),1,0)</f>
        <v>1</v>
      </c>
      <c r="L146" s="171">
        <f>IF(COUNTIF('Model info'!$H$12,'Ecotox data'!B136)=1,7,IF(COUNTIF('Model info'!$J$12,'Ecotox data'!C136)=1,6,IF(COUNTIF('Model info'!$K$12,'Ecotox data'!D136)=1,5,IF(COUNTIF('Model info'!$L$12,'Ecotox data'!E136)=1,4,IF(COUNTIF('Model info'!$M$12,'Ecotox data'!F136)=1,3,IF(COUNTIF('Model info'!$N$12,'Ecotox data'!G136)=1,2,IF(COUNTIF('Model info'!$O$12,'Ecotox data'!H136)=1,1,0)))))))</f>
        <v>7</v>
      </c>
      <c r="M146" s="177">
        <f t="shared" si="10"/>
        <v>8</v>
      </c>
      <c r="N146" s="35"/>
      <c r="O146" s="130">
        <f>IF(AND('Ecotox data'!M136&gt;='Model info'!$E$12,'Ecotox data'!M136&lt;='Model info'!$E$13),1,0)</f>
        <v>1</v>
      </c>
      <c r="P146" s="166">
        <f>IF(COUNTIF('Model info'!$H$14,'Ecotox data'!B136)=1,7,IF(COUNTIF('Model info'!$J$14,'Ecotox data'!C136)=1,6,IF(COUNTIF('Model info'!$K$14,'Ecotox data'!D136)=1,5,IF(COUNTIF('Model info'!$L$14,'Ecotox data'!E136)=1,4,IF(COUNTIF('Model info'!$M$14,'Ecotox data'!F136)=1,3,IF(COUNTIF('Model info'!$N$14,'Ecotox data'!G136)=1,2,IF(COUNTIF('Model info'!$O$14,'Ecotox data'!H136)=1,1,0)))))))</f>
        <v>0</v>
      </c>
      <c r="Q146" s="176">
        <f t="shared" si="11"/>
        <v>1</v>
      </c>
      <c r="R146" s="35"/>
      <c r="S146" s="130">
        <f>IF(AND('Ecotox data'!P136&gt;='Model info'!$C$16,'Ecotox data'!P136&lt;='Model info'!$C$17,'Ecotox data'!U136&gt;='Model info'!$D$16,'Ecotox data'!U136&lt;='Model info'!$D$17,'Ecotox data'!M136&gt;='Model info'!$E$16,'Ecotox data'!M136&lt;='Model info'!$E$17),1,0)</f>
        <v>1</v>
      </c>
      <c r="T146" s="166">
        <f>IF(COUNTIF('Model info'!$H$16,'Ecotox data'!B136)=1,7,IF(COUNTIF('Model info'!$J$16,'Ecotox data'!C136)=1,6,IF(COUNTIF('Model info'!$K$16,'Ecotox data'!D136)=1,5,IF(COUNTIF('Model info'!$L$16,'Ecotox data'!E136)=1,4,IF(COUNTIF('Model info'!$M$16,'Ecotox data'!F136)=1,3,IF(COUNTIF('Model info'!$N$16,'Ecotox data'!G136)=1,2,IF(COUNTIF('Model info'!$O$16,'Ecotox data'!H136)=1,1,0)))))))</f>
        <v>0</v>
      </c>
      <c r="U146" s="176">
        <f t="shared" si="12"/>
        <v>1</v>
      </c>
      <c r="V146" s="35"/>
      <c r="W146" s="129">
        <f>IF(AND('Ecotox data'!P136&gt;='Model info'!$C$20,'Ecotox data'!P136&lt;='Model info'!$C$21,'Ecotox data'!U136&gt;='Model info'!$D$20,'Ecotox data'!U136&lt;='Model info'!$D$21,'Ecotox data'!M136&gt;='Model info'!$E$20,'Ecotox data'!M136&lt;='Model info'!$E$21),1,0)</f>
        <v>0</v>
      </c>
      <c r="X146" s="171">
        <f>IF(COUNTIF('Model info'!$H$18:$H$24,'Ecotox data'!B136)=1,7,IF(COUNTIF('Model info'!$J$18:$J$24,'Ecotox data'!C136)=1,6,IF(COUNTIF('Model info'!$K$18:$K$24,'Ecotox data'!D136)=1,5,IF(COUNTIF('Model info'!$L$2:$L$24,'Ecotox data'!E136)=1,4,IF(COUNTIF('Model info'!$M$18:$M$24,'Ecotox data'!F136)=1,3,IF(COUNTIF('Model info'!$N$18:$N$24,'Ecotox data'!G136)=1,2,IF(COUNTIF('Model info'!$O$18:$O$24,'Ecotox data'!H136)=1,1,0)))))))</f>
        <v>7</v>
      </c>
      <c r="Y146" s="177">
        <f t="shared" si="13"/>
        <v>7</v>
      </c>
    </row>
    <row r="147" spans="5:25">
      <c r="E147" s="5"/>
      <c r="F147" s="13"/>
      <c r="G147" s="302" t="s">
        <v>298</v>
      </c>
      <c r="H147" s="185" t="s">
        <v>212</v>
      </c>
      <c r="I147" s="49">
        <f>COUNT(I116:I146)</f>
        <v>31</v>
      </c>
      <c r="J147" s="35"/>
      <c r="K147" s="302" t="s">
        <v>298</v>
      </c>
      <c r="L147" s="185" t="s">
        <v>212</v>
      </c>
      <c r="M147" s="49">
        <f>COUNT(M116:M146)</f>
        <v>31</v>
      </c>
      <c r="N147" s="35"/>
      <c r="O147" s="302" t="s">
        <v>298</v>
      </c>
      <c r="P147" s="185" t="s">
        <v>212</v>
      </c>
      <c r="Q147" s="49">
        <f>COUNT(Q116:Q146)</f>
        <v>31</v>
      </c>
      <c r="R147" s="35"/>
      <c r="S147" s="302" t="s">
        <v>298</v>
      </c>
      <c r="T147" s="185" t="s">
        <v>212</v>
      </c>
      <c r="U147" s="49">
        <f>COUNT(U116:U146)</f>
        <v>31</v>
      </c>
      <c r="V147" s="35"/>
      <c r="W147" s="302" t="s">
        <v>298</v>
      </c>
      <c r="X147" s="185" t="s">
        <v>212</v>
      </c>
      <c r="Y147" s="49">
        <f>COUNT(Y116:Y146)</f>
        <v>31</v>
      </c>
    </row>
    <row r="148" spans="5:25">
      <c r="E148" s="5"/>
      <c r="F148" s="13"/>
      <c r="G148" s="303"/>
      <c r="H148" s="184" t="s">
        <v>209</v>
      </c>
      <c r="I148" s="188">
        <f>(SUM(COUNTIF(I116:I146,0),COUNTIF(I116:I146,1),COUNTIF(I116:I146,2)))</f>
        <v>31</v>
      </c>
      <c r="J148" s="35"/>
      <c r="K148" s="303"/>
      <c r="L148" s="184" t="s">
        <v>209</v>
      </c>
      <c r="M148" s="188">
        <f>(SUM(COUNTIF(M116:M146,0),COUNTIF(M116:M146,1),COUNTIF(M116:M146,2)))</f>
        <v>0</v>
      </c>
      <c r="N148" s="35"/>
      <c r="O148" s="303"/>
      <c r="P148" s="184" t="s">
        <v>209</v>
      </c>
      <c r="Q148" s="188">
        <f>(SUM(COUNTIF(Q116:Q146,0),COUNTIF(Q116:Q146,1),COUNTIF(Q116:Q146,2)))</f>
        <v>31</v>
      </c>
      <c r="R148" s="35"/>
      <c r="S148" s="303"/>
      <c r="T148" s="184" t="s">
        <v>209</v>
      </c>
      <c r="U148" s="188">
        <f>(SUM(COUNTIF(U116:U146,0),COUNTIF(U116:U146,1),COUNTIF(U116:U146,2)))</f>
        <v>31</v>
      </c>
      <c r="V148" s="35"/>
      <c r="W148" s="303"/>
      <c r="X148" s="184" t="s">
        <v>209</v>
      </c>
      <c r="Y148" s="188">
        <f>(SUM(COUNTIF(Y116:Y146,0),COUNTIF(Y116:Y146,1),COUNTIF(Y116:Y146,2)))</f>
        <v>0</v>
      </c>
    </row>
    <row r="149" spans="5:25">
      <c r="E149" s="5"/>
      <c r="F149" s="13"/>
      <c r="G149" s="303"/>
      <c r="H149" s="184" t="s">
        <v>210</v>
      </c>
      <c r="I149" s="189">
        <f>(SUM(COUNTIF(I116:I146,3),COUNTIF(I116:I146,4),COUNTIF(I116:I146,5)))</f>
        <v>0</v>
      </c>
      <c r="J149" s="35"/>
      <c r="K149" s="303"/>
      <c r="L149" s="184" t="s">
        <v>210</v>
      </c>
      <c r="M149" s="189">
        <f>(SUM(COUNTIF(M116:M146,3),COUNTIF(M116:M146,4),COUNTIF(M116:M146,5)))</f>
        <v>5</v>
      </c>
      <c r="N149" s="35"/>
      <c r="O149" s="303"/>
      <c r="P149" s="184" t="s">
        <v>210</v>
      </c>
      <c r="Q149" s="189">
        <f>(SUM(COUNTIF(Q116:Q146,3),COUNTIF(Q116:Q146,4),COUNTIF(Q116:Q146,5)))</f>
        <v>0</v>
      </c>
      <c r="R149" s="35"/>
      <c r="S149" s="303"/>
      <c r="T149" s="184" t="s">
        <v>210</v>
      </c>
      <c r="U149" s="189">
        <f>(SUM(COUNTIF(U116:U146,3),COUNTIF(U116:U146,4),COUNTIF(U116:U146,5)))</f>
        <v>0</v>
      </c>
      <c r="V149" s="35"/>
      <c r="W149" s="303"/>
      <c r="X149" s="184" t="s">
        <v>210</v>
      </c>
      <c r="Y149" s="189">
        <f>(SUM(COUNTIF(Y116:Y146,3),COUNTIF(Y116:Y146,4),COUNTIF(Y116:Y146,5)))</f>
        <v>5</v>
      </c>
    </row>
    <row r="150" spans="5:25" ht="17" thickBot="1">
      <c r="E150" s="5"/>
      <c r="F150" s="13"/>
      <c r="G150" s="304"/>
      <c r="H150" s="186" t="s">
        <v>211</v>
      </c>
      <c r="I150" s="190">
        <f>(SUM(COUNTIF(I116:I146,6),COUNTIF(I116:I146,7),COUNTIF(I116:I146,8)))</f>
        <v>0</v>
      </c>
      <c r="J150" s="35"/>
      <c r="K150" s="304"/>
      <c r="L150" s="186" t="s">
        <v>211</v>
      </c>
      <c r="M150" s="190">
        <f>(SUM(COUNTIF(M116:M146,6),COUNTIF(M116:M146,7),COUNTIF(M116:M146,8)))</f>
        <v>26</v>
      </c>
      <c r="N150" s="35"/>
      <c r="O150" s="304"/>
      <c r="P150" s="186" t="s">
        <v>211</v>
      </c>
      <c r="Q150" s="190">
        <f>(SUM(COUNTIF(Q116:Q146,6),COUNTIF(Q116:Q146,7),COUNTIF(Q116:Q146,8)))</f>
        <v>0</v>
      </c>
      <c r="R150" s="35"/>
      <c r="S150" s="304"/>
      <c r="T150" s="186" t="s">
        <v>211</v>
      </c>
      <c r="U150" s="190">
        <f>(SUM(COUNTIF(U116:U146,6),COUNTIF(U116:U146,7),COUNTIF(U116:U146,8)))</f>
        <v>0</v>
      </c>
      <c r="V150" s="35"/>
      <c r="W150" s="304"/>
      <c r="X150" s="186" t="s">
        <v>211</v>
      </c>
      <c r="Y150" s="190">
        <f>(SUM(COUNTIF(Y116:Y146,6),COUNTIF(Y116:Y146,7),COUNTIF(Y116:Y146,8)))</f>
        <v>26</v>
      </c>
    </row>
    <row r="151" spans="5:25">
      <c r="E151" s="5"/>
      <c r="F151" s="13"/>
      <c r="G151" s="32"/>
      <c r="H151" s="33" t="s">
        <v>73</v>
      </c>
      <c r="I151" s="41">
        <f>I150*H$1</f>
        <v>0</v>
      </c>
      <c r="K151" s="32"/>
      <c r="L151" s="33" t="s">
        <v>73</v>
      </c>
      <c r="M151" s="41">
        <f>M150*L$1</f>
        <v>8.58</v>
      </c>
      <c r="O151" s="32"/>
      <c r="P151" s="33" t="s">
        <v>73</v>
      </c>
      <c r="Q151" s="41">
        <f>Q150*P$1</f>
        <v>0</v>
      </c>
      <c r="S151" s="32"/>
      <c r="T151" s="33" t="s">
        <v>73</v>
      </c>
      <c r="U151" s="41">
        <f>U150*T$1</f>
        <v>0</v>
      </c>
      <c r="W151" s="32"/>
      <c r="X151" s="33" t="s">
        <v>73</v>
      </c>
      <c r="Y151" s="41">
        <f>Y150*X$1</f>
        <v>22.62</v>
      </c>
    </row>
    <row r="152" spans="5:25">
      <c r="E152" s="5"/>
      <c r="F152" s="13"/>
      <c r="G152" s="32"/>
      <c r="H152" s="33" t="s">
        <v>74</v>
      </c>
      <c r="I152" s="41">
        <f>I150*(1/H$2)</f>
        <v>0</v>
      </c>
      <c r="J152" s="42"/>
      <c r="K152" s="32"/>
      <c r="L152" s="33" t="s">
        <v>74</v>
      </c>
      <c r="M152" s="41">
        <f>M150*(1/L$2)</f>
        <v>4.753199268738574</v>
      </c>
      <c r="O152" s="32"/>
      <c r="P152" s="33" t="s">
        <v>74</v>
      </c>
      <c r="Q152" s="41">
        <f>Q150*(1/P$2)</f>
        <v>0</v>
      </c>
      <c r="S152" s="32"/>
      <c r="T152" s="33" t="s">
        <v>74</v>
      </c>
      <c r="U152" s="41">
        <f>U150*(1/T$2)</f>
        <v>0</v>
      </c>
      <c r="W152" s="32"/>
      <c r="X152" s="33" t="s">
        <v>74</v>
      </c>
      <c r="Y152" s="41">
        <f>Y150*(1/X$2)</f>
        <v>13.684210526315789</v>
      </c>
    </row>
    <row r="153" spans="5:25" ht="17" thickBot="1">
      <c r="E153" s="5"/>
      <c r="F153" s="13"/>
      <c r="G153" s="33"/>
      <c r="H153" s="33"/>
      <c r="I153" s="33"/>
      <c r="K153" s="33"/>
      <c r="L153" s="33"/>
      <c r="M153" s="33"/>
      <c r="O153" s="33"/>
      <c r="P153" s="33"/>
      <c r="Q153" s="33"/>
      <c r="S153" s="33"/>
      <c r="T153" s="33"/>
      <c r="U153" s="33"/>
      <c r="W153" s="33"/>
      <c r="X153" s="33"/>
      <c r="Y153" s="33"/>
    </row>
    <row r="154" spans="5:25">
      <c r="F154" s="13"/>
      <c r="G154" s="302" t="s">
        <v>75</v>
      </c>
      <c r="H154" s="185" t="s">
        <v>212</v>
      </c>
      <c r="I154" s="49">
        <f>COUNT(I5:I40,I48:I108,I116:I146)</f>
        <v>128</v>
      </c>
      <c r="J154" s="35"/>
      <c r="K154" s="302" t="s">
        <v>75</v>
      </c>
      <c r="L154" s="185" t="s">
        <v>212</v>
      </c>
      <c r="M154" s="49">
        <f>COUNT(M5:M40,M48:M108,M116:M146)</f>
        <v>128</v>
      </c>
      <c r="N154" s="35"/>
      <c r="O154" s="302" t="s">
        <v>75</v>
      </c>
      <c r="P154" s="185" t="s">
        <v>212</v>
      </c>
      <c r="Q154" s="49">
        <f>COUNT(Q5:Q40,Q48:Q108,Q116:Q146)</f>
        <v>128</v>
      </c>
      <c r="R154" s="35"/>
      <c r="S154" s="302" t="s">
        <v>75</v>
      </c>
      <c r="T154" s="185" t="s">
        <v>212</v>
      </c>
      <c r="U154" s="49">
        <f>COUNT(U5:U40,U48:U108,U116:U146)</f>
        <v>128</v>
      </c>
      <c r="V154" s="35"/>
      <c r="W154" s="302" t="s">
        <v>75</v>
      </c>
      <c r="X154" s="185" t="s">
        <v>212</v>
      </c>
      <c r="Y154" s="49">
        <f>COUNT(Y5:Y40,Y48:Y108,Y116:Y146)</f>
        <v>128</v>
      </c>
    </row>
    <row r="155" spans="5:25">
      <c r="F155" s="13"/>
      <c r="G155" s="303"/>
      <c r="H155" s="184" t="s">
        <v>209</v>
      </c>
      <c r="I155" s="188">
        <f>SUM(I42,I110,I148)</f>
        <v>38</v>
      </c>
      <c r="J155" s="35"/>
      <c r="K155" s="303"/>
      <c r="L155" s="184" t="s">
        <v>209</v>
      </c>
      <c r="M155" s="188">
        <f>SUM(M42,M110,M148)</f>
        <v>97</v>
      </c>
      <c r="N155" s="35"/>
      <c r="O155" s="303"/>
      <c r="P155" s="184" t="s">
        <v>209</v>
      </c>
      <c r="Q155" s="188">
        <f>SUM(Q42,Q110,Q148)</f>
        <v>86</v>
      </c>
      <c r="R155" s="35"/>
      <c r="S155" s="303"/>
      <c r="T155" s="184" t="s">
        <v>209</v>
      </c>
      <c r="U155" s="188">
        <f>SUM(U42,U110,U148)</f>
        <v>92</v>
      </c>
      <c r="V155" s="35"/>
      <c r="W155" s="303"/>
      <c r="X155" s="184" t="s">
        <v>209</v>
      </c>
      <c r="Y155" s="188">
        <f>SUM(Y42,Y110,Y148)</f>
        <v>0</v>
      </c>
    </row>
    <row r="156" spans="5:25">
      <c r="F156" s="13"/>
      <c r="G156" s="303"/>
      <c r="H156" s="184" t="s">
        <v>210</v>
      </c>
      <c r="I156" s="189">
        <f>SUM(I43,I111,I149)</f>
        <v>17</v>
      </c>
      <c r="J156" s="35"/>
      <c r="K156" s="303"/>
      <c r="L156" s="184" t="s">
        <v>210</v>
      </c>
      <c r="M156" s="189">
        <f>SUM(M43,M111,M149)</f>
        <v>5</v>
      </c>
      <c r="N156" s="35"/>
      <c r="O156" s="303"/>
      <c r="P156" s="184" t="s">
        <v>210</v>
      </c>
      <c r="Q156" s="189">
        <f>SUM(Q43,Q111,Q149)</f>
        <v>2</v>
      </c>
      <c r="R156" s="35"/>
      <c r="S156" s="303"/>
      <c r="T156" s="184" t="s">
        <v>210</v>
      </c>
      <c r="U156" s="189">
        <f>SUM(U43,U111,U149)</f>
        <v>14</v>
      </c>
      <c r="V156" s="35"/>
      <c r="W156" s="303"/>
      <c r="X156" s="184" t="s">
        <v>210</v>
      </c>
      <c r="Y156" s="189">
        <f>SUM(Y43,Y111,Y149)</f>
        <v>27</v>
      </c>
    </row>
    <row r="157" spans="5:25" ht="17" thickBot="1">
      <c r="F157" s="13"/>
      <c r="G157" s="304"/>
      <c r="H157" s="186" t="s">
        <v>211</v>
      </c>
      <c r="I157" s="190">
        <f>SUM(I44,I112,I150)</f>
        <v>73</v>
      </c>
      <c r="J157" s="35"/>
      <c r="K157" s="304"/>
      <c r="L157" s="186" t="s">
        <v>211</v>
      </c>
      <c r="M157" s="190">
        <f>SUM(M44,M112,M150)</f>
        <v>26</v>
      </c>
      <c r="N157" s="35"/>
      <c r="O157" s="304"/>
      <c r="P157" s="186" t="s">
        <v>211</v>
      </c>
      <c r="Q157" s="190">
        <f>SUM(Q44,Q112,Q150)</f>
        <v>40</v>
      </c>
      <c r="R157" s="35"/>
      <c r="S157" s="304"/>
      <c r="T157" s="186" t="s">
        <v>211</v>
      </c>
      <c r="U157" s="190">
        <f>SUM(U44,U112,U150)</f>
        <v>22</v>
      </c>
      <c r="V157" s="35"/>
      <c r="W157" s="304"/>
      <c r="X157" s="186" t="s">
        <v>211</v>
      </c>
      <c r="Y157" s="190">
        <f>SUM(Y44,Y112,Y150)</f>
        <v>101</v>
      </c>
    </row>
    <row r="158" spans="5:25">
      <c r="F158" s="13"/>
      <c r="G158" s="32"/>
      <c r="H158" s="33" t="s">
        <v>73</v>
      </c>
      <c r="I158" s="41">
        <f>I157*H$1</f>
        <v>13.870000000000001</v>
      </c>
      <c r="K158" s="32"/>
      <c r="L158" s="33" t="s">
        <v>73</v>
      </c>
      <c r="M158" s="41">
        <f>M157*L$1</f>
        <v>8.58</v>
      </c>
      <c r="O158" s="32"/>
      <c r="P158" s="33" t="s">
        <v>73</v>
      </c>
      <c r="Q158" s="41">
        <f>Q157*P$1</f>
        <v>25.6</v>
      </c>
      <c r="S158" s="32"/>
      <c r="T158" s="33" t="s">
        <v>73</v>
      </c>
      <c r="U158" s="41">
        <f>U157*T$1</f>
        <v>15.399999999999999</v>
      </c>
      <c r="W158" s="32"/>
      <c r="X158" s="33" t="s">
        <v>73</v>
      </c>
      <c r="Y158" s="41">
        <f>Y157*X$1</f>
        <v>87.87</v>
      </c>
    </row>
    <row r="159" spans="5:25">
      <c r="F159" s="13"/>
      <c r="G159" s="32"/>
      <c r="H159" s="33" t="s">
        <v>74</v>
      </c>
      <c r="I159" s="41">
        <f>I157*(1/H$2)</f>
        <v>0.5703125</v>
      </c>
      <c r="J159" s="42"/>
      <c r="K159" s="32"/>
      <c r="L159" s="33" t="s">
        <v>74</v>
      </c>
      <c r="M159" s="41">
        <f>M157*(1/L$2)</f>
        <v>4.753199268738574</v>
      </c>
      <c r="O159" s="32"/>
      <c r="P159" s="33" t="s">
        <v>74</v>
      </c>
      <c r="Q159" s="41">
        <f>Q157*(1/P$2)</f>
        <v>16.326530612244895</v>
      </c>
      <c r="S159" s="32"/>
      <c r="T159" s="33" t="s">
        <v>74</v>
      </c>
      <c r="U159" s="41">
        <f>U157*(1/T$2)</f>
        <v>6.2857142857142856</v>
      </c>
      <c r="W159" s="32"/>
      <c r="X159" s="33" t="s">
        <v>74</v>
      </c>
      <c r="Y159" s="41">
        <f>Y157*(1/X$2)</f>
        <v>53.157894736842103</v>
      </c>
    </row>
    <row r="160" spans="5:25">
      <c r="F160" s="13"/>
    </row>
    <row r="161" spans="6:6">
      <c r="F161" s="13"/>
    </row>
    <row r="162" spans="6:6">
      <c r="F162" s="13"/>
    </row>
    <row r="163" spans="6:6">
      <c r="F163" s="13"/>
    </row>
    <row r="164" spans="6:6">
      <c r="F164" s="13"/>
    </row>
    <row r="165" spans="6:6">
      <c r="F165" s="13"/>
    </row>
    <row r="166" spans="6:6">
      <c r="F166" s="13"/>
    </row>
    <row r="167" spans="6:6">
      <c r="F167" s="13"/>
    </row>
    <row r="168" spans="6:6">
      <c r="F168" s="13"/>
    </row>
    <row r="169" spans="6:6">
      <c r="F169" s="13"/>
    </row>
    <row r="170" spans="6:6">
      <c r="F170" s="13"/>
    </row>
    <row r="171" spans="6:6">
      <c r="F171" s="13"/>
    </row>
  </sheetData>
  <mergeCells count="28">
    <mergeCell ref="G154:G157"/>
    <mergeCell ref="K154:K157"/>
    <mergeCell ref="O154:O157"/>
    <mergeCell ref="S154:S157"/>
    <mergeCell ref="W154:W157"/>
    <mergeCell ref="G147:G150"/>
    <mergeCell ref="K147:K150"/>
    <mergeCell ref="O147:O150"/>
    <mergeCell ref="S147:S150"/>
    <mergeCell ref="W147:W150"/>
    <mergeCell ref="W41:W44"/>
    <mergeCell ref="A21:A23"/>
    <mergeCell ref="A24:A26"/>
    <mergeCell ref="A27:A29"/>
    <mergeCell ref="G109:G112"/>
    <mergeCell ref="K109:K112"/>
    <mergeCell ref="O109:O112"/>
    <mergeCell ref="S109:S112"/>
    <mergeCell ref="W109:W112"/>
    <mergeCell ref="G41:G44"/>
    <mergeCell ref="K41:K44"/>
    <mergeCell ref="O41:O44"/>
    <mergeCell ref="S41:S44"/>
    <mergeCell ref="G3:I3"/>
    <mergeCell ref="K3:M3"/>
    <mergeCell ref="W3:Y3"/>
    <mergeCell ref="O3:Q3"/>
    <mergeCell ref="S3:U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28"/>
  <sheetViews>
    <sheetView workbookViewId="0"/>
  </sheetViews>
  <sheetFormatPr baseColWidth="10" defaultRowHeight="16"/>
  <cols>
    <col min="2" max="2" width="11.83203125" bestFit="1" customWidth="1"/>
    <col min="3" max="3" width="13.33203125" customWidth="1"/>
    <col min="4" max="4" width="19.6640625" bestFit="1" customWidth="1"/>
    <col min="5" max="5" width="20.1640625" customWidth="1"/>
    <col min="6" max="6" width="14.33203125" style="45" bestFit="1" customWidth="1"/>
    <col min="7" max="7" width="14.33203125" customWidth="1"/>
    <col min="8" max="8" width="17.1640625" style="55" customWidth="1"/>
    <col min="11" max="11" width="11.6640625" bestFit="1" customWidth="1"/>
    <col min="16" max="17" width="11.6640625" bestFit="1" customWidth="1"/>
    <col min="19" max="20" width="11.6640625" bestFit="1" customWidth="1"/>
  </cols>
  <sheetData>
    <row r="1" spans="2:14" s="44" customFormat="1" ht="17" thickBot="1">
      <c r="F1" s="252"/>
      <c r="H1" s="249"/>
    </row>
    <row r="2" spans="2:14" s="44" customFormat="1" ht="19" thickBot="1">
      <c r="B2" s="235" t="s">
        <v>233</v>
      </c>
      <c r="C2" s="243" t="s">
        <v>230</v>
      </c>
      <c r="D2" s="244" t="s">
        <v>234</v>
      </c>
      <c r="E2" s="243" t="s">
        <v>231</v>
      </c>
      <c r="F2" s="253" t="s">
        <v>235</v>
      </c>
      <c r="G2" s="239"/>
      <c r="H2" s="251" t="s">
        <v>110</v>
      </c>
      <c r="I2" s="259" t="s">
        <v>236</v>
      </c>
      <c r="J2" s="257" t="s">
        <v>258</v>
      </c>
      <c r="K2" s="260" t="s">
        <v>237</v>
      </c>
      <c r="L2" s="260" t="s">
        <v>259</v>
      </c>
      <c r="M2" s="260" t="s">
        <v>260</v>
      </c>
      <c r="N2" s="260" t="s">
        <v>235</v>
      </c>
    </row>
    <row r="3" spans="2:14" s="44" customFormat="1" ht="17">
      <c r="B3" s="240" t="s">
        <v>58</v>
      </c>
      <c r="C3" s="237" t="str">
        <f>"Fish = "&amp;Scoring!I44</f>
        <v>Fish = 33</v>
      </c>
      <c r="D3" s="237" t="str">
        <f>"RFx,2.0 = "&amp;'Hard Performance'!J13</f>
        <v>RFx,2.0 = 0.19</v>
      </c>
      <c r="E3" s="237" t="str">
        <f>"Fish = "&amp;ROUND(Scoring!I45,1)&amp;" ("&amp;ROUND(Scoring!I46,2)&amp;")"</f>
        <v>Fish = 6.3 (0.26)</v>
      </c>
      <c r="F3" s="235" t="str">
        <f>"Fish = "&amp;N8</f>
        <v>Fish = 3</v>
      </c>
      <c r="G3" s="239"/>
      <c r="H3" s="249" t="s">
        <v>238</v>
      </c>
      <c r="I3" s="282">
        <f>Scoring!I151</f>
        <v>0</v>
      </c>
      <c r="J3" s="258">
        <f>RANK(I3,$I$3:$I$7)</f>
        <v>3</v>
      </c>
      <c r="K3" s="281">
        <f>Scoring!I152</f>
        <v>0</v>
      </c>
      <c r="L3" s="258">
        <f>RANK(K3,$K$3:$K$7)</f>
        <v>3</v>
      </c>
      <c r="M3" s="260">
        <f>J3+L3</f>
        <v>6</v>
      </c>
      <c r="N3" s="258">
        <f>RANK(M3,$M$3:$M$7,1)</f>
        <v>3</v>
      </c>
    </row>
    <row r="4" spans="2:14" s="44" customFormat="1" ht="17">
      <c r="B4" s="236"/>
      <c r="C4" s="237" t="str">
        <f>"Inverts = "&amp;Scoring!I112</f>
        <v>Inverts = 40</v>
      </c>
      <c r="D4" s="237" t="str">
        <f>"1/RFy,0.84 = "&amp;ROUND(1/'Hard Performance'!K13,4)</f>
        <v>1/RFy,0.84 = 0.0078</v>
      </c>
      <c r="E4" s="237" t="str">
        <f>"Invert = "&amp;ROUND(Scoring!I113,1)&amp;" ("&amp;ROUND(Scoring!I114,2)&amp;")"</f>
        <v>Invert = 7.6 (0.31)</v>
      </c>
      <c r="F4" s="254" t="str">
        <f>"Invert = "&amp;N13</f>
        <v>Invert = 3</v>
      </c>
      <c r="G4" s="239"/>
      <c r="H4" s="248" t="s">
        <v>239</v>
      </c>
      <c r="I4" s="283">
        <f>Scoring!M151</f>
        <v>8.58</v>
      </c>
      <c r="J4" s="258">
        <f t="shared" ref="J4:J7" si="0">RANK(I4,$I$3:$I$7)</f>
        <v>2</v>
      </c>
      <c r="K4" s="281">
        <f>Scoring!M152</f>
        <v>4.753199268738574</v>
      </c>
      <c r="L4" s="258">
        <f t="shared" ref="L4:L7" si="1">RANK(K4,$K$3:$K$7)</f>
        <v>2</v>
      </c>
      <c r="M4" s="260">
        <f t="shared" ref="M4:M22" si="2">J4+L4</f>
        <v>4</v>
      </c>
      <c r="N4" s="258">
        <f t="shared" ref="N4:N7" si="3">RANK(M4,$M$3:$M$7,1)</f>
        <v>2</v>
      </c>
    </row>
    <row r="5" spans="2:14" s="44" customFormat="1" ht="17">
      <c r="B5" s="236"/>
      <c r="C5" s="237" t="str">
        <f>"Algae = "&amp;Scoring!I150</f>
        <v>Algae = 0</v>
      </c>
      <c r="E5" s="236" t="str">
        <f>"Algae = "&amp;Scoring!I151&amp;" ("&amp;Scoring!I152&amp;")"</f>
        <v>Algae = 0 (0)</v>
      </c>
      <c r="F5" s="255" t="str">
        <f>"Algae = "&amp;N3</f>
        <v>Algae = 3</v>
      </c>
      <c r="G5" s="247"/>
      <c r="H5" s="248" t="s">
        <v>240</v>
      </c>
      <c r="I5" s="283">
        <f>Scoring!Q151</f>
        <v>0</v>
      </c>
      <c r="J5" s="258">
        <f t="shared" si="0"/>
        <v>3</v>
      </c>
      <c r="K5" s="281">
        <f>Scoring!Q152</f>
        <v>0</v>
      </c>
      <c r="L5" s="258">
        <f t="shared" si="1"/>
        <v>3</v>
      </c>
      <c r="M5" s="260">
        <f t="shared" si="2"/>
        <v>6</v>
      </c>
      <c r="N5" s="258">
        <f t="shared" si="3"/>
        <v>3</v>
      </c>
    </row>
    <row r="6" spans="2:14" s="44" customFormat="1" ht="18" thickBot="1">
      <c r="B6" s="241"/>
      <c r="C6" s="238" t="str">
        <f>"Overall = "&amp;Scoring!I157</f>
        <v>Overall = 73</v>
      </c>
      <c r="D6" s="245"/>
      <c r="E6" s="238" t="str">
        <f>"Overall = "&amp;ROUND(Scoring!I158,0)&amp;" ("&amp;ROUND(Scoring!I159,2)&amp;")"</f>
        <v>Overall = 14 (0.57)</v>
      </c>
      <c r="F6" s="256" t="str">
        <f>"Overall = "&amp;N18</f>
        <v>Overall = 4</v>
      </c>
      <c r="G6" s="247"/>
      <c r="H6" s="248" t="s">
        <v>241</v>
      </c>
      <c r="I6" s="283">
        <f>Scoring!U151</f>
        <v>0</v>
      </c>
      <c r="J6" s="258">
        <f t="shared" si="0"/>
        <v>3</v>
      </c>
      <c r="K6" s="281">
        <f>Scoring!U152</f>
        <v>0</v>
      </c>
      <c r="L6" s="258">
        <f t="shared" si="1"/>
        <v>3</v>
      </c>
      <c r="M6" s="260">
        <f t="shared" si="2"/>
        <v>6</v>
      </c>
      <c r="N6" s="258">
        <f t="shared" si="3"/>
        <v>3</v>
      </c>
    </row>
    <row r="7" spans="2:14" s="44" customFormat="1" ht="17">
      <c r="B7" s="240" t="s">
        <v>107</v>
      </c>
      <c r="C7" s="237" t="str">
        <f>"Fish = "&amp;Scoring!M44</f>
        <v>Fish = 0</v>
      </c>
      <c r="D7" s="237" t="str">
        <f>"RFx,2.0 = "&amp;'MLR Performance'!N12</f>
        <v>RFx,2.0 = 0.33</v>
      </c>
      <c r="E7" s="237" t="str">
        <f>"Fish = "&amp;ROUND(Scoring!M45,1)&amp;" ("&amp;ROUND(Scoring!M46,2)&amp;")"</f>
        <v>Fish = 0 (0)</v>
      </c>
      <c r="F7" s="235" t="str">
        <f>"Fish = "&amp;N9</f>
        <v>Fish = 4</v>
      </c>
      <c r="G7" s="242"/>
      <c r="H7" s="250" t="s">
        <v>242</v>
      </c>
      <c r="I7" s="284">
        <f>Scoring!Y151</f>
        <v>22.62</v>
      </c>
      <c r="J7" s="258">
        <f t="shared" si="0"/>
        <v>1</v>
      </c>
      <c r="K7" s="281">
        <f>Scoring!Y152</f>
        <v>13.684210526315789</v>
      </c>
      <c r="L7" s="258">
        <f t="shared" si="1"/>
        <v>1</v>
      </c>
      <c r="M7" s="260">
        <f t="shared" si="2"/>
        <v>2</v>
      </c>
      <c r="N7" s="258">
        <f t="shared" si="3"/>
        <v>1</v>
      </c>
    </row>
    <row r="8" spans="2:14" s="44" customFormat="1">
      <c r="B8" s="236"/>
      <c r="C8" s="237" t="str">
        <f>"Inverts = "&amp;Scoring!M112</f>
        <v>Inverts = 0</v>
      </c>
      <c r="D8" s="237" t="str">
        <f>"1/RFy,0.84 = "&amp;ROUND(1/'MLR Performance'!O12,2)</f>
        <v>1/RFy,0.84 = 0.18</v>
      </c>
      <c r="E8" s="237" t="str">
        <f>"Invert = "&amp;ROUND(Scoring!M113,1)&amp;" ("&amp;ROUND(Scoring!M114,2)&amp;")"</f>
        <v>Invert = 0 (0)</v>
      </c>
      <c r="F8" s="254" t="str">
        <f>"Invert = "&amp;N14</f>
        <v>Invert = 4</v>
      </c>
      <c r="G8" s="242"/>
      <c r="H8" s="242" t="s">
        <v>243</v>
      </c>
      <c r="I8" s="282">
        <f>Scoring!I45</f>
        <v>6.2700000000000005</v>
      </c>
      <c r="J8" s="258">
        <f>RANK(I8,$I$8:$I$12)</f>
        <v>3</v>
      </c>
      <c r="K8" s="281">
        <f>Scoring!I46</f>
        <v>0.2578125</v>
      </c>
      <c r="L8" s="258">
        <f>RANK(K8,$K$8:$K$12)</f>
        <v>3</v>
      </c>
      <c r="M8" s="260">
        <f t="shared" si="2"/>
        <v>6</v>
      </c>
      <c r="N8" s="258">
        <f>RANK(M8,$M$8:$M$12,1)</f>
        <v>3</v>
      </c>
    </row>
    <row r="9" spans="2:14" s="44" customFormat="1" ht="17">
      <c r="B9" s="236"/>
      <c r="C9" s="237" t="str">
        <f>"Algae = "&amp;Scoring!M150</f>
        <v>Algae = 26</v>
      </c>
      <c r="E9" s="236" t="str">
        <f>"Algae = "&amp;ROUND(Scoring!M151,1)&amp;" ("&amp;ROUND(Scoring!M152,1)&amp;")"</f>
        <v>Algae = 8.6 (4.8)</v>
      </c>
      <c r="F9" s="255" t="str">
        <f>"Algae = "&amp;N4</f>
        <v>Algae = 2</v>
      </c>
      <c r="G9" s="248"/>
      <c r="H9" s="242" t="s">
        <v>244</v>
      </c>
      <c r="I9" s="283">
        <f>Scoring!M45</f>
        <v>0</v>
      </c>
      <c r="J9" s="258">
        <f t="shared" ref="J9:J11" si="4">RANK(I9,$I$8:$I$12)</f>
        <v>4</v>
      </c>
      <c r="K9" s="281">
        <f>Scoring!M46</f>
        <v>0</v>
      </c>
      <c r="L9" s="258">
        <f t="shared" ref="L9:L12" si="5">RANK(K9,$K$8:$K$12)</f>
        <v>4</v>
      </c>
      <c r="M9" s="260">
        <f t="shared" si="2"/>
        <v>8</v>
      </c>
      <c r="N9" s="258">
        <f t="shared" ref="N9:N12" si="6">RANK(M9,$M$8:$M$12,1)</f>
        <v>4</v>
      </c>
    </row>
    <row r="10" spans="2:14" s="44" customFormat="1" ht="18" thickBot="1">
      <c r="B10" s="241"/>
      <c r="C10" s="238" t="str">
        <f>"Overall = "&amp;Scoring!M157</f>
        <v>Overall = 26</v>
      </c>
      <c r="D10" s="245"/>
      <c r="E10" s="238" t="str">
        <f>"Overall = "&amp;ROUND(Scoring!M158,1)&amp;" ("&amp;ROUND(Scoring!M159,1)&amp;")"</f>
        <v>Overall = 8.6 (4.8)</v>
      </c>
      <c r="F10" s="256" t="str">
        <f>"Overall = "&amp;N19</f>
        <v>Overall = 4</v>
      </c>
      <c r="G10" s="248"/>
      <c r="H10" s="242" t="s">
        <v>245</v>
      </c>
      <c r="I10" s="283">
        <f>Scoring!Q45</f>
        <v>0</v>
      </c>
      <c r="J10" s="258">
        <f t="shared" si="4"/>
        <v>4</v>
      </c>
      <c r="K10" s="281">
        <f>Scoring!Q46</f>
        <v>0</v>
      </c>
      <c r="L10" s="258">
        <f t="shared" si="5"/>
        <v>4</v>
      </c>
      <c r="M10" s="260">
        <f t="shared" si="2"/>
        <v>8</v>
      </c>
      <c r="N10" s="258">
        <f t="shared" si="6"/>
        <v>4</v>
      </c>
    </row>
    <row r="11" spans="2:14" s="44" customFormat="1">
      <c r="B11" s="240" t="s">
        <v>108</v>
      </c>
      <c r="C11" s="237" t="str">
        <f>"Fish = "&amp;Scoring!Q44</f>
        <v>Fish = 0</v>
      </c>
      <c r="D11" s="237" t="str">
        <f>"RFx,2.0 = "&amp;'MLR Performance'!N16</f>
        <v>RFx,2.0 = 0.64</v>
      </c>
      <c r="E11" s="237" t="str">
        <f>"Fish = "&amp;ROUND(Scoring!Q45,1)&amp;" ("&amp;ROUND(Scoring!Q46,2)&amp;")"</f>
        <v>Fish = 0 (0)</v>
      </c>
      <c r="F11" s="235" t="str">
        <f>"Fish = "&amp;N10</f>
        <v>Fish = 4</v>
      </c>
      <c r="G11" s="242"/>
      <c r="H11" s="242" t="s">
        <v>246</v>
      </c>
      <c r="I11" s="283">
        <f>Scoring!U45</f>
        <v>15.399999999999999</v>
      </c>
      <c r="J11" s="258">
        <f t="shared" si="4"/>
        <v>2</v>
      </c>
      <c r="K11" s="281">
        <f>Scoring!U46</f>
        <v>6.2857142857142856</v>
      </c>
      <c r="L11" s="258">
        <f t="shared" si="5"/>
        <v>2</v>
      </c>
      <c r="M11" s="260">
        <f t="shared" si="2"/>
        <v>4</v>
      </c>
      <c r="N11" s="258">
        <f t="shared" si="6"/>
        <v>2</v>
      </c>
    </row>
    <row r="12" spans="2:14" s="44" customFormat="1">
      <c r="B12" s="236"/>
      <c r="C12" s="237" t="str">
        <f>"Inverts = "&amp;Scoring!Q112</f>
        <v>Inverts = 40</v>
      </c>
      <c r="D12" s="237" t="str">
        <f>"1/RFy,0.84 = "&amp;ROUND(1/'MLR Performance'!O16,2)</f>
        <v>1/RFy,0.84 = 0.41</v>
      </c>
      <c r="E12" s="237" t="str">
        <f>"Invert = "&amp;ROUND(Scoring!Q113,1)&amp;" ("&amp;ROUND(Scoring!Q114,1)&amp;")"</f>
        <v>Invert = 25.6 (16.3)</v>
      </c>
      <c r="F12" s="254" t="str">
        <f>"Invert = "&amp;N15</f>
        <v>Invert = 2</v>
      </c>
      <c r="G12" s="242"/>
      <c r="H12" s="251" t="s">
        <v>247</v>
      </c>
      <c r="I12" s="284">
        <f>Scoring!Y45</f>
        <v>19.14</v>
      </c>
      <c r="J12" s="258">
        <f>RANK(I12,$I$8:$I$12)</f>
        <v>1</v>
      </c>
      <c r="K12" s="281">
        <f>Scoring!Y46</f>
        <v>11.578947368421051</v>
      </c>
      <c r="L12" s="258">
        <f t="shared" si="5"/>
        <v>1</v>
      </c>
      <c r="M12" s="260">
        <f t="shared" si="2"/>
        <v>2</v>
      </c>
      <c r="N12" s="258">
        <f t="shared" si="6"/>
        <v>1</v>
      </c>
    </row>
    <row r="13" spans="2:14" s="44" customFormat="1" ht="17">
      <c r="B13" s="236"/>
      <c r="C13" s="237" t="str">
        <f>"Algae = "&amp;Scoring!Q150</f>
        <v>Algae = 0</v>
      </c>
      <c r="E13" s="236" t="str">
        <f>"Algae = "&amp;Scoring!Q151&amp;" ("&amp;Scoring!Q152&amp;")"</f>
        <v>Algae = 0 (0)</v>
      </c>
      <c r="F13" s="255" t="str">
        <f>"Algae = "&amp;N5</f>
        <v>Algae = 3</v>
      </c>
      <c r="G13" s="248"/>
      <c r="H13" s="242" t="s">
        <v>248</v>
      </c>
      <c r="I13" s="282">
        <f>Scoring!I113</f>
        <v>7.6</v>
      </c>
      <c r="J13" s="258">
        <f>RANK(I13,$I$13:$I$17)</f>
        <v>3</v>
      </c>
      <c r="K13" s="281">
        <f>Scoring!I114</f>
        <v>0.3125</v>
      </c>
      <c r="L13" s="258">
        <f>RANK(K13,$K$13:$K$17)</f>
        <v>3</v>
      </c>
      <c r="M13" s="260">
        <f t="shared" si="2"/>
        <v>6</v>
      </c>
      <c r="N13" s="258">
        <f>RANK(M13,$M$13:$M$17,1)</f>
        <v>3</v>
      </c>
    </row>
    <row r="14" spans="2:14" s="44" customFormat="1" ht="18" thickBot="1">
      <c r="B14" s="241"/>
      <c r="C14" s="238" t="str">
        <f>"Overall = "&amp;Scoring!Q157</f>
        <v>Overall = 40</v>
      </c>
      <c r="D14" s="245"/>
      <c r="E14" s="238" t="str">
        <f>"Overall = "&amp;ROUND(Scoring!Q158,1)&amp;" ("&amp;ROUND(Scoring!Q159,1)&amp;")"</f>
        <v>Overall = 25.6 (16.3)</v>
      </c>
      <c r="F14" s="256" t="str">
        <f>"Overall = "&amp;N20</f>
        <v>Overall = 2</v>
      </c>
      <c r="G14" s="248"/>
      <c r="H14" s="242" t="s">
        <v>249</v>
      </c>
      <c r="I14" s="283">
        <f>Scoring!M113</f>
        <v>0</v>
      </c>
      <c r="J14" s="258">
        <f t="shared" ref="J14:J16" si="7">RANK(I14,$I$13:$I$17)</f>
        <v>4</v>
      </c>
      <c r="K14" s="281">
        <f>Scoring!M114</f>
        <v>0</v>
      </c>
      <c r="L14" s="258">
        <f t="shared" ref="L14:L17" si="8">RANK(K14,$K$13:$K$17)</f>
        <v>4</v>
      </c>
      <c r="M14" s="260">
        <f t="shared" si="2"/>
        <v>8</v>
      </c>
      <c r="N14" s="258">
        <f t="shared" ref="N14:N17" si="9">RANK(M14,$M$13:$M$17,1)</f>
        <v>4</v>
      </c>
    </row>
    <row r="15" spans="2:14" s="44" customFormat="1">
      <c r="B15" s="240" t="s">
        <v>109</v>
      </c>
      <c r="C15" s="237" t="str">
        <f>"Fish = "&amp;Scoring!U44</f>
        <v>Fish = 22</v>
      </c>
      <c r="D15" s="237" t="str">
        <f>"RFx,2.0 = "&amp;'MLR Performance'!N20</f>
        <v>RFx,2.0 = 0.7</v>
      </c>
      <c r="E15" s="237" t="str">
        <f>"Fish = "&amp;ROUND(Scoring!U45,1)&amp;" ("&amp;ROUND(Scoring!U46,1)&amp;")"</f>
        <v>Fish = 15.4 (6.3)</v>
      </c>
      <c r="F15" s="235" t="str">
        <f>"Fish = "&amp;N11</f>
        <v>Fish = 2</v>
      </c>
      <c r="G15" s="242"/>
      <c r="H15" s="242" t="s">
        <v>250</v>
      </c>
      <c r="I15" s="283">
        <f>Scoring!Q113</f>
        <v>25.6</v>
      </c>
      <c r="J15" s="258">
        <f>RANK(I15,$I$13:$I$17)</f>
        <v>2</v>
      </c>
      <c r="K15" s="281">
        <f>Scoring!Q114</f>
        <v>16.326530612244895</v>
      </c>
      <c r="L15" s="258">
        <f t="shared" si="8"/>
        <v>2</v>
      </c>
      <c r="M15" s="260">
        <f t="shared" si="2"/>
        <v>4</v>
      </c>
      <c r="N15" s="258">
        <f t="shared" si="9"/>
        <v>2</v>
      </c>
    </row>
    <row r="16" spans="2:14" s="44" customFormat="1">
      <c r="B16" s="236"/>
      <c r="C16" s="237" t="str">
        <f>"Inverts = "&amp;Scoring!U112</f>
        <v>Inverts = 0</v>
      </c>
      <c r="D16" s="237" t="str">
        <f>"1/RFy,0.84 = "&amp;ROUND(1/'MLR Performance'!O20,2)</f>
        <v>1/RFy,0.84 = 0.29</v>
      </c>
      <c r="E16" s="237" t="str">
        <f>"Invert = "&amp;ROUND(Scoring!U113,0)&amp;" ("&amp;ROUND(Scoring!U114,0)&amp;")"</f>
        <v>Invert = 0 (0)</v>
      </c>
      <c r="F16" s="254" t="str">
        <f>"Invert = "&amp;N16</f>
        <v>Invert = 4</v>
      </c>
      <c r="G16" s="242"/>
      <c r="H16" s="242" t="s">
        <v>251</v>
      </c>
      <c r="I16" s="283">
        <f>Scoring!U113</f>
        <v>0</v>
      </c>
      <c r="J16" s="258">
        <f t="shared" si="7"/>
        <v>4</v>
      </c>
      <c r="K16" s="281">
        <f>Scoring!U114</f>
        <v>0</v>
      </c>
      <c r="L16" s="258">
        <f t="shared" si="8"/>
        <v>4</v>
      </c>
      <c r="M16" s="260">
        <f t="shared" si="2"/>
        <v>8</v>
      </c>
      <c r="N16" s="258">
        <f t="shared" si="9"/>
        <v>4</v>
      </c>
    </row>
    <row r="17" spans="2:14" s="44" customFormat="1" ht="17">
      <c r="B17" s="236"/>
      <c r="C17" s="237" t="str">
        <f>"Algae = "&amp;Scoring!U150</f>
        <v>Algae = 0</v>
      </c>
      <c r="E17" s="236" t="str">
        <f>"Algae = "&amp;ROUND(Scoring!U151,0)&amp;" ("&amp;ROUND(Scoring!U152,0)&amp;")"</f>
        <v>Algae = 0 (0)</v>
      </c>
      <c r="F17" s="255" t="str">
        <f>"Algae = "&amp;N6</f>
        <v>Algae = 3</v>
      </c>
      <c r="G17" s="248"/>
      <c r="H17" s="251" t="s">
        <v>252</v>
      </c>
      <c r="I17" s="284">
        <f>Scoring!Y113</f>
        <v>46.11</v>
      </c>
      <c r="J17" s="258">
        <f>RANK(I17,$I$13:$I$17)</f>
        <v>1</v>
      </c>
      <c r="K17" s="281">
        <f>Scoring!Y114</f>
        <v>27.89473684210526</v>
      </c>
      <c r="L17" s="258">
        <f t="shared" si="8"/>
        <v>1</v>
      </c>
      <c r="M17" s="260">
        <f t="shared" si="2"/>
        <v>2</v>
      </c>
      <c r="N17" s="258">
        <f t="shared" si="9"/>
        <v>1</v>
      </c>
    </row>
    <row r="18" spans="2:14" s="44" customFormat="1" ht="18" thickBot="1">
      <c r="B18" s="241"/>
      <c r="C18" s="238" t="str">
        <f>"Overall = "&amp;Scoring!U157</f>
        <v>Overall = 22</v>
      </c>
      <c r="D18" s="245"/>
      <c r="E18" s="238" t="str">
        <f>"Overall = "&amp;ROUND(Scoring!U158,1)&amp;" ("&amp;ROUND(Scoring!U159,1)&amp;")"</f>
        <v>Overall = 15.4 (6.3)</v>
      </c>
      <c r="F18" s="256" t="str">
        <f>"Overall = "&amp;N21</f>
        <v>Overall = 3</v>
      </c>
      <c r="G18" s="248"/>
      <c r="H18" s="248" t="s">
        <v>253</v>
      </c>
      <c r="I18" s="282">
        <f>Scoring!I158</f>
        <v>13.870000000000001</v>
      </c>
      <c r="J18" s="258">
        <f>RANK(I18,$I$18:$I$22)</f>
        <v>4</v>
      </c>
      <c r="K18" s="281">
        <f>Scoring!I159</f>
        <v>0.5703125</v>
      </c>
      <c r="L18" s="258">
        <f>RANK(K18,$K$18:$K$22)</f>
        <v>5</v>
      </c>
      <c r="M18" s="260">
        <f t="shared" si="2"/>
        <v>9</v>
      </c>
      <c r="N18" s="258">
        <f>RANK(M18,$M$18:$M$22,1)</f>
        <v>4</v>
      </c>
    </row>
    <row r="19" spans="2:14" s="44" customFormat="1" ht="17">
      <c r="B19" s="240" t="s">
        <v>232</v>
      </c>
      <c r="C19" s="237" t="str">
        <f>"Fish = "&amp;Scoring!Y44</f>
        <v>Fish = 22</v>
      </c>
      <c r="D19" s="237" t="str">
        <f>"RFx,2.0 = "&amp;'BLM Performance'!V10</f>
        <v>RFx,2.0 = 0.87</v>
      </c>
      <c r="E19" s="237" t="str">
        <f>"Fish = "&amp;ROUND(Scoring!Y45,0)&amp;" ("&amp;ROUND(Scoring!Y46,0)&amp;")"</f>
        <v>Fish = 19 (12)</v>
      </c>
      <c r="F19" s="235" t="str">
        <f>"Fish = "&amp;N12</f>
        <v>Fish = 1</v>
      </c>
      <c r="G19" s="239"/>
      <c r="H19" s="248" t="s">
        <v>254</v>
      </c>
      <c r="I19" s="283">
        <f>Scoring!M158</f>
        <v>8.58</v>
      </c>
      <c r="J19" s="258">
        <f t="shared" ref="J19:J22" si="10">RANK(I19,$I$18:$I$22)</f>
        <v>5</v>
      </c>
      <c r="K19" s="281">
        <f>Scoring!M159</f>
        <v>4.753199268738574</v>
      </c>
      <c r="L19" s="258">
        <f t="shared" ref="L19:L22" si="11">RANK(K19,$K$18:$K$22)</f>
        <v>4</v>
      </c>
      <c r="M19" s="260">
        <f t="shared" si="2"/>
        <v>9</v>
      </c>
      <c r="N19" s="258">
        <f t="shared" ref="N19:N22" si="12">RANK(M19,$M$18:$M$22,1)</f>
        <v>4</v>
      </c>
    </row>
    <row r="20" spans="2:14" s="44" customFormat="1" ht="17">
      <c r="B20" s="236"/>
      <c r="C20" s="237" t="str">
        <f>"Inverts = "&amp;Scoring!Y112</f>
        <v>Inverts = 53</v>
      </c>
      <c r="D20" s="237" t="str">
        <f>"1/RFy,0.84 = "&amp;ROUND(1/'BLM Performance'!W10,2)</f>
        <v>1/RFy,0.84 = 0.53</v>
      </c>
      <c r="E20" s="237" t="str">
        <f>"Invert = "&amp;ROUND(Scoring!Y113,0)&amp;" ("&amp;ROUND(Scoring!Y114,0)&amp;")"</f>
        <v>Invert = 46 (28)</v>
      </c>
      <c r="F20" s="254" t="str">
        <f>"Invert = "&amp;N17</f>
        <v>Invert = 1</v>
      </c>
      <c r="G20" s="239"/>
      <c r="H20" s="248" t="s">
        <v>255</v>
      </c>
      <c r="I20" s="283">
        <f>Scoring!Q158</f>
        <v>25.6</v>
      </c>
      <c r="J20" s="258">
        <f t="shared" si="10"/>
        <v>2</v>
      </c>
      <c r="K20" s="281">
        <f>Scoring!Q159</f>
        <v>16.326530612244895</v>
      </c>
      <c r="L20" s="258">
        <f t="shared" si="11"/>
        <v>2</v>
      </c>
      <c r="M20" s="260">
        <f t="shared" si="2"/>
        <v>4</v>
      </c>
      <c r="N20" s="258">
        <f t="shared" si="12"/>
        <v>2</v>
      </c>
    </row>
    <row r="21" spans="2:14" s="44" customFormat="1" ht="17">
      <c r="B21" s="236"/>
      <c r="C21" s="237" t="str">
        <f>"Algae = "&amp;Scoring!Y150</f>
        <v>Algae = 26</v>
      </c>
      <c r="E21" s="236" t="str">
        <f>"Algae = "&amp;ROUND(Scoring!Y151,0)&amp;" ("&amp;ROUND(Scoring!Y152,0)&amp;")"</f>
        <v>Algae = 23 (14)</v>
      </c>
      <c r="F21" s="255" t="str">
        <f>"Algae = "&amp;N7</f>
        <v>Algae = 1</v>
      </c>
      <c r="G21" s="247"/>
      <c r="H21" s="248" t="s">
        <v>256</v>
      </c>
      <c r="I21" s="283">
        <f>Scoring!U158</f>
        <v>15.399999999999999</v>
      </c>
      <c r="J21" s="258">
        <f t="shared" si="10"/>
        <v>3</v>
      </c>
      <c r="K21" s="281">
        <f>Scoring!U159</f>
        <v>6.2857142857142856</v>
      </c>
      <c r="L21" s="258">
        <f t="shared" si="11"/>
        <v>3</v>
      </c>
      <c r="M21" s="260">
        <f t="shared" si="2"/>
        <v>6</v>
      </c>
      <c r="N21" s="258">
        <f t="shared" si="12"/>
        <v>3</v>
      </c>
    </row>
    <row r="22" spans="2:14" s="44" customFormat="1" ht="18" thickBot="1">
      <c r="B22" s="241"/>
      <c r="C22" s="238" t="str">
        <f>"Overall = "&amp;Scoring!Y157</f>
        <v>Overall = 101</v>
      </c>
      <c r="D22" s="245"/>
      <c r="E22" s="238" t="str">
        <f>"Overall = "&amp;ROUND(Scoring!Y158,0)&amp;" ("&amp;ROUND(Scoring!Y159,0)&amp;")"</f>
        <v>Overall = 88 (53)</v>
      </c>
      <c r="F22" s="256" t="str">
        <f>"Overall = "&amp;N22</f>
        <v>Overall = 1</v>
      </c>
      <c r="G22" s="247"/>
      <c r="H22" s="250" t="s">
        <v>257</v>
      </c>
      <c r="I22" s="284">
        <f>Scoring!Y158</f>
        <v>87.87</v>
      </c>
      <c r="J22" s="258">
        <f t="shared" si="10"/>
        <v>1</v>
      </c>
      <c r="K22" s="281">
        <f>Scoring!Y159</f>
        <v>53.157894736842103</v>
      </c>
      <c r="L22" s="258">
        <f t="shared" si="11"/>
        <v>1</v>
      </c>
      <c r="M22" s="260">
        <f t="shared" si="2"/>
        <v>2</v>
      </c>
      <c r="N22" s="258">
        <f t="shared" si="12"/>
        <v>1</v>
      </c>
    </row>
    <row r="23" spans="2:14">
      <c r="I23" s="246"/>
      <c r="J23" s="246"/>
    </row>
    <row r="24" spans="2:14">
      <c r="J24" s="44"/>
    </row>
    <row r="25" spans="2:14">
      <c r="J25" s="44"/>
    </row>
    <row r="26" spans="2:14">
      <c r="J26" s="44"/>
    </row>
    <row r="27" spans="2:14">
      <c r="J27" s="44"/>
    </row>
    <row r="28" spans="2:14">
      <c r="J28" s="44"/>
    </row>
  </sheetData>
  <sortState xmlns:xlrd2="http://schemas.microsoft.com/office/spreadsheetml/2017/richdata2" ref="H3:J22">
    <sortCondition ref="H3:H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3</vt:i4>
      </vt:variant>
    </vt:vector>
  </HeadingPairs>
  <TitlesOfParts>
    <vt:vector size="10" baseType="lpstr">
      <vt:lpstr>Hard Performance</vt:lpstr>
      <vt:lpstr>MLR Performance</vt:lpstr>
      <vt:lpstr>BLM Performance</vt:lpstr>
      <vt:lpstr>Ecotox data</vt:lpstr>
      <vt:lpstr>Model info</vt:lpstr>
      <vt:lpstr>Scoring</vt:lpstr>
      <vt:lpstr>Summary</vt:lpstr>
      <vt:lpstr>Hard RF Plot</vt:lpstr>
      <vt:lpstr>MLR RF Plots</vt:lpstr>
      <vt:lpstr>BLM RF 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Van Genderen</dc:creator>
  <cp:lastModifiedBy>Eric Van Genderen</cp:lastModifiedBy>
  <dcterms:created xsi:type="dcterms:W3CDTF">2017-12-06T05:13:28Z</dcterms:created>
  <dcterms:modified xsi:type="dcterms:W3CDTF">2019-07-17T19:03:54Z</dcterms:modified>
</cp:coreProperties>
</file>