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U\"/>
    </mc:Choice>
  </mc:AlternateContent>
  <xr:revisionPtr revIDLastSave="0" documentId="8_{AC571E46-0715-4FF7-B551-9E23DCC359E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Langmiur" sheetId="4" r:id="rId1"/>
    <sheet name="Freundlich" sheetId="3" r:id="rId2"/>
    <sheet name="RedlichPeterson" sheetId="2" r:id="rId3"/>
  </sheets>
  <externalReferences>
    <externalReference r:id="rId4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4" l="1"/>
  <c r="P26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P28" i="4"/>
  <c r="P29" i="4"/>
  <c r="E29" i="4"/>
  <c r="B25" i="4"/>
  <c r="V28" i="4"/>
  <c r="H24" i="4"/>
  <c r="G24" i="4"/>
  <c r="I24" i="4"/>
  <c r="E24" i="4"/>
  <c r="D23" i="4"/>
  <c r="Q23" i="4"/>
  <c r="H23" i="4"/>
  <c r="G23" i="4"/>
  <c r="I23" i="4"/>
  <c r="P23" i="4"/>
  <c r="M23" i="4"/>
  <c r="J23" i="4"/>
  <c r="L23" i="4"/>
  <c r="K23" i="4"/>
  <c r="E23" i="4"/>
  <c r="Y21" i="4"/>
  <c r="Y22" i="4"/>
  <c r="H19" i="4"/>
  <c r="G19" i="4"/>
  <c r="I19" i="4"/>
  <c r="AC22" i="4"/>
  <c r="H22" i="4"/>
  <c r="G22" i="4"/>
  <c r="I22" i="4"/>
  <c r="E22" i="4"/>
  <c r="H21" i="4"/>
  <c r="G21" i="4"/>
  <c r="I21" i="4"/>
  <c r="K21" i="4"/>
  <c r="J21" i="4"/>
  <c r="E21" i="4"/>
  <c r="D21" i="4"/>
  <c r="H20" i="4"/>
  <c r="G20" i="4"/>
  <c r="I20" i="4"/>
  <c r="E20" i="4"/>
  <c r="D19" i="4"/>
  <c r="Q19" i="4"/>
  <c r="P19" i="4"/>
  <c r="M19" i="4"/>
  <c r="J19" i="4"/>
  <c r="L19" i="4"/>
  <c r="K19" i="4"/>
  <c r="E19" i="4"/>
  <c r="H18" i="4"/>
  <c r="G18" i="4"/>
  <c r="I18" i="4"/>
  <c r="E18" i="4"/>
  <c r="D17" i="4"/>
  <c r="Q17" i="4"/>
  <c r="H17" i="4"/>
  <c r="G17" i="4"/>
  <c r="I17" i="4"/>
  <c r="P17" i="4"/>
  <c r="M17" i="4"/>
  <c r="J17" i="4"/>
  <c r="L17" i="4"/>
  <c r="K17" i="4"/>
  <c r="E17" i="4"/>
  <c r="H16" i="4"/>
  <c r="G16" i="4"/>
  <c r="I16" i="4"/>
  <c r="E16" i="4"/>
  <c r="C15" i="4"/>
  <c r="D15" i="4"/>
  <c r="Q15" i="4"/>
  <c r="H15" i="4"/>
  <c r="G15" i="4"/>
  <c r="I15" i="4"/>
  <c r="P15" i="4"/>
  <c r="M15" i="4"/>
  <c r="J15" i="4"/>
  <c r="L15" i="4"/>
  <c r="K15" i="4"/>
  <c r="E15" i="4"/>
  <c r="H14" i="4"/>
  <c r="G14" i="4"/>
  <c r="I14" i="4"/>
  <c r="E14" i="4"/>
  <c r="D13" i="4"/>
  <c r="Q13" i="4"/>
  <c r="H13" i="4"/>
  <c r="G13" i="4"/>
  <c r="I13" i="4"/>
  <c r="P13" i="4"/>
  <c r="M13" i="4"/>
  <c r="J13" i="4"/>
  <c r="L13" i="4"/>
  <c r="K13" i="4"/>
  <c r="E13" i="4"/>
  <c r="H12" i="4"/>
  <c r="G12" i="4"/>
  <c r="I12" i="4"/>
  <c r="E12" i="4"/>
  <c r="D11" i="4"/>
  <c r="Q11" i="4"/>
  <c r="H11" i="4"/>
  <c r="G11" i="4"/>
  <c r="I11" i="4"/>
  <c r="P11" i="4"/>
  <c r="M11" i="4"/>
  <c r="J11" i="4"/>
  <c r="L11" i="4"/>
  <c r="K11" i="4"/>
  <c r="E11" i="4"/>
  <c r="H10" i="4"/>
  <c r="G10" i="4"/>
  <c r="I10" i="4"/>
  <c r="E10" i="4"/>
  <c r="D9" i="4"/>
  <c r="M9" i="4"/>
  <c r="H9" i="4"/>
  <c r="G9" i="4"/>
  <c r="I9" i="4"/>
  <c r="J9" i="4"/>
  <c r="L9" i="4"/>
  <c r="K9" i="4"/>
  <c r="E9" i="4"/>
  <c r="F9" i="3"/>
  <c r="G9" i="3"/>
  <c r="F10" i="3"/>
  <c r="G10" i="3"/>
  <c r="I10" i="3"/>
  <c r="J10" i="3"/>
  <c r="F11" i="3"/>
  <c r="G11" i="3"/>
  <c r="I11" i="3"/>
  <c r="J11" i="3"/>
  <c r="F12" i="3"/>
  <c r="G12" i="3"/>
  <c r="I12" i="3"/>
  <c r="J12" i="3"/>
  <c r="U12" i="3"/>
  <c r="F13" i="3"/>
  <c r="G13" i="3"/>
  <c r="I13" i="3"/>
  <c r="J13" i="3"/>
  <c r="U13" i="3"/>
  <c r="F14" i="3"/>
  <c r="G14" i="3"/>
  <c r="I14" i="3"/>
  <c r="J14" i="3"/>
  <c r="F15" i="3"/>
  <c r="G15" i="3"/>
  <c r="I15" i="3"/>
  <c r="J15" i="3"/>
  <c r="F16" i="3"/>
  <c r="G16" i="3"/>
  <c r="I16" i="3"/>
  <c r="J16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H8" authorId="0" shapeId="0" xr:uid="{0C18C6DE-9F40-4B0C-90D2-A085D932BC84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Liter</t>
        </r>
      </text>
    </comment>
  </commentList>
</comments>
</file>

<file path=xl/sharedStrings.xml><?xml version="1.0" encoding="utf-8"?>
<sst xmlns="http://schemas.openxmlformats.org/spreadsheetml/2006/main" count="132" uniqueCount="84">
  <si>
    <t>Ce (mg/L)</t>
  </si>
  <si>
    <t>q=X/m (mg/g)</t>
  </si>
  <si>
    <t>x/m stdev</t>
  </si>
  <si>
    <t>Ca2+ Dairy Manure Modified Biochar</t>
  </si>
  <si>
    <t>Ce</t>
  </si>
  <si>
    <t>b2B9</t>
  </si>
  <si>
    <t>b1.5B9</t>
  </si>
  <si>
    <t>1 B9</t>
  </si>
  <si>
    <t>KF =</t>
  </si>
  <si>
    <t>75 B9</t>
  </si>
  <si>
    <t>n=</t>
  </si>
  <si>
    <t>B9 5</t>
  </si>
  <si>
    <t>Favorable adsorption</t>
  </si>
  <si>
    <t>slope =</t>
  </si>
  <si>
    <t>1/n =</t>
  </si>
  <si>
    <t>100 B9 5</t>
  </si>
  <si>
    <t>y-int =</t>
  </si>
  <si>
    <t xml:space="preserve">log KF = </t>
  </si>
  <si>
    <t>05 B9</t>
  </si>
  <si>
    <t xml:space="preserve">This point could be outlier. </t>
  </si>
  <si>
    <t>b25B9</t>
  </si>
  <si>
    <t>percent removal</t>
  </si>
  <si>
    <t>log Ce</t>
  </si>
  <si>
    <t>log q</t>
  </si>
  <si>
    <t>X (mg)</t>
  </si>
  <si>
    <t>volume (mL)</t>
  </si>
  <si>
    <t>m (g)</t>
  </si>
  <si>
    <t>C0 (mg/L)</t>
  </si>
  <si>
    <t>Freundlich</t>
  </si>
  <si>
    <t>if 1/n is &lt; 1 favorable adsorption</t>
  </si>
  <si>
    <t>Mass sorbed per mass sorbent</t>
  </si>
  <si>
    <t>Mass sorbed</t>
  </si>
  <si>
    <t>Volume F- solution</t>
  </si>
  <si>
    <t>mass of sorbant</t>
  </si>
  <si>
    <t>End F concentration</t>
  </si>
  <si>
    <t>Initial F concentration</t>
  </si>
  <si>
    <t>if 1/n is &gt; 1 unfavorable adsorption</t>
  </si>
  <si>
    <t>plot log q vs log Ce</t>
  </si>
  <si>
    <t>plot log q vs log m</t>
  </si>
  <si>
    <t>L</t>
  </si>
  <si>
    <t>volume=</t>
  </si>
  <si>
    <t>log q=log Kf + (1/n) log Ce</t>
  </si>
  <si>
    <t>gram</t>
  </si>
  <si>
    <t>m= mass of sorbant</t>
  </si>
  <si>
    <t>x=(C0-Ce)*Volume of liquid</t>
  </si>
  <si>
    <t>Langmiur</t>
  </si>
  <si>
    <t>Linear</t>
  </si>
  <si>
    <t xml:space="preserve">   </t>
  </si>
  <si>
    <t>1/q=(1/(qmax*KL))*(1/Ce)+(1/qmax)</t>
  </si>
  <si>
    <t>Ce/q=(1/(qmax*KL))+(Ce/qmax)</t>
  </si>
  <si>
    <t>Plot m/q vs x m</t>
  </si>
  <si>
    <t>plot 1/q vs 1/Ce (y-intercept = 1/qmax, and slope = 1/(qmax*KL)</t>
  </si>
  <si>
    <t>plot Ce/q vs Ce (slope = 1/qmax, and y-intercept = 1/(qmax*KL)</t>
  </si>
  <si>
    <t>ID</t>
  </si>
  <si>
    <t>average (Ce mg/L)</t>
  </si>
  <si>
    <t>C0-Ce</t>
  </si>
  <si>
    <r>
      <t xml:space="preserve">volume (mL)  </t>
    </r>
    <r>
      <rPr>
        <sz val="11"/>
        <color rgb="FFFF0000"/>
        <rFont val="Calibri"/>
        <family val="2"/>
        <scheme val="minor"/>
      </rPr>
      <t>(L)</t>
    </r>
  </si>
  <si>
    <t>average (x/m)</t>
  </si>
  <si>
    <t xml:space="preserve"> StDEV (x/m)</t>
  </si>
  <si>
    <t>1/q</t>
  </si>
  <si>
    <t>1/Ce</t>
  </si>
  <si>
    <t>pH</t>
  </si>
  <si>
    <t>Ce/q</t>
  </si>
  <si>
    <t>b25B9b</t>
  </si>
  <si>
    <t>05 B9b</t>
  </si>
  <si>
    <t>100 B9 5b</t>
  </si>
  <si>
    <t>B9 5b</t>
  </si>
  <si>
    <t>75 B9b</t>
  </si>
  <si>
    <t>1 B9b</t>
  </si>
  <si>
    <t>This point could be outlier. Better not included in the graph</t>
  </si>
  <si>
    <t>1/qmax=</t>
  </si>
  <si>
    <t>= qmax</t>
  </si>
  <si>
    <t>Evaluation of langmuir favorabilty using RL the dimensionless separation factor</t>
  </si>
  <si>
    <t>b1.5B9b</t>
  </si>
  <si>
    <t xml:space="preserve">1/qmaxKL = </t>
  </si>
  <si>
    <t xml:space="preserve">y int = </t>
  </si>
  <si>
    <t>= KL</t>
  </si>
  <si>
    <t>RL=</t>
  </si>
  <si>
    <t>favorable!</t>
  </si>
  <si>
    <t>What is the purpose using x/m instead of C0 in the demoninator?</t>
  </si>
  <si>
    <t>b2B9b</t>
  </si>
  <si>
    <t xml:space="preserve">This is for plot of Ce/q vs Ce. </t>
  </si>
  <si>
    <t>Ca2+ modified dairy manure biochar Langmuir extrapolation</t>
  </si>
  <si>
    <t xml:space="preserve">This is for plot of 1/q vs 1/Ce.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</si>
</sst>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/>
    <xf numFmtId="165" fontId="0" fillId="2" borderId="0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165" fontId="0" fillId="0" borderId="0" xfId="0" applyNumberForma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0" fillId="2" borderId="0" xfId="0" applyNumberFormat="1" applyFill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165" fontId="0" fillId="2" borderId="0" xfId="0" applyNumberFormat="1" applyFill="1"/>
    <xf numFmtId="49" fontId="0" fillId="2" borderId="0" xfId="0" applyNumberFormat="1" applyFill="1"/>
    <xf numFmtId="2" fontId="0" fillId="3" borderId="0" xfId="0" applyNumberFormat="1" applyFill="1"/>
    <xf numFmtId="2" fontId="0" fillId="0" borderId="0" xfId="0" applyNumberFormat="1" applyBorder="1"/>
    <xf numFmtId="164" fontId="0" fillId="0" borderId="0" xfId="0" applyNumberFormat="1" applyBorder="1"/>
    <xf numFmtId="49" fontId="0" fillId="0" borderId="0" xfId="0" applyNumberFormat="1"/>
    <xf numFmtId="0" fontId="4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Langmiur!$B$1</c:f>
              <c:strCache>
                <c:ptCount val="1"/>
                <c:pt idx="0">
                  <c:v>Langmiur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653366945732572"/>
                  <c:y val="-9.262904636920385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Langmiur!$L$9:$L$23</c:f>
              <c:numCache>
                <c:formatCode>0.00</c:formatCode>
                <c:ptCount val="15"/>
                <c:pt idx="0">
                  <c:v>0.9462127267882664</c:v>
                </c:pt>
                <c:pt idx="2">
                  <c:v>2.0291049999558011</c:v>
                </c:pt>
                <c:pt idx="4">
                  <c:v>2.3641667966958408</c:v>
                </c:pt>
                <c:pt idx="6">
                  <c:v>4.466753595647309</c:v>
                </c:pt>
                <c:pt idx="8">
                  <c:v>4.8586221080415442</c:v>
                </c:pt>
                <c:pt idx="10">
                  <c:v>5.8669957339501089</c:v>
                </c:pt>
                <c:pt idx="14">
                  <c:v>10.584993655551704</c:v>
                </c:pt>
              </c:numCache>
            </c:numRef>
          </c:xVal>
          <c:yVal>
            <c:numRef>
              <c:f>Langmiur!$M$9:$M$23</c:f>
              <c:numCache>
                <c:formatCode>0.00</c:formatCode>
                <c:ptCount val="15"/>
                <c:pt idx="0">
                  <c:v>0.16556291390728478</c:v>
                </c:pt>
                <c:pt idx="2">
                  <c:v>0.16339869281045752</c:v>
                </c:pt>
                <c:pt idx="4">
                  <c:v>0.21598272138228938</c:v>
                </c:pt>
                <c:pt idx="6">
                  <c:v>0.46082949308755761</c:v>
                </c:pt>
                <c:pt idx="8">
                  <c:v>0.5420054200542006</c:v>
                </c:pt>
                <c:pt idx="10">
                  <c:v>0.79681274900398413</c:v>
                </c:pt>
                <c:pt idx="14">
                  <c:v>1.5163002274450341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63-4D2A-B1A9-A248183A3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938656"/>
        <c:axId val="493933408"/>
      </c:scatterChart>
      <c:valAx>
        <c:axId val="49393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1/Ce (mg L-1)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3408"/>
        <c:crosses val="autoZero"/>
        <c:crossBetween val="midCat"/>
      </c:valAx>
      <c:valAx>
        <c:axId val="493933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1/q (mg F-/g biochar)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8656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Ca2+ Biochar 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Langmiur!$D$9:$D$23</c:f>
              <c:numCache>
                <c:formatCode>General</c:formatCode>
                <c:ptCount val="15"/>
                <c:pt idx="0">
                  <c:v>6.04</c:v>
                </c:pt>
                <c:pt idx="2" formatCode="0.00">
                  <c:v>6.12</c:v>
                </c:pt>
                <c:pt idx="4">
                  <c:v>4.6300000000000008</c:v>
                </c:pt>
                <c:pt idx="6" formatCode="0.00">
                  <c:v>2.17</c:v>
                </c:pt>
                <c:pt idx="8" formatCode="0.00">
                  <c:v>1.845</c:v>
                </c:pt>
                <c:pt idx="10" formatCode="0.00">
                  <c:v>1.2549999999999999</c:v>
                </c:pt>
                <c:pt idx="12">
                  <c:v>0.55900000000000005</c:v>
                </c:pt>
                <c:pt idx="14">
                  <c:v>0.65949999999999998</c:v>
                </c:pt>
              </c:numCache>
            </c:numRef>
          </c:xVal>
          <c:yVal>
            <c:numRef>
              <c:f>Langmiur!$J$9:$J$24</c:f>
              <c:numCache>
                <c:formatCode>0.00</c:formatCode>
                <c:ptCount val="16"/>
                <c:pt idx="0">
                  <c:v>1.0568447999999999</c:v>
                </c:pt>
                <c:pt idx="2">
                  <c:v>0.49282811881188132</c:v>
                </c:pt>
                <c:pt idx="4">
                  <c:v>0.42298199999999997</c:v>
                </c:pt>
                <c:pt idx="6">
                  <c:v>0.22387624</c:v>
                </c:pt>
                <c:pt idx="8">
                  <c:v>0.20581967021985348</c:v>
                </c:pt>
                <c:pt idx="10">
                  <c:v>0.1704449850224663</c:v>
                </c:pt>
                <c:pt idx="12">
                  <c:v>0.12748283372209263</c:v>
                </c:pt>
                <c:pt idx="14">
                  <c:v>9.4473367915106105E-2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D4-4E96-A88C-C0136260222D}"/>
            </c:ext>
          </c:extLst>
        </c:ser>
        <c:ser>
          <c:idx val="1"/>
          <c:order val="1"/>
          <c:tx>
            <c:v>Ca2+ Biochar Langmuir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Langmiur!$C$29:$C$42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Langmiur!$E$29:$E$42</c:f>
              <c:numCache>
                <c:formatCode>0.00</c:formatCode>
                <c:ptCount val="14"/>
                <c:pt idx="0">
                  <c:v>0</c:v>
                </c:pt>
                <c:pt idx="1">
                  <c:v>-14.556040756914117</c:v>
                </c:pt>
                <c:pt idx="2">
                  <c:v>25.062656641604018</c:v>
                </c:pt>
                <c:pt idx="3">
                  <c:v>13.140604467805518</c:v>
                </c:pt>
                <c:pt idx="4">
                  <c:v>10.615711252653929</c:v>
                </c:pt>
                <c:pt idx="5">
                  <c:v>9.5183704549781076</c:v>
                </c:pt>
                <c:pt idx="6">
                  <c:v>8.904719501335709</c:v>
                </c:pt>
                <c:pt idx="7">
                  <c:v>8.5127082573270094</c:v>
                </c:pt>
                <c:pt idx="8">
                  <c:v>8.2406262875978573</c:v>
                </c:pt>
                <c:pt idx="9">
                  <c:v>8.0407397480568221</c:v>
                </c:pt>
                <c:pt idx="10">
                  <c:v>7.8876794447073681</c:v>
                </c:pt>
                <c:pt idx="11">
                  <c:v>7.7667160912236115</c:v>
                </c:pt>
                <c:pt idx="12">
                  <c:v>7.6687116564417188</c:v>
                </c:pt>
                <c:pt idx="13">
                  <c:v>7.5876962586820769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D4-4E96-A88C-C0136260222D}"/>
            </c:ext>
          </c:extLst>
        </c:ser>
        <c:ser>
          <c:idx val="2"/>
          <c:order val="2"/>
          <c:tx>
            <c:v>Ca2+ Biochar Freundlich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Freundlich!$B$20:$B$33</c:f>
              <c:numCache>
                <c:formatCode>0.0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Freundlich!$C$20:$C$33</c:f>
              <c:numCache>
                <c:formatCode>0.0</c:formatCode>
                <c:ptCount val="14"/>
                <c:pt idx="0">
                  <c:v>0</c:v>
                </c:pt>
                <c:pt idx="1">
                  <c:v>9.4408057273496909E-2</c:v>
                </c:pt>
                <c:pt idx="2">
                  <c:v>0.14828594868540643</c:v>
                </c:pt>
                <c:pt idx="3">
                  <c:v>0.1931104812477899</c:v>
                </c:pt>
                <c:pt idx="4">
                  <c:v>0.23291150366361646</c:v>
                </c:pt>
                <c:pt idx="5">
                  <c:v>0.2693507081262973</c:v>
                </c:pt>
                <c:pt idx="6">
                  <c:v>0.30331702335498384</c:v>
                </c:pt>
                <c:pt idx="7">
                  <c:v>0.33535587891527163</c:v>
                </c:pt>
                <c:pt idx="8">
                  <c:v>0.36583215752920234</c:v>
                </c:pt>
                <c:pt idx="9">
                  <c:v>0.39500503500162454</c:v>
                </c:pt>
                <c:pt idx="10">
                  <c:v>0.42306691226455934</c:v>
                </c:pt>
                <c:pt idx="11">
                  <c:v>0.45016554940792119</c:v>
                </c:pt>
                <c:pt idx="12">
                  <c:v>0.4764175204911657</c:v>
                </c:pt>
                <c:pt idx="13">
                  <c:v>0.50191683238820806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D4-4E96-A88C-C01362602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938656"/>
        <c:axId val="493933408"/>
      </c:scatterChart>
      <c:valAx>
        <c:axId val="49393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 L-1)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3408"/>
        <c:crosses val="autoZero"/>
        <c:crossBetween val="midCat"/>
      </c:valAx>
      <c:valAx>
        <c:axId val="493933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q (mg F-/g biochar)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8656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v>Ca2+ Biochar Langmuir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Langmiur!$C$29:$C$42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cat>
          <c:val>
            <c:numRef>
              <c:f>Langmiur!$E$29:$E$42</c:f>
              <c:numCache>
                <c:formatCode>0.00</c:formatCode>
                <c:ptCount val="14"/>
                <c:pt idx="0">
                  <c:v>0</c:v>
                </c:pt>
                <c:pt idx="1">
                  <c:v>-14.556040756914117</c:v>
                </c:pt>
                <c:pt idx="2">
                  <c:v>25.062656641604018</c:v>
                </c:pt>
                <c:pt idx="3">
                  <c:v>13.140604467805518</c:v>
                </c:pt>
                <c:pt idx="4">
                  <c:v>10.615711252653929</c:v>
                </c:pt>
                <c:pt idx="5">
                  <c:v>9.5183704549781076</c:v>
                </c:pt>
                <c:pt idx="6">
                  <c:v>8.904719501335709</c:v>
                </c:pt>
                <c:pt idx="7">
                  <c:v>8.5127082573270094</c:v>
                </c:pt>
                <c:pt idx="8">
                  <c:v>8.2406262875978573</c:v>
                </c:pt>
                <c:pt idx="9">
                  <c:v>8.0407397480568221</c:v>
                </c:pt>
                <c:pt idx="10">
                  <c:v>7.8876794447073681</c:v>
                </c:pt>
                <c:pt idx="11">
                  <c:v>7.7667160912236115</c:v>
                </c:pt>
                <c:pt idx="12">
                  <c:v>7.6687116564417188</c:v>
                </c:pt>
                <c:pt idx="13">
                  <c:v>7.5876962586820769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A-4B3D-88EC-3140926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938656"/>
        <c:axId val="493933408"/>
      </c:lineChart>
      <c:scatterChart>
        <c:scatterStyle val="lineMarker"/>
        <c:varyColors val="0"/>
        <c:ser>
          <c:idx val="0"/>
          <c:order val="0"/>
          <c:tx>
            <c:v>Ca2+ Biochar 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Langmiur!$C$9:$C$23</c:f>
              <c:numCache>
                <c:formatCode>General</c:formatCode>
                <c:ptCount val="15"/>
                <c:pt idx="0">
                  <c:v>6.16</c:v>
                </c:pt>
                <c:pt idx="1">
                  <c:v>5.92</c:v>
                </c:pt>
                <c:pt idx="2" formatCode="0.00">
                  <c:v>6.25</c:v>
                </c:pt>
                <c:pt idx="3" formatCode="0.00">
                  <c:v>5.99</c:v>
                </c:pt>
                <c:pt idx="4">
                  <c:v>4.6100000000000003</c:v>
                </c:pt>
                <c:pt idx="5">
                  <c:v>4.6500000000000004</c:v>
                </c:pt>
                <c:pt idx="6" formatCode="0.00">
                  <c:v>2.08</c:v>
                </c:pt>
                <c:pt idx="7" formatCode="0.00">
                  <c:v>2.2599999999999998</c:v>
                </c:pt>
                <c:pt idx="8" formatCode="0.00">
                  <c:v>1.89</c:v>
                </c:pt>
                <c:pt idx="9" formatCode="0.00">
                  <c:v>1.8</c:v>
                </c:pt>
                <c:pt idx="10" formatCode="0.00">
                  <c:v>1.36</c:v>
                </c:pt>
                <c:pt idx="11" formatCode="0.00">
                  <c:v>1.1499999999999999</c:v>
                </c:pt>
                <c:pt idx="12">
                  <c:v>0.45600000000000002</c:v>
                </c:pt>
                <c:pt idx="13">
                  <c:v>0.66200000000000003</c:v>
                </c:pt>
                <c:pt idx="14">
                  <c:v>0.64900000000000002</c:v>
                </c:pt>
              </c:numCache>
            </c:numRef>
          </c:xVal>
          <c:yVal>
            <c:numRef>
              <c:f>Langmiur!$I$9:$I$23</c:f>
              <c:numCache>
                <c:formatCode>0.00</c:formatCode>
                <c:ptCount val="15"/>
                <c:pt idx="0">
                  <c:v>0.91272959999999981</c:v>
                </c:pt>
                <c:pt idx="1">
                  <c:v>1.20096</c:v>
                </c:pt>
                <c:pt idx="2">
                  <c:v>0.41469683168316851</c:v>
                </c:pt>
                <c:pt idx="3">
                  <c:v>0.57095940594059413</c:v>
                </c:pt>
                <c:pt idx="4">
                  <c:v>0.42902459999999992</c:v>
                </c:pt>
                <c:pt idx="5">
                  <c:v>0.41693939999999996</c:v>
                </c:pt>
                <c:pt idx="6">
                  <c:v>0.22930719999999999</c:v>
                </c:pt>
                <c:pt idx="7">
                  <c:v>0.21844528000000002</c:v>
                </c:pt>
                <c:pt idx="8">
                  <c:v>0.20400183211192541</c:v>
                </c:pt>
                <c:pt idx="9">
                  <c:v>0.20763750832778152</c:v>
                </c:pt>
                <c:pt idx="10">
                  <c:v>0.16729692461308035</c:v>
                </c:pt>
                <c:pt idx="11">
                  <c:v>0.17359304543185222</c:v>
                </c:pt>
                <c:pt idx="12">
                  <c:v>0.12954708963678774</c:v>
                </c:pt>
                <c:pt idx="13">
                  <c:v>0.12541857780739754</c:v>
                </c:pt>
                <c:pt idx="14">
                  <c:v>9.4631816978776526E-2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6A-4B3D-88EC-3140926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389440"/>
        <c:axId val="593388456"/>
      </c:scatterChart>
      <c:catAx>
        <c:axId val="49393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 L-1)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3408"/>
        <c:crosses val="autoZero"/>
        <c:auto val="1"/>
        <c:lblAlgn val="ctr"/>
        <c:lblOffset val="100"/>
        <c:noMultiLvlLbl val="0"/>
      </c:catAx>
      <c:valAx>
        <c:axId val="493933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q (mg F-/g biochar)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8656"/>
        <c:crosses val="autoZero"/>
        <c:crossBetween val="between"/>
      </c:valAx>
      <c:valAx>
        <c:axId val="5933884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3389440"/>
        <c:crosses val="max"/>
        <c:crossBetween val="midCat"/>
      </c:valAx>
      <c:valAx>
        <c:axId val="59338944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3388456"/>
        <c:crosses val="max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82608695652176"/>
          <c:y val="0.17919113073293583"/>
          <c:w val="0.83528326745718062"/>
          <c:h val="0.61984547813026258"/>
        </c:manualLayout>
      </c:layout>
      <c:scatterChart>
        <c:scatterStyle val="lineMarker"/>
        <c:varyColors val="0"/>
        <c:ser>
          <c:idx val="0"/>
          <c:order val="0"/>
          <c:tx>
            <c:strRef>
              <c:f>Langmiur!$B$1</c:f>
              <c:strCache>
                <c:ptCount val="1"/>
                <c:pt idx="0">
                  <c:v>Langmiur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653366945732572"/>
                  <c:y val="-9.2629046369203851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Langmiur!$Q$9:$Q$23</c:f>
              <c:numCache>
                <c:formatCode>General</c:formatCode>
                <c:ptCount val="15"/>
                <c:pt idx="2">
                  <c:v>6.12</c:v>
                </c:pt>
                <c:pt idx="4">
                  <c:v>4.6300000000000008</c:v>
                </c:pt>
                <c:pt idx="6">
                  <c:v>2.17</c:v>
                </c:pt>
                <c:pt idx="8">
                  <c:v>1.845</c:v>
                </c:pt>
                <c:pt idx="10">
                  <c:v>1.2549999999999999</c:v>
                </c:pt>
                <c:pt idx="14">
                  <c:v>0.65949999999999998</c:v>
                </c:pt>
              </c:numCache>
            </c:numRef>
          </c:xVal>
          <c:yVal>
            <c:numRef>
              <c:f>Langmiur!$P$9:$P$23</c:f>
              <c:numCache>
                <c:formatCode>General</c:formatCode>
                <c:ptCount val="15"/>
                <c:pt idx="2" formatCode="0.00">
                  <c:v>14.757768886635059</c:v>
                </c:pt>
                <c:pt idx="4" formatCode="0.00">
                  <c:v>10.791921955058058</c:v>
                </c:pt>
                <c:pt idx="6" formatCode="0.00">
                  <c:v>9.4632876769678411</c:v>
                </c:pt>
                <c:pt idx="8" formatCode="0.00">
                  <c:v>9.0440364231030159</c:v>
                </c:pt>
                <c:pt idx="10" formatCode="0.00">
                  <c:v>7.5016322200932795</c:v>
                </c:pt>
                <c:pt idx="14" formatCode="0.00">
                  <c:v>6.9691148395460782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C3-4CB3-8003-5CECCD70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938656"/>
        <c:axId val="493933408"/>
      </c:scatterChart>
      <c:valAx>
        <c:axId val="49393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 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3408"/>
        <c:crosses val="autoZero"/>
        <c:crossBetween val="midCat"/>
      </c:valAx>
      <c:valAx>
        <c:axId val="493933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Ce/q</a:t>
                </a:r>
              </a:p>
            </c:rich>
          </c:tx>
          <c:layout>
            <c:manualLayout>
              <c:xMode val="edge"/>
              <c:yMode val="edge"/>
              <c:x val="1.0540184453227932E-2"/>
              <c:y val="0.420074947278988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3938656"/>
        <c:crosses val="autoZero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590223097112861"/>
          <c:y val="0.17171296296296296"/>
          <c:w val="0.77138954505686785"/>
          <c:h val="0.697386597450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Freundlich!$A$8</c:f>
              <c:strCache>
                <c:ptCount val="1"/>
                <c:pt idx="0">
                  <c:v>Freundlich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238998250218723"/>
                  <c:y val="-8.24070640754393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Freundlich!$J$9:$J$16</c:f>
              <c:numCache>
                <c:formatCode>0.0</c:formatCode>
                <c:ptCount val="8"/>
                <c:pt idx="1">
                  <c:v>0.78527287462221351</c:v>
                </c:pt>
                <c:pt idx="2">
                  <c:v>0.66558099101795321</c:v>
                </c:pt>
                <c:pt idx="3">
                  <c:v>0.33645973384852951</c:v>
                </c:pt>
                <c:pt idx="4">
                  <c:v>0.26107245139082275</c:v>
                </c:pt>
                <c:pt idx="5">
                  <c:v>9.1385542078367632E-2</c:v>
                </c:pt>
                <c:pt idx="6">
                  <c:v>-0.25258819211357664</c:v>
                </c:pt>
                <c:pt idx="7">
                  <c:v>-0.18078520011761592</c:v>
                </c:pt>
              </c:numCache>
            </c:numRef>
          </c:xVal>
          <c:yVal>
            <c:numRef>
              <c:f>Freundlich!$I$9:$I$16</c:f>
              <c:numCache>
                <c:formatCode>0.00</c:formatCode>
                <c:ptCount val="8"/>
                <c:pt idx="1">
                  <c:v>-0.29642567038481699</c:v>
                </c:pt>
                <c:pt idx="2">
                  <c:v>-0.37367811363442477</c:v>
                </c:pt>
                <c:pt idx="3">
                  <c:v>-0.64999199567706645</c:v>
                </c:pt>
                <c:pt idx="4">
                  <c:v>-0.68474375275466925</c:v>
                </c:pt>
                <c:pt idx="5">
                  <c:v>-0.76682969677808277</c:v>
                </c:pt>
                <c:pt idx="6">
                  <c:v>-0.89454829147858306</c:v>
                </c:pt>
                <c:pt idx="7">
                  <c:v>-1.0246906020474751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11-4C21-ABF0-302BBD998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33472"/>
        <c:axId val="402640032"/>
      </c:scatterChart>
      <c:valAx>
        <c:axId val="402633472"/>
        <c:scaling>
          <c:orientation val="minMax"/>
          <c:max val="0.9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Ce</a:t>
                </a:r>
              </a:p>
            </c:rich>
          </c:tx>
          <c:layout>
            <c:manualLayout>
              <c:xMode val="edge"/>
              <c:yMode val="edge"/>
              <c:x val="0.42317344706911636"/>
              <c:y val="0.9013291046952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40032"/>
        <c:crossesAt val="-1"/>
        <c:crossBetween val="midCat"/>
      </c:valAx>
      <c:valAx>
        <c:axId val="402640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q (mg F-/g biochar)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77548118985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33472"/>
        <c:crossesAt val="-1"/>
        <c:crossBetween val="midCat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0223097112861"/>
          <c:y val="6.5740066451231177E-2"/>
          <c:w val="0.78805621172353468"/>
          <c:h val="0.74374175048928137"/>
        </c:manualLayout>
      </c:layout>
      <c:scatterChart>
        <c:scatterStyle val="lineMarker"/>
        <c:varyColors val="0"/>
        <c:ser>
          <c:idx val="0"/>
          <c:order val="0"/>
          <c:tx>
            <c:v>DM-Ca-BC Experimental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Freundlich!$H$9:$H$16</c:f>
                <c:numCache>
                  <c:formatCode>General</c:formatCode>
                  <c:ptCount val="8"/>
                  <c:pt idx="0">
                    <c:v>0.14411520000000042</c:v>
                  </c:pt>
                  <c:pt idx="1">
                    <c:v>7.8131287128712784E-2</c:v>
                  </c:pt>
                  <c:pt idx="2">
                    <c:v>6.0425999999999813E-3</c:v>
                  </c:pt>
                  <c:pt idx="3">
                    <c:v>5.4309599999999847E-3</c:v>
                  </c:pt>
                  <c:pt idx="4">
                    <c:v>1.8178381079280576E-3</c:v>
                  </c:pt>
                  <c:pt idx="5">
                    <c:v>3.148060409385936E-3</c:v>
                  </c:pt>
                  <c:pt idx="6">
                    <c:v>2.0642559146950984E-3</c:v>
                  </c:pt>
                  <c:pt idx="7">
                    <c:v>1.5844906367041417E-4</c:v>
                  </c:pt>
                </c:numCache>
              </c:numRef>
            </c:plus>
            <c:minus>
              <c:numRef>
                <c:f>Freundlich!$H$9:$H$16</c:f>
                <c:numCache>
                  <c:formatCode>General</c:formatCode>
                  <c:ptCount val="8"/>
                  <c:pt idx="0">
                    <c:v>0.14411520000000042</c:v>
                  </c:pt>
                  <c:pt idx="1">
                    <c:v>7.8131287128712784E-2</c:v>
                  </c:pt>
                  <c:pt idx="2">
                    <c:v>6.0425999999999813E-3</c:v>
                  </c:pt>
                  <c:pt idx="3">
                    <c:v>5.4309599999999847E-3</c:v>
                  </c:pt>
                  <c:pt idx="4">
                    <c:v>1.8178381079280576E-3</c:v>
                  </c:pt>
                  <c:pt idx="5">
                    <c:v>3.148060409385936E-3</c:v>
                  </c:pt>
                  <c:pt idx="6">
                    <c:v>2.0642559146950984E-3</c:v>
                  </c:pt>
                  <c:pt idx="7">
                    <c:v>1.5844906367041417E-4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Freundlich!$C$9:$C$16</c:f>
              <c:numCache>
                <c:formatCode>0.00</c:formatCode>
                <c:ptCount val="8"/>
                <c:pt idx="0">
                  <c:v>6.04</c:v>
                </c:pt>
                <c:pt idx="1">
                  <c:v>6.0991999999999997</c:v>
                </c:pt>
                <c:pt idx="2">
                  <c:v>4.6300000000000008</c:v>
                </c:pt>
                <c:pt idx="3">
                  <c:v>2.17</c:v>
                </c:pt>
                <c:pt idx="4">
                  <c:v>1.8242</c:v>
                </c:pt>
                <c:pt idx="5">
                  <c:v>1.2342</c:v>
                </c:pt>
                <c:pt idx="6">
                  <c:v>0.55900000000000005</c:v>
                </c:pt>
                <c:pt idx="7">
                  <c:v>0.65949999999999998</c:v>
                </c:pt>
              </c:numCache>
            </c:numRef>
          </c:xVal>
          <c:yVal>
            <c:numRef>
              <c:f>Freundlich!$G$9:$G$16</c:f>
              <c:numCache>
                <c:formatCode>0.00</c:formatCode>
                <c:ptCount val="8"/>
                <c:pt idx="0">
                  <c:v>1.0568447999999999</c:v>
                </c:pt>
                <c:pt idx="1">
                  <c:v>0.5053291247524756</c:v>
                </c:pt>
                <c:pt idx="2">
                  <c:v>0.42298199999999986</c:v>
                </c:pt>
                <c:pt idx="3">
                  <c:v>0.22387624</c:v>
                </c:pt>
                <c:pt idx="4">
                  <c:v>0.20665991538974018</c:v>
                </c:pt>
                <c:pt idx="5">
                  <c:v>0.17106860079880176</c:v>
                </c:pt>
                <c:pt idx="6">
                  <c:v>0.12748283372209263</c:v>
                </c:pt>
                <c:pt idx="7">
                  <c:v>9.4473367915106118E-2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04-47AA-907A-F0E8DB0F8E12}"/>
            </c:ext>
          </c:extLst>
        </c:ser>
        <c:ser>
          <c:idx val="1"/>
          <c:order val="1"/>
          <c:tx>
            <c:v>DM-Ca-BC Freundlich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Freundlich!$B$20:$B$33</c:f>
              <c:numCache>
                <c:formatCode>0.0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Freundlich!$C$20:$C$33</c:f>
              <c:numCache>
                <c:formatCode>0.0</c:formatCode>
                <c:ptCount val="14"/>
                <c:pt idx="0">
                  <c:v>0</c:v>
                </c:pt>
                <c:pt idx="1">
                  <c:v>9.4408057273496909E-2</c:v>
                </c:pt>
                <c:pt idx="2">
                  <c:v>0.14828594868540643</c:v>
                </c:pt>
                <c:pt idx="3">
                  <c:v>0.1931104812477899</c:v>
                </c:pt>
                <c:pt idx="4">
                  <c:v>0.23291150366361646</c:v>
                </c:pt>
                <c:pt idx="5">
                  <c:v>0.2693507081262973</c:v>
                </c:pt>
                <c:pt idx="6">
                  <c:v>0.30331702335498384</c:v>
                </c:pt>
                <c:pt idx="7">
                  <c:v>0.33535587891527163</c:v>
                </c:pt>
                <c:pt idx="8">
                  <c:v>0.36583215752920234</c:v>
                </c:pt>
                <c:pt idx="9">
                  <c:v>0.39500503500162454</c:v>
                </c:pt>
                <c:pt idx="10">
                  <c:v>0.42306691226455934</c:v>
                </c:pt>
                <c:pt idx="11">
                  <c:v>0.45016554940792119</c:v>
                </c:pt>
                <c:pt idx="12">
                  <c:v>0.4764175204911657</c:v>
                </c:pt>
                <c:pt idx="13">
                  <c:v>0.50191683238820806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04-47AA-907A-F0E8DB0F8E12}"/>
            </c:ext>
          </c:extLst>
        </c:ser>
        <c:ser>
          <c:idx val="2"/>
          <c:order val="2"/>
          <c:tx>
            <c:v>DM-Ca-BC Langmuir</c:v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[1]Langmiur!$C$29:$C$42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[1]Langmiur!$E$29:$E$42</c:f>
              <c:numCache>
                <c:formatCode>General</c:formatCode>
                <c:ptCount val="14"/>
                <c:pt idx="0">
                  <c:v>0</c:v>
                </c:pt>
                <c:pt idx="1">
                  <c:v>-14.556040756914117</c:v>
                </c:pt>
                <c:pt idx="2">
                  <c:v>25.062656641604018</c:v>
                </c:pt>
                <c:pt idx="3">
                  <c:v>13.140604467805518</c:v>
                </c:pt>
                <c:pt idx="4">
                  <c:v>10.615711252653929</c:v>
                </c:pt>
                <c:pt idx="5">
                  <c:v>9.5183704549781076</c:v>
                </c:pt>
                <c:pt idx="6">
                  <c:v>8.904719501335709</c:v>
                </c:pt>
                <c:pt idx="7">
                  <c:v>8.5127082573270094</c:v>
                </c:pt>
                <c:pt idx="8">
                  <c:v>8.2406262875978573</c:v>
                </c:pt>
                <c:pt idx="9">
                  <c:v>8.0407397480568221</c:v>
                </c:pt>
                <c:pt idx="10">
                  <c:v>7.8876794447073681</c:v>
                </c:pt>
                <c:pt idx="11">
                  <c:v>7.7667160912236115</c:v>
                </c:pt>
                <c:pt idx="12">
                  <c:v>7.6687116564417188</c:v>
                </c:pt>
                <c:pt idx="13">
                  <c:v>7.5876962586820769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04-47AA-907A-F0E8DB0F8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33472"/>
        <c:axId val="402640032"/>
      </c:scatterChart>
      <c:valAx>
        <c:axId val="40263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 L-1)</a:t>
                </a:r>
              </a:p>
            </c:rich>
          </c:tx>
          <c:layout>
            <c:manualLayout>
              <c:xMode val="edge"/>
              <c:yMode val="edge"/>
              <c:x val="0.42317344706911636"/>
              <c:y val="0.9013291046952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40032"/>
        <c:crossesAt val="-1"/>
        <c:crossBetween val="midCat"/>
      </c:valAx>
      <c:valAx>
        <c:axId val="402640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q (mg F-/g biochar)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77548118985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33472"/>
        <c:crossesAt val="-1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912769028871391"/>
          <c:y val="0.33877042465067592"/>
          <c:w val="0.44483420822397202"/>
          <c:h val="0.23706510644502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0223097112861"/>
          <c:y val="6.5740066451231177E-2"/>
          <c:w val="0.78805621172353468"/>
          <c:h val="0.74374175048928137"/>
        </c:manualLayout>
      </c:layout>
      <c:scatterChart>
        <c:scatterStyle val="lineMarker"/>
        <c:varyColors val="0"/>
        <c:ser>
          <c:idx val="0"/>
          <c:order val="0"/>
          <c:tx>
            <c:v>Biochar Experimental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Freundlich!$H$9:$H$16</c:f>
                <c:numCache>
                  <c:formatCode>General</c:formatCode>
                  <c:ptCount val="8"/>
                  <c:pt idx="0">
                    <c:v>0.14411520000000042</c:v>
                  </c:pt>
                  <c:pt idx="1">
                    <c:v>7.8131287128712784E-2</c:v>
                  </c:pt>
                  <c:pt idx="2">
                    <c:v>6.0425999999999813E-3</c:v>
                  </c:pt>
                  <c:pt idx="3">
                    <c:v>5.4309599999999847E-3</c:v>
                  </c:pt>
                  <c:pt idx="4">
                    <c:v>1.8178381079280576E-3</c:v>
                  </c:pt>
                  <c:pt idx="5">
                    <c:v>3.148060409385936E-3</c:v>
                  </c:pt>
                  <c:pt idx="6">
                    <c:v>2.0642559146950984E-3</c:v>
                  </c:pt>
                  <c:pt idx="7">
                    <c:v>1.5844906367041417E-4</c:v>
                  </c:pt>
                </c:numCache>
              </c:numRef>
            </c:plus>
            <c:minus>
              <c:numRef>
                <c:f>Freundlich!$H$9:$H$16</c:f>
                <c:numCache>
                  <c:formatCode>General</c:formatCode>
                  <c:ptCount val="8"/>
                  <c:pt idx="0">
                    <c:v>0.14411520000000042</c:v>
                  </c:pt>
                  <c:pt idx="1">
                    <c:v>7.8131287128712784E-2</c:v>
                  </c:pt>
                  <c:pt idx="2">
                    <c:v>6.0425999999999813E-3</c:v>
                  </c:pt>
                  <c:pt idx="3">
                    <c:v>5.4309599999999847E-3</c:v>
                  </c:pt>
                  <c:pt idx="4">
                    <c:v>1.8178381079280576E-3</c:v>
                  </c:pt>
                  <c:pt idx="5">
                    <c:v>3.148060409385936E-3</c:v>
                  </c:pt>
                  <c:pt idx="6">
                    <c:v>2.0642559146950984E-3</c:v>
                  </c:pt>
                  <c:pt idx="7">
                    <c:v>1.5844906367041417E-4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Freundlich!$C$9:$C$16</c:f>
              <c:numCache>
                <c:formatCode>0.00</c:formatCode>
                <c:ptCount val="8"/>
                <c:pt idx="0">
                  <c:v>6.04</c:v>
                </c:pt>
                <c:pt idx="1">
                  <c:v>6.0991999999999997</c:v>
                </c:pt>
                <c:pt idx="2">
                  <c:v>4.6300000000000008</c:v>
                </c:pt>
                <c:pt idx="3">
                  <c:v>2.17</c:v>
                </c:pt>
                <c:pt idx="4">
                  <c:v>1.8242</c:v>
                </c:pt>
                <c:pt idx="5">
                  <c:v>1.2342</c:v>
                </c:pt>
                <c:pt idx="6">
                  <c:v>0.55900000000000005</c:v>
                </c:pt>
                <c:pt idx="7">
                  <c:v>0.65949999999999998</c:v>
                </c:pt>
              </c:numCache>
            </c:numRef>
          </c:xVal>
          <c:yVal>
            <c:numRef>
              <c:f>Freundlich!$G$9:$G$16</c:f>
              <c:numCache>
                <c:formatCode>0.00</c:formatCode>
                <c:ptCount val="8"/>
                <c:pt idx="0">
                  <c:v>1.0568447999999999</c:v>
                </c:pt>
                <c:pt idx="1">
                  <c:v>0.5053291247524756</c:v>
                </c:pt>
                <c:pt idx="2">
                  <c:v>0.42298199999999986</c:v>
                </c:pt>
                <c:pt idx="3">
                  <c:v>0.22387624</c:v>
                </c:pt>
                <c:pt idx="4">
                  <c:v>0.20665991538974018</c:v>
                </c:pt>
                <c:pt idx="5">
                  <c:v>0.17106860079880176</c:v>
                </c:pt>
                <c:pt idx="6">
                  <c:v>0.12748283372209263</c:v>
                </c:pt>
                <c:pt idx="7">
                  <c:v>9.4473367915106118E-2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0-47EE-83E3-A24F691DD9DB}"/>
            </c:ext>
          </c:extLst>
        </c:ser>
        <c:ser>
          <c:idx val="1"/>
          <c:order val="1"/>
          <c:tx>
            <c:v>Biochar Freundlich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Freundlich!$B$20:$B$33</c:f>
              <c:numCache>
                <c:formatCode>0.0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Freundlich!$C$20:$C$33</c:f>
              <c:numCache>
                <c:formatCode>0.0</c:formatCode>
                <c:ptCount val="14"/>
                <c:pt idx="0">
                  <c:v>0</c:v>
                </c:pt>
                <c:pt idx="1">
                  <c:v>9.4408057273496909E-2</c:v>
                </c:pt>
                <c:pt idx="2">
                  <c:v>0.14828594868540643</c:v>
                </c:pt>
                <c:pt idx="3">
                  <c:v>0.1931104812477899</c:v>
                </c:pt>
                <c:pt idx="4">
                  <c:v>0.23291150366361646</c:v>
                </c:pt>
                <c:pt idx="5">
                  <c:v>0.2693507081262973</c:v>
                </c:pt>
                <c:pt idx="6">
                  <c:v>0.30331702335498384</c:v>
                </c:pt>
                <c:pt idx="7">
                  <c:v>0.33535587891527163</c:v>
                </c:pt>
                <c:pt idx="8">
                  <c:v>0.36583215752920234</c:v>
                </c:pt>
                <c:pt idx="9">
                  <c:v>0.39500503500162454</c:v>
                </c:pt>
                <c:pt idx="10">
                  <c:v>0.42306691226455934</c:v>
                </c:pt>
                <c:pt idx="11">
                  <c:v>0.45016554940792119</c:v>
                </c:pt>
                <c:pt idx="12">
                  <c:v>0.4764175204911657</c:v>
                </c:pt>
                <c:pt idx="13">
                  <c:v>0.50191683238820806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C0-47EE-83E3-A24F691DD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33472"/>
        <c:axId val="402640032"/>
      </c:scatterChart>
      <c:valAx>
        <c:axId val="40263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 L-1)</a:t>
                </a:r>
              </a:p>
            </c:rich>
          </c:tx>
          <c:layout>
            <c:manualLayout>
              <c:xMode val="edge"/>
              <c:yMode val="edge"/>
              <c:x val="0.42317344706911636"/>
              <c:y val="0.9013291046952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40032"/>
        <c:crossesAt val="-1"/>
        <c:crossBetween val="midCat"/>
      </c:valAx>
      <c:valAx>
        <c:axId val="402640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q (mg F-/g biochar)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77548118985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33472"/>
        <c:crossesAt val="-1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9127690288713911"/>
          <c:y val="8.4140784485272638E-2"/>
          <c:w val="0.3976119860017498"/>
          <c:h val="0.200028069407990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9575390553978"/>
          <c:y val="6.5740066451231177E-2"/>
          <c:w val="0.76733379020340031"/>
          <c:h val="0.74374175048928137"/>
        </c:manualLayout>
      </c:layout>
      <c:scatterChart>
        <c:scatterStyle val="lineMarker"/>
        <c:varyColors val="0"/>
        <c:ser>
          <c:idx val="2"/>
          <c:order val="2"/>
          <c:tx>
            <c:v>DM-Ca-BC Langmuir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[1]Langmiur!$C$29:$C$42</c:f>
              <c:numCache>
                <c:formatCode>General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[1]Langmiur!$E$29:$E$42</c:f>
              <c:numCache>
                <c:formatCode>General</c:formatCode>
                <c:ptCount val="14"/>
                <c:pt idx="0">
                  <c:v>0</c:v>
                </c:pt>
                <c:pt idx="1">
                  <c:v>-14.556040756914117</c:v>
                </c:pt>
                <c:pt idx="2">
                  <c:v>25.062656641604018</c:v>
                </c:pt>
                <c:pt idx="3">
                  <c:v>13.140604467805518</c:v>
                </c:pt>
                <c:pt idx="4">
                  <c:v>10.615711252653929</c:v>
                </c:pt>
                <c:pt idx="5">
                  <c:v>9.5183704549781076</c:v>
                </c:pt>
                <c:pt idx="6">
                  <c:v>8.904719501335709</c:v>
                </c:pt>
                <c:pt idx="7">
                  <c:v>8.5127082573270094</c:v>
                </c:pt>
                <c:pt idx="8">
                  <c:v>8.2406262875978573</c:v>
                </c:pt>
                <c:pt idx="9">
                  <c:v>8.0407397480568221</c:v>
                </c:pt>
                <c:pt idx="10">
                  <c:v>7.8876794447073681</c:v>
                </c:pt>
                <c:pt idx="11">
                  <c:v>7.7667160912236115</c:v>
                </c:pt>
                <c:pt idx="12">
                  <c:v>7.6687116564417188</c:v>
                </c:pt>
                <c:pt idx="13">
                  <c:v>7.5876962586820769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95-4200-A132-BF7E64ED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33472"/>
        <c:axId val="402640032"/>
      </c:scatterChart>
      <c:scatterChart>
        <c:scatterStyle val="lineMarker"/>
        <c:varyColors val="0"/>
        <c:ser>
          <c:idx val="0"/>
          <c:order val="0"/>
          <c:tx>
            <c:v>DM-Ca-BC Experimental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9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Freundlich!$H$9:$H$16</c:f>
                <c:numCache>
                  <c:formatCode>General</c:formatCode>
                  <c:ptCount val="8"/>
                  <c:pt idx="0">
                    <c:v>0.14411520000000042</c:v>
                  </c:pt>
                  <c:pt idx="1">
                    <c:v>7.8131287128712784E-2</c:v>
                  </c:pt>
                  <c:pt idx="2">
                    <c:v>6.0425999999999813E-3</c:v>
                  </c:pt>
                  <c:pt idx="3">
                    <c:v>5.4309599999999847E-3</c:v>
                  </c:pt>
                  <c:pt idx="4">
                    <c:v>1.8178381079280576E-3</c:v>
                  </c:pt>
                  <c:pt idx="5">
                    <c:v>3.148060409385936E-3</c:v>
                  </c:pt>
                  <c:pt idx="6">
                    <c:v>2.0642559146950984E-3</c:v>
                  </c:pt>
                  <c:pt idx="7">
                    <c:v>1.5844906367041417E-4</c:v>
                  </c:pt>
                </c:numCache>
              </c:numRef>
            </c:plus>
            <c:minus>
              <c:numRef>
                <c:f>Freundlich!$H$9:$H$16</c:f>
                <c:numCache>
                  <c:formatCode>General</c:formatCode>
                  <c:ptCount val="8"/>
                  <c:pt idx="0">
                    <c:v>0.14411520000000042</c:v>
                  </c:pt>
                  <c:pt idx="1">
                    <c:v>7.8131287128712784E-2</c:v>
                  </c:pt>
                  <c:pt idx="2">
                    <c:v>6.0425999999999813E-3</c:v>
                  </c:pt>
                  <c:pt idx="3">
                    <c:v>5.4309599999999847E-3</c:v>
                  </c:pt>
                  <c:pt idx="4">
                    <c:v>1.8178381079280576E-3</c:v>
                  </c:pt>
                  <c:pt idx="5">
                    <c:v>3.148060409385936E-3</c:v>
                  </c:pt>
                  <c:pt idx="6">
                    <c:v>2.0642559146950984E-3</c:v>
                  </c:pt>
                  <c:pt idx="7">
                    <c:v>1.5844906367041417E-4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Freundlich!$C$9:$C$16</c:f>
              <c:numCache>
                <c:formatCode>0.00</c:formatCode>
                <c:ptCount val="8"/>
                <c:pt idx="0">
                  <c:v>6.04</c:v>
                </c:pt>
                <c:pt idx="1">
                  <c:v>6.0991999999999997</c:v>
                </c:pt>
                <c:pt idx="2">
                  <c:v>4.6300000000000008</c:v>
                </c:pt>
                <c:pt idx="3">
                  <c:v>2.17</c:v>
                </c:pt>
                <c:pt idx="4">
                  <c:v>1.8242</c:v>
                </c:pt>
                <c:pt idx="5">
                  <c:v>1.2342</c:v>
                </c:pt>
                <c:pt idx="6">
                  <c:v>0.55900000000000005</c:v>
                </c:pt>
                <c:pt idx="7">
                  <c:v>0.65949999999999998</c:v>
                </c:pt>
              </c:numCache>
            </c:numRef>
          </c:xVal>
          <c:yVal>
            <c:numRef>
              <c:f>Freundlich!$G$9:$G$16</c:f>
              <c:numCache>
                <c:formatCode>0.00</c:formatCode>
                <c:ptCount val="8"/>
                <c:pt idx="0">
                  <c:v>1.0568447999999999</c:v>
                </c:pt>
                <c:pt idx="1">
                  <c:v>0.5053291247524756</c:v>
                </c:pt>
                <c:pt idx="2">
                  <c:v>0.42298199999999986</c:v>
                </c:pt>
                <c:pt idx="3">
                  <c:v>0.22387624</c:v>
                </c:pt>
                <c:pt idx="4">
                  <c:v>0.20665991538974018</c:v>
                </c:pt>
                <c:pt idx="5">
                  <c:v>0.17106860079880176</c:v>
                </c:pt>
                <c:pt idx="6">
                  <c:v>0.12748283372209263</c:v>
                </c:pt>
                <c:pt idx="7">
                  <c:v>9.4473367915106118E-2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95-4200-A132-BF7E64ED31DB}"/>
            </c:ext>
          </c:extLst>
        </c:ser>
        <c:ser>
          <c:idx val="1"/>
          <c:order val="1"/>
          <c:tx>
            <c:v>DM-Ca-BC Freundlich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Freundlich!$B$20:$B$33</c:f>
              <c:numCache>
                <c:formatCode>0.0</c:formatCode>
                <c:ptCount val="1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</c:numCache>
            </c:numRef>
          </c:xVal>
          <c:yVal>
            <c:numRef>
              <c:f>Freundlich!$C$20:$C$33</c:f>
              <c:numCache>
                <c:formatCode>0.0</c:formatCode>
                <c:ptCount val="14"/>
                <c:pt idx="0">
                  <c:v>0</c:v>
                </c:pt>
                <c:pt idx="1">
                  <c:v>9.4408057273496909E-2</c:v>
                </c:pt>
                <c:pt idx="2">
                  <c:v>0.14828594868540643</c:v>
                </c:pt>
                <c:pt idx="3">
                  <c:v>0.1931104812477899</c:v>
                </c:pt>
                <c:pt idx="4">
                  <c:v>0.23291150366361646</c:v>
                </c:pt>
                <c:pt idx="5">
                  <c:v>0.2693507081262973</c:v>
                </c:pt>
                <c:pt idx="6">
                  <c:v>0.30331702335498384</c:v>
                </c:pt>
                <c:pt idx="7">
                  <c:v>0.33535587891527163</c:v>
                </c:pt>
                <c:pt idx="8">
                  <c:v>0.36583215752920234</c:v>
                </c:pt>
                <c:pt idx="9">
                  <c:v>0.39500503500162454</c:v>
                </c:pt>
                <c:pt idx="10">
                  <c:v>0.42306691226455934</c:v>
                </c:pt>
                <c:pt idx="11">
                  <c:v>0.45016554940792119</c:v>
                </c:pt>
                <c:pt idx="12">
                  <c:v>0.4764175204911657</c:v>
                </c:pt>
                <c:pt idx="13">
                  <c:v>0.50191683238820806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95-4200-A132-BF7E64ED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837248"/>
        <c:axId val="561833968"/>
      </c:scatterChart>
      <c:valAx>
        <c:axId val="402633472"/>
        <c:scaling>
          <c:orientation val="minMax"/>
          <c:max val="7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Ce (mg L-1)</a:t>
                </a:r>
              </a:p>
            </c:rich>
          </c:tx>
          <c:layout>
            <c:manualLayout>
              <c:xMode val="edge"/>
              <c:yMode val="edge"/>
              <c:x val="0.42317344706911636"/>
              <c:y val="0.9013291046952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40032"/>
        <c:crossesAt val="0"/>
        <c:crossBetween val="midCat"/>
        <c:minorUnit val="1"/>
      </c:valAx>
      <c:valAx>
        <c:axId val="402640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q (mg F-/g biochar)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377548118985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633472"/>
        <c:crossesAt val="-1"/>
        <c:crossBetween val="midCat"/>
      </c:valAx>
      <c:valAx>
        <c:axId val="561833968"/>
        <c:scaling>
          <c:orientation val="minMax"/>
        </c:scaling>
        <c:delete val="0"/>
        <c:axPos val="r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1837248"/>
        <c:crosses val="max"/>
        <c:crossBetween val="midCat"/>
      </c:valAx>
      <c:valAx>
        <c:axId val="561837248"/>
        <c:scaling>
          <c:orientation val="minMax"/>
          <c:max val="7"/>
          <c:min val="0"/>
        </c:scaling>
        <c:delete val="0"/>
        <c:axPos val="t"/>
        <c:numFmt formatCode="0.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1833968"/>
        <c:crosses val="max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0481555036526295"/>
          <c:y val="6.6593112352891379E-2"/>
          <c:w val="0.58650087489063862"/>
          <c:h val="0.17371835577004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RedlichPeterson!$A$2:$A$7</c:f>
              <c:numCache>
                <c:formatCode>0.00</c:formatCode>
                <c:ptCount val="6"/>
                <c:pt idx="0">
                  <c:v>6.0991999999999997</c:v>
                </c:pt>
                <c:pt idx="1">
                  <c:v>4.6300000000000008</c:v>
                </c:pt>
                <c:pt idx="2">
                  <c:v>2.17</c:v>
                </c:pt>
                <c:pt idx="3">
                  <c:v>1.8242</c:v>
                </c:pt>
                <c:pt idx="4">
                  <c:v>1.2342</c:v>
                </c:pt>
                <c:pt idx="5">
                  <c:v>0.65949999999999998</c:v>
                </c:pt>
              </c:numCache>
            </c:numRef>
          </c:xVal>
          <c:yVal>
            <c:numRef>
              <c:f>RedlichPeterson!$B$2:$B$7</c:f>
              <c:numCache>
                <c:formatCode>General</c:formatCode>
                <c:ptCount val="6"/>
                <c:pt idx="0">
                  <c:v>0.5053291247524756</c:v>
                </c:pt>
                <c:pt idx="1">
                  <c:v>0.42298199999999986</c:v>
                </c:pt>
                <c:pt idx="2">
                  <c:v>0.22387624</c:v>
                </c:pt>
                <c:pt idx="3">
                  <c:v>0.20665991538974018</c:v>
                </c:pt>
                <c:pt idx="4">
                  <c:v>0.17106860079880176</c:v>
                </c:pt>
                <c:pt idx="5">
                  <c:v>9.4473367915106118E-2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01-4AB5-BAB6-2A4AC3EF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725648"/>
        <c:axId val="605725976"/>
      </c:scatterChart>
      <c:valAx>
        <c:axId val="60572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725976"/>
        <c:crosses val="autoZero"/>
        <c:crossBetween val="midCat"/>
      </c:valAx>
      <c:valAx>
        <c:axId val="60572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72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3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176213</xdr:rowOff>
    </xdr:from>
    <xdr:to>
      <xdr:col>12</xdr:col>
      <xdr:colOff>261938</xdr:colOff>
      <xdr:row>4</xdr:row>
      <xdr:rowOff>119108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04D970-0678-4C43-BF8C-0BBDD662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176213"/>
          <a:ext cx="5815013" cy="723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324802</xdr:colOff>
      <xdr:row>30</xdr:row>
      <xdr:rowOff>74295</xdr:rowOff>
    </xdr:from>
    <xdr:to>
      <xdr:col>17</xdr:col>
      <xdr:colOff>120967</xdr:colOff>
      <xdr:row>44</xdr:row>
      <xdr:rowOff>150495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0C0484-AE47-4847-B98C-AC4040646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91440</xdr:colOff>
      <xdr:row>46</xdr:row>
      <xdr:rowOff>99060</xdr:rowOff>
    </xdr:from>
    <xdr:to>
      <xdr:col>16</xdr:col>
      <xdr:colOff>542925</xdr:colOff>
      <xdr:row>60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DEEE3A-35C1-4C7B-A170-8E65ED309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44</xdr:row>
      <xdr:rowOff>0</xdr:rowOff>
    </xdr:from>
    <xdr:to>
      <xdr:col>30</xdr:col>
      <xdr:colOff>9525</xdr:colOff>
      <xdr:row>58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D9DBEC-6C6F-4C74-A282-B4605F09E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577215</xdr:colOff>
      <xdr:row>5</xdr:row>
      <xdr:rowOff>11430</xdr:rowOff>
    </xdr:from>
    <xdr:to>
      <xdr:col>27</xdr:col>
      <xdr:colOff>520065</xdr:colOff>
      <xdr:row>19</xdr:row>
      <xdr:rowOff>87630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084C58-0231-40AE-B234-1F1803323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0</xdr:colOff>
      <xdr:row>16</xdr:row>
      <xdr:rowOff>121920</xdr:rowOff>
    </xdr:from>
    <xdr:to>
      <xdr:col>29</xdr:col>
      <xdr:colOff>251460</xdr:colOff>
      <xdr:row>19</xdr:row>
      <xdr:rowOff>129540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68CA1D-D224-455A-9D7D-4E38D152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0" y="3188970"/>
          <a:ext cx="861060" cy="579120"/>
        </a:xfrm>
        <a:prstGeom prst="rect">
          <a:avLst/>
        </a:prstGeom>
        <a:solidFill>
          <a:srgbClr val="FF0000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647699</xdr:colOff>
      <xdr:row>0</xdr:row>
      <xdr:rowOff>0</xdr:rowOff>
    </xdr:from>
    <xdr:to>
      <xdr:col>3</xdr:col>
      <xdr:colOff>500248</xdr:colOff>
      <xdr:row>2</xdr:row>
      <xdr:rowOff>71437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0C34B-12E2-449C-A481-D39A50AF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799" y="0"/>
          <a:ext cx="500249" cy="45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123825</xdr:colOff>
      <xdr:row>9</xdr:row>
      <xdr:rowOff>156209</xdr:rowOff>
    </xdr:from>
    <xdr:to>
      <xdr:col>17</xdr:col>
      <xdr:colOff>428625</xdr:colOff>
      <xdr:row>24</xdr:row>
      <xdr:rowOff>49529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DE10FA-0E64-400F-8A9C-EA6F66F6C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304800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753809-B974-4066-983C-4EA9F9A85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24</xdr:col>
      <xdr:colOff>381000</xdr:colOff>
      <xdr:row>40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E999B2-F983-4BC6-9F22-CD694C07B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30480</xdr:colOff>
      <xdr:row>41</xdr:row>
      <xdr:rowOff>68580</xdr:rowOff>
    </xdr:from>
    <xdr:to>
      <xdr:col>17</xdr:col>
      <xdr:colOff>53340</xdr:colOff>
      <xdr:row>62</xdr:row>
      <xdr:rowOff>7620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513C7A-C40D-4522-BF49-993C490B7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9</xdr:row>
      <xdr:rowOff>179070</xdr:rowOff>
    </xdr:from>
    <xdr:to>
      <xdr:col>15</xdr:col>
      <xdr:colOff>495300</xdr:colOff>
      <xdr:row>24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E5D4F-7F16-400B-9630-009A2139D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wallace\OneDrive%20-%20Environmental%20Protection%20Agency%20(EPA)\Profile\Documents\Fluoride%20Nano%20and%20Biochar%20Research\Biochar%20Fluoride%20Removal\Fluoride%20Removal%20with%20Biochar%20Screening-WJS_121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g Biochar"/>
      <sheetName val="Screening"/>
      <sheetName val="pH"/>
      <sheetName val="50 750 1000 mg biochar"/>
      <sheetName val="25 1500 2000 mg biochar"/>
      <sheetName val="Langmiur"/>
      <sheetName val="Freundlich"/>
      <sheetName val="Model vs experimental"/>
    </sheetNames>
    <sheetDataSet>
      <sheetData sheetId="0"/>
      <sheetData sheetId="1"/>
      <sheetData sheetId="2"/>
      <sheetData sheetId="3"/>
      <sheetData sheetId="4"/>
      <sheetData sheetId="5">
        <row r="29">
          <cell r="C29">
            <v>0</v>
          </cell>
          <cell r="E29">
            <v>0</v>
          </cell>
        </row>
        <row r="30">
          <cell r="C30">
            <v>0.5</v>
          </cell>
          <cell r="E30">
            <v>-14.556040756914117</v>
          </cell>
        </row>
        <row r="31">
          <cell r="C31">
            <v>1</v>
          </cell>
          <cell r="E31">
            <v>25.062656641604018</v>
          </cell>
        </row>
        <row r="32">
          <cell r="C32">
            <v>1.5</v>
          </cell>
          <cell r="E32">
            <v>13.140604467805518</v>
          </cell>
        </row>
        <row r="33">
          <cell r="C33">
            <v>2</v>
          </cell>
          <cell r="E33">
            <v>10.615711252653929</v>
          </cell>
        </row>
        <row r="34">
          <cell r="C34">
            <v>2.5</v>
          </cell>
          <cell r="E34">
            <v>9.5183704549781076</v>
          </cell>
        </row>
        <row r="35">
          <cell r="C35">
            <v>3</v>
          </cell>
          <cell r="E35">
            <v>8.904719501335709</v>
          </cell>
        </row>
        <row r="36">
          <cell r="C36">
            <v>3.5</v>
          </cell>
          <cell r="E36">
            <v>8.5127082573270094</v>
          </cell>
        </row>
        <row r="37">
          <cell r="C37">
            <v>4</v>
          </cell>
          <cell r="E37">
            <v>8.2406262875978573</v>
          </cell>
        </row>
        <row r="38">
          <cell r="C38">
            <v>4.5</v>
          </cell>
          <cell r="E38">
            <v>8.0407397480568221</v>
          </cell>
        </row>
        <row r="39">
          <cell r="C39">
            <v>5</v>
          </cell>
          <cell r="E39">
            <v>7.8876794447073681</v>
          </cell>
        </row>
        <row r="40">
          <cell r="C40">
            <v>5.5</v>
          </cell>
          <cell r="E40">
            <v>7.7667160912236115</v>
          </cell>
        </row>
        <row r="41">
          <cell r="C41">
            <v>6</v>
          </cell>
          <cell r="E41">
            <v>7.6687116564417188</v>
          </cell>
        </row>
        <row r="42">
          <cell r="C42">
            <v>6.5</v>
          </cell>
          <cell r="E42">
            <v>7.5876962586820769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F96FC-6B17-463B-8E91-56A2F301D511}">
  <dimension ref="A1:AH489"/>
  <sheetViews>
    <sheetView tabSelected="1" workbookViewId="0">
      <selection activeCell="A7" sqref="A7:K8"/>
    </sheetView>
  </sheetViews>
  <sheetFormatPr defaultRowHeight="15" x14ac:dyDescent="0.25"/>
  <cols>
    <col min="2" max="2" width="18" bestFit="1" customWidth="1"/>
    <col min="3" max="3" width="34.140625" bestFit="1" customWidth="1"/>
    <col min="4" max="5" width="34.140625" customWidth="1"/>
    <col min="6" max="6" width="30" customWidth="1"/>
    <col min="7" max="7" width="30" bestFit="1" customWidth="1"/>
    <col min="8" max="8" width="30" customWidth="1"/>
    <col min="9" max="9" width="24.7109375" bestFit="1" customWidth="1"/>
    <col min="10" max="11" width="24.7109375" customWidth="1"/>
    <col min="13" max="13" width="12" bestFit="1" customWidth="1"/>
    <col min="15" max="15" width="49.5703125" bestFit="1" customWidth="1"/>
    <col min="17" max="17" width="9.5703125" bestFit="1" customWidth="1"/>
  </cols>
  <sheetData>
    <row r="1" spans="1:20" ht="15.75" x14ac:dyDescent="0.25">
      <c r="B1" s="15" t="s">
        <v>45</v>
      </c>
      <c r="C1" t="s">
        <v>46</v>
      </c>
      <c r="O1" t="s">
        <v>44</v>
      </c>
    </row>
    <row r="2" spans="1:20" ht="15.75" x14ac:dyDescent="0.25">
      <c r="I2" s="15" t="s">
        <v>47</v>
      </c>
      <c r="J2" s="15"/>
      <c r="K2" s="15"/>
      <c r="O2" t="s">
        <v>43</v>
      </c>
      <c r="Q2" t="s">
        <v>42</v>
      </c>
    </row>
    <row r="3" spans="1:20" x14ac:dyDescent="0.25">
      <c r="O3" t="s">
        <v>40</v>
      </c>
      <c r="P3">
        <v>3.0175E-2</v>
      </c>
      <c r="Q3" t="s">
        <v>39</v>
      </c>
    </row>
    <row r="5" spans="1:20" x14ac:dyDescent="0.25">
      <c r="C5" t="s">
        <v>48</v>
      </c>
      <c r="F5" s="12" t="s">
        <v>49</v>
      </c>
    </row>
    <row r="6" spans="1:20" x14ac:dyDescent="0.25">
      <c r="C6" s="14" t="s">
        <v>50</v>
      </c>
      <c r="D6" s="13" t="s">
        <v>51</v>
      </c>
      <c r="E6" s="14"/>
      <c r="F6" s="13" t="s">
        <v>52</v>
      </c>
    </row>
    <row r="7" spans="1:20" x14ac:dyDescent="0.25">
      <c r="B7" t="s">
        <v>35</v>
      </c>
      <c r="C7" t="s">
        <v>34</v>
      </c>
      <c r="F7" t="s">
        <v>33</v>
      </c>
      <c r="G7" t="s">
        <v>31</v>
      </c>
      <c r="H7" t="s">
        <v>32</v>
      </c>
      <c r="I7" t="s">
        <v>30</v>
      </c>
    </row>
    <row r="8" spans="1:20" x14ac:dyDescent="0.25">
      <c r="A8" t="s">
        <v>53</v>
      </c>
      <c r="B8" t="s">
        <v>27</v>
      </c>
      <c r="C8" t="s">
        <v>0</v>
      </c>
      <c r="D8" t="s">
        <v>54</v>
      </c>
      <c r="E8" t="s">
        <v>55</v>
      </c>
      <c r="F8" t="s">
        <v>26</v>
      </c>
      <c r="G8" t="s">
        <v>24</v>
      </c>
      <c r="H8" t="s">
        <v>56</v>
      </c>
      <c r="I8" t="s">
        <v>1</v>
      </c>
      <c r="J8" t="s">
        <v>57</v>
      </c>
      <c r="K8" t="s">
        <v>58</v>
      </c>
      <c r="L8" t="s">
        <v>59</v>
      </c>
      <c r="M8" t="s">
        <v>60</v>
      </c>
      <c r="N8" t="s">
        <v>61</v>
      </c>
      <c r="P8" s="12" t="s">
        <v>62</v>
      </c>
      <c r="Q8" s="12" t="s">
        <v>4</v>
      </c>
    </row>
    <row r="9" spans="1:20" x14ac:dyDescent="0.25">
      <c r="A9" t="s">
        <v>20</v>
      </c>
      <c r="B9">
        <v>6.92</v>
      </c>
      <c r="C9" s="16">
        <v>6.16</v>
      </c>
      <c r="D9" s="16">
        <f>AVERAGE(C9:C10)</f>
        <v>6.04</v>
      </c>
      <c r="E9">
        <f>B9-C9</f>
        <v>0.75999999999999979</v>
      </c>
      <c r="F9" s="1">
        <v>2.5000000000000001E-2</v>
      </c>
      <c r="G9" s="1">
        <f>(B9-C9)*H9</f>
        <v>2.2818239999999997E-2</v>
      </c>
      <c r="H9">
        <f>30.024/1000</f>
        <v>3.0024000000000002E-2</v>
      </c>
      <c r="I9" s="1">
        <f t="shared" ref="I9:I20" si="0">G9/F9</f>
        <v>0.91272959999999981</v>
      </c>
      <c r="J9" s="1">
        <f>AVERAGE(I9:I10)</f>
        <v>1.0568447999999999</v>
      </c>
      <c r="K9" s="1">
        <f>_xlfn.STDEV.P(I9:I10)</f>
        <v>0.14411520000000042</v>
      </c>
      <c r="L9" s="1">
        <f>1/J9</f>
        <v>0.9462127267882664</v>
      </c>
      <c r="M9" s="1">
        <f>1/D9</f>
        <v>0.16556291390728478</v>
      </c>
      <c r="N9" s="17">
        <v>5.43</v>
      </c>
      <c r="P9" s="18"/>
      <c r="Q9" s="12"/>
      <c r="R9" s="12" t="s">
        <v>19</v>
      </c>
      <c r="S9" s="12"/>
      <c r="T9" s="12"/>
    </row>
    <row r="10" spans="1:20" x14ac:dyDescent="0.25">
      <c r="A10" t="s">
        <v>63</v>
      </c>
      <c r="B10">
        <v>6.92</v>
      </c>
      <c r="C10" s="16">
        <v>5.92</v>
      </c>
      <c r="E10">
        <f>B10-C10</f>
        <v>1</v>
      </c>
      <c r="F10" s="1">
        <v>2.5000000000000001E-2</v>
      </c>
      <c r="G10" s="1">
        <f>(B10-C10)*H10</f>
        <v>3.0024000000000002E-2</v>
      </c>
      <c r="H10">
        <f>30.024/1000</f>
        <v>3.0024000000000002E-2</v>
      </c>
      <c r="I10" s="1">
        <f t="shared" si="0"/>
        <v>1.20096</v>
      </c>
      <c r="J10" s="1"/>
      <c r="K10" s="1"/>
      <c r="L10" s="1"/>
      <c r="M10" s="1"/>
      <c r="N10" s="17"/>
      <c r="P10" s="12"/>
      <c r="Q10" s="12"/>
    </row>
    <row r="11" spans="1:20" x14ac:dyDescent="0.25">
      <c r="A11" t="s">
        <v>18</v>
      </c>
      <c r="B11" s="1">
        <v>6.94</v>
      </c>
      <c r="C11" s="19">
        <v>6.25</v>
      </c>
      <c r="D11" s="19">
        <f>AVERAGE(C11:C12)</f>
        <v>6.12</v>
      </c>
      <c r="E11">
        <f t="shared" ref="E11:E22" si="1">B11-C11</f>
        <v>0.69000000000000039</v>
      </c>
      <c r="F11" s="7">
        <v>5.0500000000000003E-2</v>
      </c>
      <c r="G11" s="1">
        <f>(B11-C11)*H11</f>
        <v>2.094219000000001E-2</v>
      </c>
      <c r="H11">
        <f>30.351/1000</f>
        <v>3.0351E-2</v>
      </c>
      <c r="I11" s="1">
        <f t="shared" si="0"/>
        <v>0.41469683168316851</v>
      </c>
      <c r="J11" s="1">
        <f>AVERAGE(I11:I12)</f>
        <v>0.49282811881188132</v>
      </c>
      <c r="K11" s="1">
        <f>_xlfn.STDEV.P(I11:I12)</f>
        <v>7.8131287128712784E-2</v>
      </c>
      <c r="L11" s="1">
        <f>1/J11</f>
        <v>2.0291049999558011</v>
      </c>
      <c r="M11" s="1">
        <f>1/D11</f>
        <v>0.16339869281045752</v>
      </c>
      <c r="N11" s="17">
        <v>6.09</v>
      </c>
      <c r="P11" s="18">
        <f>D11/I11</f>
        <v>14.757768886635059</v>
      </c>
      <c r="Q11" s="12">
        <f>D11</f>
        <v>6.12</v>
      </c>
    </row>
    <row r="12" spans="1:20" x14ac:dyDescent="0.25">
      <c r="A12" t="s">
        <v>64</v>
      </c>
      <c r="B12" s="1">
        <v>6.94</v>
      </c>
      <c r="C12" s="19">
        <v>5.99</v>
      </c>
      <c r="D12" s="19"/>
      <c r="E12">
        <f t="shared" si="1"/>
        <v>0.95000000000000018</v>
      </c>
      <c r="F12" s="7">
        <v>5.0500000000000003E-2</v>
      </c>
      <c r="G12" s="1">
        <f>(B12-C12)*H12</f>
        <v>2.8833450000000004E-2</v>
      </c>
      <c r="H12">
        <f>30.351/1000</f>
        <v>3.0351E-2</v>
      </c>
      <c r="I12" s="1">
        <f t="shared" si="0"/>
        <v>0.57095940594059413</v>
      </c>
      <c r="J12" s="1"/>
      <c r="K12" s="1"/>
      <c r="L12" s="1"/>
      <c r="M12" s="1"/>
      <c r="N12" s="17"/>
      <c r="P12" s="12"/>
      <c r="Q12" s="12"/>
    </row>
    <row r="13" spans="1:20" x14ac:dyDescent="0.25">
      <c r="A13" t="s">
        <v>15</v>
      </c>
      <c r="B13" s="1">
        <v>6.03</v>
      </c>
      <c r="C13" s="20">
        <v>4.6100000000000003</v>
      </c>
      <c r="D13" s="20">
        <f>AVERAGE(C13:C14)</f>
        <v>4.6300000000000008</v>
      </c>
      <c r="E13">
        <f t="shared" si="1"/>
        <v>1.42</v>
      </c>
      <c r="F13">
        <v>0.1</v>
      </c>
      <c r="G13" s="1">
        <f t="shared" ref="G13:G22" si="2">(B13-C13)*H13</f>
        <v>4.2902459999999996E-2</v>
      </c>
      <c r="H13" s="1">
        <f>30.213/1000</f>
        <v>3.0213E-2</v>
      </c>
      <c r="I13" s="1">
        <f t="shared" si="0"/>
        <v>0.42902459999999992</v>
      </c>
      <c r="J13" s="1">
        <f>AVERAGE(I13:I14)</f>
        <v>0.42298199999999997</v>
      </c>
      <c r="K13" s="1">
        <f>_xlfn.STDEV.P(I13:I14)</f>
        <v>6.0425999999999813E-3</v>
      </c>
      <c r="L13" s="1">
        <f>1/J13</f>
        <v>2.3641667966958408</v>
      </c>
      <c r="M13" s="1">
        <f>1/D13</f>
        <v>0.21598272138228938</v>
      </c>
      <c r="N13" s="17">
        <v>5.82</v>
      </c>
      <c r="P13" s="18">
        <f>D13/I13</f>
        <v>10.791921955058058</v>
      </c>
      <c r="Q13" s="12">
        <f>D13</f>
        <v>4.6300000000000008</v>
      </c>
    </row>
    <row r="14" spans="1:20" x14ac:dyDescent="0.25">
      <c r="A14" t="s">
        <v>65</v>
      </c>
      <c r="B14" s="1">
        <v>6.03</v>
      </c>
      <c r="C14" s="20">
        <v>4.6500000000000004</v>
      </c>
      <c r="D14" s="20"/>
      <c r="E14">
        <f t="shared" si="1"/>
        <v>1.38</v>
      </c>
      <c r="F14">
        <v>0.1</v>
      </c>
      <c r="G14" s="1">
        <f t="shared" si="2"/>
        <v>4.1693939999999999E-2</v>
      </c>
      <c r="H14" s="1">
        <f>30.213/1000</f>
        <v>3.0213E-2</v>
      </c>
      <c r="I14" s="1">
        <f t="shared" si="0"/>
        <v>0.41693939999999996</v>
      </c>
      <c r="J14" s="1"/>
      <c r="K14" s="1"/>
      <c r="L14" s="1"/>
      <c r="M14" s="1"/>
      <c r="N14" s="17"/>
      <c r="P14" s="12"/>
      <c r="Q14" s="12"/>
    </row>
    <row r="15" spans="1:20" x14ac:dyDescent="0.25">
      <c r="A15" t="s">
        <v>11</v>
      </c>
      <c r="B15" s="1">
        <v>5.88</v>
      </c>
      <c r="C15" s="19">
        <f>AVERAGE(2.07,2.09)</f>
        <v>2.08</v>
      </c>
      <c r="D15" s="19">
        <f>AVERAGE(C15:C16)</f>
        <v>2.17</v>
      </c>
      <c r="E15">
        <f t="shared" si="1"/>
        <v>3.8</v>
      </c>
      <c r="F15">
        <v>0.5</v>
      </c>
      <c r="G15" s="1">
        <f t="shared" si="2"/>
        <v>0.11465359999999999</v>
      </c>
      <c r="H15">
        <f>30.172/1000</f>
        <v>3.0172000000000001E-2</v>
      </c>
      <c r="I15" s="1">
        <f t="shared" si="0"/>
        <v>0.22930719999999999</v>
      </c>
      <c r="J15" s="1">
        <f>AVERAGE(I15:I16)</f>
        <v>0.22387624</v>
      </c>
      <c r="K15" s="1">
        <f>_xlfn.STDEV.P(I15:I16)</f>
        <v>5.4309599999999847E-3</v>
      </c>
      <c r="L15" s="1">
        <f>1/J15</f>
        <v>4.466753595647309</v>
      </c>
      <c r="M15" s="1">
        <f>1/D15</f>
        <v>0.46082949308755761</v>
      </c>
      <c r="N15" s="17">
        <v>5.8</v>
      </c>
      <c r="P15" s="18">
        <f>D15/I15</f>
        <v>9.4632876769678411</v>
      </c>
      <c r="Q15" s="12">
        <f>D15</f>
        <v>2.17</v>
      </c>
    </row>
    <row r="16" spans="1:20" x14ac:dyDescent="0.25">
      <c r="A16" t="s">
        <v>66</v>
      </c>
      <c r="B16" s="1">
        <v>5.88</v>
      </c>
      <c r="C16" s="19">
        <v>2.2599999999999998</v>
      </c>
      <c r="D16" s="19"/>
      <c r="E16">
        <f t="shared" si="1"/>
        <v>3.62</v>
      </c>
      <c r="F16">
        <v>0.5</v>
      </c>
      <c r="G16" s="1">
        <f t="shared" si="2"/>
        <v>0.10922264000000001</v>
      </c>
      <c r="H16">
        <f>30.172/1000</f>
        <v>3.0172000000000001E-2</v>
      </c>
      <c r="I16" s="1">
        <f t="shared" si="0"/>
        <v>0.21844528000000002</v>
      </c>
      <c r="J16" s="1"/>
      <c r="K16" s="1"/>
      <c r="L16" s="1"/>
      <c r="M16" s="1"/>
      <c r="N16" s="17"/>
      <c r="P16" s="12"/>
      <c r="Q16" s="12"/>
    </row>
    <row r="17" spans="1:34" x14ac:dyDescent="0.25">
      <c r="A17" t="s">
        <v>9</v>
      </c>
      <c r="B17" s="1">
        <v>6.94</v>
      </c>
      <c r="C17" s="19">
        <v>1.89</v>
      </c>
      <c r="D17" s="19">
        <f>AVERAGE(C17:C18)</f>
        <v>1.845</v>
      </c>
      <c r="E17">
        <f t="shared" si="1"/>
        <v>5.0500000000000007</v>
      </c>
      <c r="F17" s="7">
        <v>0.75049999999999994</v>
      </c>
      <c r="G17" s="1">
        <f t="shared" si="2"/>
        <v>0.15310337500000001</v>
      </c>
      <c r="H17">
        <f>30.3175/1000</f>
        <v>3.0317500000000001E-2</v>
      </c>
      <c r="I17" s="1">
        <f t="shared" si="0"/>
        <v>0.20400183211192541</v>
      </c>
      <c r="J17" s="1">
        <f>AVERAGE(I17:I18)</f>
        <v>0.20581967021985348</v>
      </c>
      <c r="K17" s="1">
        <f>_xlfn.STDEV.P(I17:I18)</f>
        <v>1.8178381079280576E-3</v>
      </c>
      <c r="L17" s="1">
        <f>1/J17</f>
        <v>4.8586221080415442</v>
      </c>
      <c r="M17" s="1">
        <f>1/D17</f>
        <v>0.5420054200542006</v>
      </c>
      <c r="N17" s="17">
        <v>5.4649999999999999</v>
      </c>
      <c r="P17" s="18">
        <f>D17/I17</f>
        <v>9.0440364231030159</v>
      </c>
      <c r="Q17" s="12">
        <f>D17</f>
        <v>1.845</v>
      </c>
    </row>
    <row r="18" spans="1:34" x14ac:dyDescent="0.25">
      <c r="A18" t="s">
        <v>67</v>
      </c>
      <c r="B18" s="1">
        <v>6.94</v>
      </c>
      <c r="C18" s="19">
        <v>1.8</v>
      </c>
      <c r="D18" s="19"/>
      <c r="E18">
        <f t="shared" si="1"/>
        <v>5.1400000000000006</v>
      </c>
      <c r="F18" s="7">
        <v>0.75049999999999994</v>
      </c>
      <c r="G18" s="1">
        <f t="shared" si="2"/>
        <v>0.15583195000000002</v>
      </c>
      <c r="H18">
        <f>30.3175/1000</f>
        <v>3.0317500000000001E-2</v>
      </c>
      <c r="I18" s="1">
        <f t="shared" si="0"/>
        <v>0.20763750832778152</v>
      </c>
      <c r="J18" s="1"/>
      <c r="K18" s="1"/>
      <c r="L18" s="1"/>
      <c r="M18" s="1"/>
      <c r="N18" s="17"/>
      <c r="P18" s="12"/>
      <c r="Q18" s="12"/>
    </row>
    <row r="19" spans="1:34" x14ac:dyDescent="0.25">
      <c r="A19" t="s">
        <v>7</v>
      </c>
      <c r="B19" s="1">
        <v>6.94</v>
      </c>
      <c r="C19" s="19">
        <v>1.36</v>
      </c>
      <c r="D19" s="19">
        <f>AVERAGE(C19:C20)</f>
        <v>1.2549999999999999</v>
      </c>
      <c r="E19">
        <f t="shared" si="1"/>
        <v>5.58</v>
      </c>
      <c r="F19" s="7">
        <v>1.0015000000000001</v>
      </c>
      <c r="G19" s="1">
        <f t="shared" si="2"/>
        <v>0.16754786999999999</v>
      </c>
      <c r="H19">
        <f>30.0265/1000</f>
        <v>3.0026499999999998E-2</v>
      </c>
      <c r="I19" s="1">
        <f t="shared" si="0"/>
        <v>0.16729692461308035</v>
      </c>
      <c r="J19" s="1">
        <f>AVERAGE(I19:I20)</f>
        <v>0.1704449850224663</v>
      </c>
      <c r="K19" s="1">
        <f>_xlfn.STDEV.P(I19:I20)</f>
        <v>3.148060409385936E-3</v>
      </c>
      <c r="L19" s="1">
        <f>1/J19</f>
        <v>5.8669957339501089</v>
      </c>
      <c r="M19" s="1">
        <f>1/D19</f>
        <v>0.79681274900398413</v>
      </c>
      <c r="N19" s="17">
        <v>5.3450000000000006</v>
      </c>
      <c r="P19" s="18">
        <f>D19/I19</f>
        <v>7.5016322200932795</v>
      </c>
      <c r="Q19" s="12">
        <f>D19</f>
        <v>1.2549999999999999</v>
      </c>
    </row>
    <row r="20" spans="1:34" x14ac:dyDescent="0.25">
      <c r="A20" t="s">
        <v>68</v>
      </c>
      <c r="B20" s="1">
        <v>6.94</v>
      </c>
      <c r="C20" s="19">
        <v>1.1499999999999999</v>
      </c>
      <c r="D20" s="19"/>
      <c r="E20">
        <f t="shared" si="1"/>
        <v>5.7900000000000009</v>
      </c>
      <c r="F20" s="7">
        <v>1.0015000000000001</v>
      </c>
      <c r="G20" s="1">
        <f t="shared" si="2"/>
        <v>0.173853435</v>
      </c>
      <c r="H20">
        <f>30.0265/1000</f>
        <v>3.0026499999999998E-2</v>
      </c>
      <c r="I20" s="1">
        <f t="shared" si="0"/>
        <v>0.17359304543185222</v>
      </c>
      <c r="J20" s="1"/>
      <c r="K20" s="1"/>
      <c r="L20" s="1"/>
      <c r="M20" s="1"/>
      <c r="N20" s="17"/>
    </row>
    <row r="21" spans="1:34" x14ac:dyDescent="0.25">
      <c r="A21" t="s">
        <v>6</v>
      </c>
      <c r="B21">
        <v>6.92</v>
      </c>
      <c r="C21" s="16">
        <v>0.45600000000000002</v>
      </c>
      <c r="D21" s="16">
        <f>AVERAGE(C21:C22)</f>
        <v>0.55900000000000005</v>
      </c>
      <c r="E21">
        <f t="shared" si="1"/>
        <v>6.4639999999999995</v>
      </c>
      <c r="F21" s="1">
        <v>1.5004999999999999</v>
      </c>
      <c r="G21" s="1">
        <f t="shared" si="2"/>
        <v>0.19438540799999998</v>
      </c>
      <c r="H21">
        <f>30.072/1000</f>
        <v>3.0071999999999998E-2</v>
      </c>
      <c r="I21" s="1">
        <f>G21/F21</f>
        <v>0.12954708963678774</v>
      </c>
      <c r="J21" s="1">
        <f>AVERAGE(I21:I22)</f>
        <v>0.12748283372209263</v>
      </c>
      <c r="K21" s="1">
        <f>_xlfn.STDEV.P(I21:I22)</f>
        <v>2.0642559146950984E-3</v>
      </c>
      <c r="L21" s="18"/>
      <c r="M21" s="18"/>
      <c r="N21" s="17">
        <v>5.9249999999999998</v>
      </c>
      <c r="O21" s="13" t="s">
        <v>69</v>
      </c>
      <c r="P21" s="1"/>
      <c r="R21" s="12" t="s">
        <v>19</v>
      </c>
      <c r="S21" s="12"/>
      <c r="T21" s="12"/>
      <c r="V21" s="12" t="s">
        <v>70</v>
      </c>
      <c r="W21" s="12" t="s">
        <v>13</v>
      </c>
      <c r="X21" s="12">
        <v>1.2723</v>
      </c>
      <c r="Y21" s="21">
        <f>1/X21</f>
        <v>0.78597814980743541</v>
      </c>
      <c r="Z21" s="22" t="s">
        <v>71</v>
      </c>
      <c r="AC21" t="s">
        <v>72</v>
      </c>
    </row>
    <row r="22" spans="1:34" x14ac:dyDescent="0.25">
      <c r="A22" t="s">
        <v>73</v>
      </c>
      <c r="B22">
        <v>6.92</v>
      </c>
      <c r="C22" s="16">
        <v>0.66200000000000003</v>
      </c>
      <c r="D22" s="16"/>
      <c r="E22">
        <f t="shared" si="1"/>
        <v>6.258</v>
      </c>
      <c r="F22" s="1">
        <v>1.5004999999999999</v>
      </c>
      <c r="G22" s="1">
        <f t="shared" si="2"/>
        <v>0.188190576</v>
      </c>
      <c r="H22">
        <f>30.072/1000</f>
        <v>3.0071999999999998E-2</v>
      </c>
      <c r="I22" s="1">
        <f>G22/F22</f>
        <v>0.12541857780739754</v>
      </c>
      <c r="J22" s="1"/>
      <c r="K22" s="1"/>
      <c r="L22" s="1"/>
      <c r="M22" s="1"/>
      <c r="N22" s="17"/>
      <c r="V22" s="12" t="s">
        <v>74</v>
      </c>
      <c r="W22" s="12" t="s">
        <v>75</v>
      </c>
      <c r="X22" s="12">
        <v>6.2176</v>
      </c>
      <c r="Y22" s="21">
        <f>(1/X22)/Y21</f>
        <v>0.20462879567678846</v>
      </c>
      <c r="Z22" s="22" t="s">
        <v>76</v>
      </c>
      <c r="AB22" t="s">
        <v>77</v>
      </c>
      <c r="AC22" s="23">
        <f>1/(1+(Y22*I19))</f>
        <v>0.96689939039270245</v>
      </c>
      <c r="AD22" t="s">
        <v>78</v>
      </c>
    </row>
    <row r="23" spans="1:34" s="5" customFormat="1" x14ac:dyDescent="0.25">
      <c r="A23" s="5" t="s">
        <v>5</v>
      </c>
      <c r="B23" s="5">
        <v>6.92</v>
      </c>
      <c r="C23" s="16">
        <v>0.64900000000000002</v>
      </c>
      <c r="D23" s="16">
        <f>AVERAGE(C23:C24)</f>
        <v>0.65949999999999998</v>
      </c>
      <c r="E23" s="5">
        <f>B23-C23</f>
        <v>6.2709999999999999</v>
      </c>
      <c r="F23" s="24">
        <v>2.0024999999999999</v>
      </c>
      <c r="G23" s="24">
        <f>(B23-C23)*H23</f>
        <v>0.18950021349999999</v>
      </c>
      <c r="H23" s="5">
        <f>30.2185/1000</f>
        <v>3.0218499999999999E-2</v>
      </c>
      <c r="I23" s="24">
        <f>G23/F23</f>
        <v>9.4631816978776526E-2</v>
      </c>
      <c r="J23" s="24">
        <f>AVERAGE(I23:I24)</f>
        <v>9.4473367915106105E-2</v>
      </c>
      <c r="K23" s="24">
        <f>_xlfn.STDEV.P(I23:I24)</f>
        <v>1.5844906367041417E-4</v>
      </c>
      <c r="L23" s="1">
        <f>1/J23</f>
        <v>10.584993655551704</v>
      </c>
      <c r="M23" s="1">
        <f>1/D23</f>
        <v>1.5163002274450341</v>
      </c>
      <c r="N23" s="25">
        <v>5.6099999999999994</v>
      </c>
      <c r="P23" s="1">
        <f>D23/I23</f>
        <v>6.9691148395460782</v>
      </c>
      <c r="Q23">
        <f>D23</f>
        <v>0.65949999999999998</v>
      </c>
      <c r="AC23" s="27" t="s">
        <v>79</v>
      </c>
      <c r="AD23" s="27"/>
      <c r="AE23" s="27"/>
      <c r="AF23" s="27"/>
      <c r="AG23" s="27"/>
      <c r="AH23" s="27"/>
    </row>
    <row r="24" spans="1:34" x14ac:dyDescent="0.25">
      <c r="A24" t="s">
        <v>80</v>
      </c>
      <c r="B24" s="5">
        <v>6.92</v>
      </c>
      <c r="C24" s="16">
        <v>0.67</v>
      </c>
      <c r="D24" s="16"/>
      <c r="E24" s="5">
        <f>B24-C24</f>
        <v>6.25</v>
      </c>
      <c r="F24" s="24">
        <v>2.0024999999999999</v>
      </c>
      <c r="G24" s="24">
        <f>(B24-C24)*H24</f>
        <v>0.18886562499999998</v>
      </c>
      <c r="H24" s="5">
        <f>30.2185/1000</f>
        <v>3.0218499999999999E-2</v>
      </c>
      <c r="I24" s="24">
        <f>G24/F24</f>
        <v>9.4314918851435697E-2</v>
      </c>
      <c r="J24" s="24"/>
      <c r="K24" s="24"/>
    </row>
    <row r="25" spans="1:34" x14ac:dyDescent="0.25">
      <c r="B25" s="1">
        <f>AVERAGE(B9:B23)</f>
        <v>6.6706666666666665</v>
      </c>
      <c r="M25" t="s">
        <v>70</v>
      </c>
      <c r="N25" t="s">
        <v>13</v>
      </c>
      <c r="O25">
        <v>0.14849999999999999</v>
      </c>
      <c r="P25" s="1">
        <f>1/O25</f>
        <v>6.7340067340067344</v>
      </c>
      <c r="Q25" s="26" t="s">
        <v>71</v>
      </c>
      <c r="R25" s="13" t="s">
        <v>81</v>
      </c>
      <c r="S25" s="13"/>
      <c r="T25" s="13"/>
    </row>
    <row r="26" spans="1:34" x14ac:dyDescent="0.25">
      <c r="M26" t="s">
        <v>74</v>
      </c>
      <c r="N26" t="s">
        <v>75</v>
      </c>
      <c r="O26">
        <v>-0.1086</v>
      </c>
      <c r="P26" s="1">
        <f>(1/O26)/P25</f>
        <v>-1.367403314917127</v>
      </c>
      <c r="Q26" s="26" t="s">
        <v>76</v>
      </c>
    </row>
    <row r="27" spans="1:34" x14ac:dyDescent="0.25">
      <c r="V27" t="s">
        <v>72</v>
      </c>
    </row>
    <row r="28" spans="1:34" x14ac:dyDescent="0.25">
      <c r="C28" t="s">
        <v>4</v>
      </c>
      <c r="E28" t="s">
        <v>82</v>
      </c>
      <c r="M28" s="12" t="s">
        <v>70</v>
      </c>
      <c r="N28" s="12" t="s">
        <v>75</v>
      </c>
      <c r="O28" s="12">
        <v>-0.1086</v>
      </c>
      <c r="P28" s="12">
        <f>1/O28</f>
        <v>-9.2081031307550649</v>
      </c>
      <c r="Q28" s="22" t="s">
        <v>71</v>
      </c>
      <c r="R28" s="13" t="s">
        <v>83</v>
      </c>
      <c r="U28" t="s">
        <v>77</v>
      </c>
      <c r="V28" s="1">
        <f>1/(1+(P26*B25))</f>
        <v>-0.12313008932033553</v>
      </c>
      <c r="W28" t="s">
        <v>78</v>
      </c>
    </row>
    <row r="29" spans="1:34" x14ac:dyDescent="0.25">
      <c r="C29">
        <v>0</v>
      </c>
      <c r="E29" s="1">
        <f t="shared" ref="E29:E42" si="3">$P$25*((($P$26*C29))/(1+$P$26*C29))</f>
        <v>0</v>
      </c>
      <c r="M29" s="12" t="s">
        <v>74</v>
      </c>
      <c r="N29" s="12" t="s">
        <v>13</v>
      </c>
      <c r="O29" s="12">
        <v>0.14849999999999999</v>
      </c>
      <c r="P29" s="12">
        <f>1/O29/P28</f>
        <v>-0.73131313131313136</v>
      </c>
      <c r="Q29" s="22" t="s">
        <v>76</v>
      </c>
    </row>
    <row r="30" spans="1:34" x14ac:dyDescent="0.25">
      <c r="C30">
        <v>0.5</v>
      </c>
      <c r="E30" s="1">
        <f t="shared" si="3"/>
        <v>-14.556040756914117</v>
      </c>
    </row>
    <row r="31" spans="1:34" x14ac:dyDescent="0.25">
      <c r="C31">
        <v>1</v>
      </c>
      <c r="E31" s="1">
        <f t="shared" si="3"/>
        <v>25.062656641604018</v>
      </c>
    </row>
    <row r="32" spans="1:34" x14ac:dyDescent="0.25">
      <c r="C32">
        <v>1.5</v>
      </c>
      <c r="E32" s="1">
        <f t="shared" si="3"/>
        <v>13.140604467805518</v>
      </c>
    </row>
    <row r="33" spans="3:5" x14ac:dyDescent="0.25">
      <c r="C33">
        <v>2</v>
      </c>
      <c r="E33" s="1">
        <f t="shared" si="3"/>
        <v>10.615711252653929</v>
      </c>
    </row>
    <row r="34" spans="3:5" x14ac:dyDescent="0.25">
      <c r="C34">
        <v>2.5</v>
      </c>
      <c r="E34" s="1">
        <f t="shared" si="3"/>
        <v>9.5183704549781076</v>
      </c>
    </row>
    <row r="35" spans="3:5" x14ac:dyDescent="0.25">
      <c r="C35">
        <v>3</v>
      </c>
      <c r="E35" s="1">
        <f t="shared" si="3"/>
        <v>8.904719501335709</v>
      </c>
    </row>
    <row r="36" spans="3:5" x14ac:dyDescent="0.25">
      <c r="C36">
        <v>3.5</v>
      </c>
      <c r="E36" s="1">
        <f t="shared" si="3"/>
        <v>8.5127082573270094</v>
      </c>
    </row>
    <row r="37" spans="3:5" x14ac:dyDescent="0.25">
      <c r="C37">
        <v>4</v>
      </c>
      <c r="E37" s="1">
        <f t="shared" si="3"/>
        <v>8.2406262875978573</v>
      </c>
    </row>
    <row r="38" spans="3:5" x14ac:dyDescent="0.25">
      <c r="C38">
        <v>4.5</v>
      </c>
      <c r="E38" s="1">
        <f t="shared" si="3"/>
        <v>8.0407397480568221</v>
      </c>
    </row>
    <row r="39" spans="3:5" x14ac:dyDescent="0.25">
      <c r="C39">
        <v>5</v>
      </c>
      <c r="E39" s="1">
        <f t="shared" si="3"/>
        <v>7.8876794447073681</v>
      </c>
    </row>
    <row r="40" spans="3:5" x14ac:dyDescent="0.25">
      <c r="C40">
        <v>5.5</v>
      </c>
      <c r="E40" s="1">
        <f t="shared" si="3"/>
        <v>7.7667160912236115</v>
      </c>
    </row>
    <row r="41" spans="3:5" x14ac:dyDescent="0.25">
      <c r="C41">
        <v>6</v>
      </c>
      <c r="E41" s="1">
        <f t="shared" si="3"/>
        <v>7.6687116564417188</v>
      </c>
    </row>
    <row r="42" spans="3:5" x14ac:dyDescent="0.25">
      <c r="C42">
        <v>6.5</v>
      </c>
      <c r="E42" s="1">
        <f t="shared" si="3"/>
        <v>7.5876962586820769</v>
      </c>
    </row>
    <row r="43" spans="3:5" x14ac:dyDescent="0.25">
      <c r="E43" s="1"/>
    </row>
    <row r="44" spans="3:5" x14ac:dyDescent="0.25">
      <c r="E44" s="1"/>
    </row>
    <row r="45" spans="3:5" x14ac:dyDescent="0.25">
      <c r="E45" s="1"/>
    </row>
    <row r="46" spans="3:5" x14ac:dyDescent="0.25">
      <c r="E46" s="1"/>
    </row>
    <row r="47" spans="3:5" x14ac:dyDescent="0.25">
      <c r="E47" s="1"/>
    </row>
    <row r="48" spans="3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5" x14ac:dyDescent="0.25">
      <c r="E481" s="1"/>
    </row>
    <row r="482" spans="5:5" x14ac:dyDescent="0.25">
      <c r="E482" s="1"/>
    </row>
    <row r="483" spans="5:5" x14ac:dyDescent="0.25">
      <c r="E483" s="1"/>
    </row>
    <row r="484" spans="5:5" x14ac:dyDescent="0.25">
      <c r="E484" s="1"/>
    </row>
    <row r="485" spans="5:5" x14ac:dyDescent="0.25">
      <c r="E485" s="1"/>
    </row>
    <row r="486" spans="5:5" x14ac:dyDescent="0.25">
      <c r="E486" s="1"/>
    </row>
    <row r="487" spans="5:5" x14ac:dyDescent="0.25">
      <c r="E487" s="1"/>
    </row>
    <row r="488" spans="5:5" x14ac:dyDescent="0.25">
      <c r="E488" s="1"/>
    </row>
    <row r="489" spans="5:5" x14ac:dyDescent="0.25">
      <c r="E489" s="1"/>
    </row>
  </sheetData>
  <mergeCells count="1">
    <mergeCell ref="AC23:AH2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7816-EAA7-4031-A42E-0CF1A9860544}">
  <dimension ref="A1:W480"/>
  <sheetViews>
    <sheetView topLeftCell="H1" workbookViewId="0">
      <selection activeCell="H24" sqref="H24"/>
    </sheetView>
  </sheetViews>
  <sheetFormatPr defaultRowHeight="15" x14ac:dyDescent="0.25"/>
  <cols>
    <col min="1" max="1" width="16.140625" bestFit="1" customWidth="1"/>
    <col min="2" max="2" width="20.5703125" bestFit="1" customWidth="1"/>
    <col min="3" max="3" width="23.85546875" bestFit="1" customWidth="1"/>
    <col min="4" max="4" width="15" bestFit="1" customWidth="1"/>
    <col min="5" max="5" width="18.140625" bestFit="1" customWidth="1"/>
    <col min="6" max="7" width="28.140625" bestFit="1" customWidth="1"/>
    <col min="8" max="8" width="28.140625" customWidth="1"/>
    <col min="9" max="9" width="16.5703125" customWidth="1"/>
    <col min="21" max="21" width="16.7109375" bestFit="1" customWidth="1"/>
  </cols>
  <sheetData>
    <row r="1" spans="1:23" ht="15.75" x14ac:dyDescent="0.25">
      <c r="B1" s="15" t="s">
        <v>28</v>
      </c>
      <c r="I1" t="s">
        <v>44</v>
      </c>
    </row>
    <row r="2" spans="1:23" x14ac:dyDescent="0.25">
      <c r="I2" t="s">
        <v>43</v>
      </c>
      <c r="J2">
        <v>0.1</v>
      </c>
      <c r="K2" t="s">
        <v>42</v>
      </c>
    </row>
    <row r="3" spans="1:23" x14ac:dyDescent="0.25">
      <c r="C3" t="s">
        <v>41</v>
      </c>
      <c r="I3" t="s">
        <v>40</v>
      </c>
      <c r="J3">
        <v>3.0175E-2</v>
      </c>
      <c r="K3" t="s">
        <v>39</v>
      </c>
    </row>
    <row r="4" spans="1:23" x14ac:dyDescent="0.25">
      <c r="C4" s="14" t="s">
        <v>38</v>
      </c>
      <c r="D4" s="13" t="s">
        <v>37</v>
      </c>
    </row>
    <row r="6" spans="1:23" x14ac:dyDescent="0.25">
      <c r="S6" s="4" t="s">
        <v>36</v>
      </c>
    </row>
    <row r="7" spans="1:23" x14ac:dyDescent="0.25">
      <c r="B7" t="s">
        <v>35</v>
      </c>
      <c r="C7" t="s">
        <v>34</v>
      </c>
      <c r="D7" t="s">
        <v>33</v>
      </c>
      <c r="E7" t="s">
        <v>32</v>
      </c>
      <c r="F7" t="s">
        <v>31</v>
      </c>
      <c r="G7" t="s">
        <v>30</v>
      </c>
      <c r="S7" s="4" t="s">
        <v>29</v>
      </c>
    </row>
    <row r="8" spans="1:23" x14ac:dyDescent="0.25">
      <c r="A8" t="s">
        <v>28</v>
      </c>
      <c r="B8" t="s">
        <v>27</v>
      </c>
      <c r="C8" t="s">
        <v>0</v>
      </c>
      <c r="D8" t="s">
        <v>26</v>
      </c>
      <c r="E8" t="s">
        <v>25</v>
      </c>
      <c r="F8" t="s">
        <v>24</v>
      </c>
      <c r="G8" t="s">
        <v>1</v>
      </c>
      <c r="H8" t="s">
        <v>2</v>
      </c>
      <c r="I8" t="s">
        <v>23</v>
      </c>
      <c r="J8" t="s">
        <v>22</v>
      </c>
      <c r="K8" t="s">
        <v>21</v>
      </c>
    </row>
    <row r="9" spans="1:23" x14ac:dyDescent="0.25">
      <c r="A9" t="s">
        <v>20</v>
      </c>
      <c r="B9" s="1">
        <v>6.92</v>
      </c>
      <c r="C9" s="1">
        <v>6.04</v>
      </c>
      <c r="D9" s="7">
        <v>2.5000000000000001E-2</v>
      </c>
      <c r="E9" s="7">
        <v>3.0024000000000002E-2</v>
      </c>
      <c r="F9" s="11">
        <f t="shared" ref="F9:F16" si="0">(B9-C9)*E9</f>
        <v>2.6421119999999999E-2</v>
      </c>
      <c r="G9" s="2">
        <f t="shared" ref="G9:G16" si="1">F9/D9</f>
        <v>1.0568447999999999</v>
      </c>
      <c r="H9" s="2">
        <v>0.14411520000000042</v>
      </c>
      <c r="I9" s="2"/>
      <c r="J9" s="3"/>
      <c r="K9" s="12" t="s">
        <v>19</v>
      </c>
      <c r="L9" s="12"/>
      <c r="M9" s="12"/>
    </row>
    <row r="10" spans="1:23" s="4" customFormat="1" x14ac:dyDescent="0.25">
      <c r="A10" s="6" t="s">
        <v>18</v>
      </c>
      <c r="B10" s="2">
        <v>6.94</v>
      </c>
      <c r="C10" s="2">
        <v>6.0991999999999997</v>
      </c>
      <c r="D10" s="2">
        <v>5.0500000000000003E-2</v>
      </c>
      <c r="E10" s="7">
        <v>3.0351E-2</v>
      </c>
      <c r="F10" s="11">
        <f t="shared" si="0"/>
        <v>2.551912080000002E-2</v>
      </c>
      <c r="G10" s="2">
        <f t="shared" si="1"/>
        <v>0.5053291247524756</v>
      </c>
      <c r="H10" s="2">
        <v>7.8131287128712784E-2</v>
      </c>
      <c r="I10" s="2">
        <f t="shared" ref="I10:I16" si="2">LOG(G10)</f>
        <v>-0.29642567038481699</v>
      </c>
      <c r="J10" s="3">
        <f t="shared" ref="J10:J16" si="3">LOG(C10)</f>
        <v>0.78527287462221351</v>
      </c>
      <c r="S10" s="9" t="s">
        <v>17</v>
      </c>
      <c r="T10" s="9" t="s">
        <v>16</v>
      </c>
      <c r="U10" s="10">
        <v>-0.82889999999999997</v>
      </c>
    </row>
    <row r="11" spans="1:23" s="4" customFormat="1" x14ac:dyDescent="0.25">
      <c r="A11" s="6" t="s">
        <v>15</v>
      </c>
      <c r="B11" s="2">
        <v>6.03</v>
      </c>
      <c r="C11" s="2">
        <v>4.6300000000000008</v>
      </c>
      <c r="D11" s="2">
        <v>0.1</v>
      </c>
      <c r="E11" s="7">
        <v>3.0213E-2</v>
      </c>
      <c r="F11" s="2">
        <f t="shared" si="0"/>
        <v>4.2298199999999987E-2</v>
      </c>
      <c r="G11" s="2">
        <f t="shared" si="1"/>
        <v>0.42298199999999986</v>
      </c>
      <c r="H11" s="2">
        <v>6.0425999999999813E-3</v>
      </c>
      <c r="I11" s="2">
        <f t="shared" si="2"/>
        <v>-0.37367811363442477</v>
      </c>
      <c r="J11" s="3">
        <f t="shared" si="3"/>
        <v>0.66558099101795321</v>
      </c>
      <c r="S11" s="9" t="s">
        <v>14</v>
      </c>
      <c r="T11" s="9" t="s">
        <v>13</v>
      </c>
      <c r="U11" s="10">
        <v>0.65139999999999998</v>
      </c>
      <c r="V11" s="9" t="s">
        <v>12</v>
      </c>
      <c r="W11" s="9"/>
    </row>
    <row r="12" spans="1:23" s="4" customFormat="1" x14ac:dyDescent="0.25">
      <c r="A12" s="6" t="s">
        <v>11</v>
      </c>
      <c r="B12" s="2">
        <v>5.88</v>
      </c>
      <c r="C12" s="2">
        <v>2.17</v>
      </c>
      <c r="D12" s="2">
        <v>0.5</v>
      </c>
      <c r="E12" s="7">
        <v>3.0172000000000001E-2</v>
      </c>
      <c r="F12" s="2">
        <f t="shared" si="0"/>
        <v>0.11193812</v>
      </c>
      <c r="G12" s="2">
        <f t="shared" si="1"/>
        <v>0.22387624</v>
      </c>
      <c r="H12" s="2">
        <v>5.4309599999999847E-3</v>
      </c>
      <c r="I12" s="2">
        <f t="shared" si="2"/>
        <v>-0.64999199567706645</v>
      </c>
      <c r="J12" s="3">
        <f t="shared" si="3"/>
        <v>0.33645973384852951</v>
      </c>
      <c r="S12" s="9" t="s">
        <v>10</v>
      </c>
      <c r="T12" s="9"/>
      <c r="U12" s="8">
        <f>1/U11</f>
        <v>1.5351550506601168</v>
      </c>
    </row>
    <row r="13" spans="1:23" s="4" customFormat="1" x14ac:dyDescent="0.25">
      <c r="A13" s="6" t="s">
        <v>9</v>
      </c>
      <c r="B13" s="2">
        <v>6.94</v>
      </c>
      <c r="C13" s="2">
        <v>1.8242</v>
      </c>
      <c r="D13" s="2">
        <v>0.75049999999999994</v>
      </c>
      <c r="E13" s="7">
        <v>3.0317500000000001E-2</v>
      </c>
      <c r="F13" s="2">
        <f t="shared" si="0"/>
        <v>0.1550982665</v>
      </c>
      <c r="G13" s="2">
        <f t="shared" si="1"/>
        <v>0.20665991538974018</v>
      </c>
      <c r="H13" s="2">
        <v>1.8178381079280576E-3</v>
      </c>
      <c r="I13" s="2">
        <f t="shared" si="2"/>
        <v>-0.68474375275466925</v>
      </c>
      <c r="J13" s="3">
        <f t="shared" si="3"/>
        <v>0.26107245139082275</v>
      </c>
      <c r="S13" s="9" t="s">
        <v>8</v>
      </c>
      <c r="T13" s="9"/>
      <c r="U13" s="8">
        <f>10^U10</f>
        <v>0.14828594868540643</v>
      </c>
    </row>
    <row r="14" spans="1:23" s="4" customFormat="1" x14ac:dyDescent="0.25">
      <c r="A14" s="6" t="s">
        <v>7</v>
      </c>
      <c r="B14" s="2">
        <v>6.94</v>
      </c>
      <c r="C14" s="2">
        <v>1.2342</v>
      </c>
      <c r="D14" s="2">
        <v>1.0015000000000001</v>
      </c>
      <c r="E14" s="7">
        <v>3.0026499999999998E-2</v>
      </c>
      <c r="F14" s="2">
        <f t="shared" si="0"/>
        <v>0.17132520369999998</v>
      </c>
      <c r="G14" s="2">
        <f t="shared" si="1"/>
        <v>0.17106860079880176</v>
      </c>
      <c r="H14" s="2">
        <v>3.148060409385936E-3</v>
      </c>
      <c r="I14" s="2">
        <f t="shared" si="2"/>
        <v>-0.76682969677808277</v>
      </c>
      <c r="J14" s="3">
        <f t="shared" si="3"/>
        <v>9.1385542078367632E-2</v>
      </c>
    </row>
    <row r="15" spans="1:23" s="4" customFormat="1" x14ac:dyDescent="0.25">
      <c r="A15" t="s">
        <v>6</v>
      </c>
      <c r="B15" s="1">
        <v>6.92</v>
      </c>
      <c r="C15" s="1">
        <v>0.55900000000000005</v>
      </c>
      <c r="D15" s="1">
        <v>1.5004999999999999</v>
      </c>
      <c r="E15" s="7">
        <v>3.0071999999999998E-2</v>
      </c>
      <c r="F15" s="2">
        <f t="shared" si="0"/>
        <v>0.19128799199999999</v>
      </c>
      <c r="G15" s="2">
        <f t="shared" si="1"/>
        <v>0.12748283372209263</v>
      </c>
      <c r="H15" s="2">
        <v>2.0642559146950984E-3</v>
      </c>
      <c r="I15" s="2">
        <f t="shared" si="2"/>
        <v>-0.89454829147858306</v>
      </c>
      <c r="J15" s="3">
        <f t="shared" si="3"/>
        <v>-0.25258819211357664</v>
      </c>
    </row>
    <row r="16" spans="1:23" s="4" customFormat="1" x14ac:dyDescent="0.25">
      <c r="A16" t="s">
        <v>5</v>
      </c>
      <c r="B16" s="1">
        <v>6.92</v>
      </c>
      <c r="C16" s="1">
        <v>0.65949999999999998</v>
      </c>
      <c r="D16" s="1">
        <v>2.0024999999999999</v>
      </c>
      <c r="E16" s="7">
        <v>3.0218499999999999E-2</v>
      </c>
      <c r="F16" s="2">
        <f t="shared" si="0"/>
        <v>0.18918291925</v>
      </c>
      <c r="G16" s="2">
        <f t="shared" si="1"/>
        <v>9.4473367915106118E-2</v>
      </c>
      <c r="H16" s="2">
        <v>1.5844906367041417E-4</v>
      </c>
      <c r="I16" s="2">
        <f t="shared" si="2"/>
        <v>-1.0246906020474751</v>
      </c>
      <c r="J16" s="3">
        <f t="shared" si="3"/>
        <v>-0.18078520011761592</v>
      </c>
    </row>
    <row r="17" spans="1:21" s="4" customFormat="1" x14ac:dyDescent="0.25">
      <c r="D17" s="2"/>
      <c r="F17" s="2"/>
      <c r="G17" s="2"/>
      <c r="H17" s="2"/>
      <c r="I17" s="2"/>
      <c r="J17" s="3"/>
    </row>
    <row r="18" spans="1:21" s="4" customFormat="1" x14ac:dyDescent="0.25">
      <c r="F18" s="2"/>
      <c r="G18" s="2"/>
      <c r="H18" s="2"/>
      <c r="I18" s="2"/>
      <c r="J18" s="3"/>
    </row>
    <row r="19" spans="1:21" s="4" customFormat="1" x14ac:dyDescent="0.25">
      <c r="A19" s="6"/>
      <c r="B19" s="3" t="s">
        <v>4</v>
      </c>
      <c r="C19" s="4" t="s">
        <v>3</v>
      </c>
      <c r="F19" s="2"/>
      <c r="G19" s="2"/>
      <c r="H19" s="2"/>
      <c r="I19" s="2"/>
      <c r="J19" s="3"/>
    </row>
    <row r="20" spans="1:21" s="4" customFormat="1" x14ac:dyDescent="0.25">
      <c r="A20" s="6"/>
      <c r="B20" s="3">
        <v>0</v>
      </c>
      <c r="C20" s="3">
        <f t="shared" ref="C20:C83" si="4">$U$13*(B20^$U$11)</f>
        <v>0</v>
      </c>
      <c r="E20" s="2"/>
      <c r="F20" s="2"/>
      <c r="G20" s="2"/>
      <c r="H20" s="2"/>
      <c r="I20" s="2"/>
      <c r="J20" s="3"/>
    </row>
    <row r="21" spans="1:21" s="4" customFormat="1" x14ac:dyDescent="0.25">
      <c r="A21" s="6"/>
      <c r="B21" s="3">
        <v>0.5</v>
      </c>
      <c r="C21" s="3">
        <f t="shared" si="4"/>
        <v>9.4408057273496909E-2</v>
      </c>
      <c r="D21" s="2"/>
      <c r="E21" s="2"/>
      <c r="F21" s="2"/>
      <c r="G21" s="2"/>
      <c r="H21" s="2"/>
      <c r="I21" s="2"/>
      <c r="J21" s="3"/>
    </row>
    <row r="22" spans="1:21" s="4" customFormat="1" x14ac:dyDescent="0.25">
      <c r="A22" s="6"/>
      <c r="B22" s="3">
        <v>1</v>
      </c>
      <c r="C22" s="3">
        <f t="shared" si="4"/>
        <v>0.14828594868540643</v>
      </c>
      <c r="D22" s="2"/>
      <c r="E22" s="2"/>
      <c r="F22" s="2"/>
      <c r="G22" s="2"/>
      <c r="H22" s="2"/>
      <c r="I22" s="2"/>
      <c r="J22" s="3"/>
    </row>
    <row r="23" spans="1:21" s="4" customFormat="1" x14ac:dyDescent="0.25">
      <c r="A23" s="6"/>
      <c r="B23" s="3">
        <v>1.5</v>
      </c>
      <c r="C23" s="3">
        <f t="shared" si="4"/>
        <v>0.1931104812477899</v>
      </c>
      <c r="D23" s="2"/>
      <c r="E23" s="2"/>
      <c r="F23" s="2"/>
      <c r="G23" s="2"/>
      <c r="H23" s="2"/>
      <c r="I23" s="2"/>
      <c r="J23" s="3"/>
    </row>
    <row r="24" spans="1:21" s="4" customFormat="1" x14ac:dyDescent="0.25">
      <c r="A24" s="6"/>
      <c r="B24" s="3">
        <v>2</v>
      </c>
      <c r="C24" s="3">
        <f t="shared" si="4"/>
        <v>0.23291150366361646</v>
      </c>
      <c r="D24" s="2"/>
      <c r="E24" s="2"/>
      <c r="F24" s="2"/>
      <c r="G24" s="2"/>
      <c r="H24" s="2"/>
      <c r="I24" s="2"/>
      <c r="J24" s="3"/>
    </row>
    <row r="25" spans="1:21" s="4" customFormat="1" x14ac:dyDescent="0.25">
      <c r="A25" s="6"/>
      <c r="B25" s="3">
        <v>2.5</v>
      </c>
      <c r="C25" s="3">
        <f t="shared" si="4"/>
        <v>0.2693507081262973</v>
      </c>
      <c r="D25" s="2"/>
      <c r="E25" s="2"/>
      <c r="F25" s="2"/>
      <c r="G25" s="2"/>
      <c r="H25" s="2"/>
      <c r="I25" s="2"/>
      <c r="J25" s="3"/>
    </row>
    <row r="26" spans="1:21" s="4" customFormat="1" x14ac:dyDescent="0.25">
      <c r="A26" s="6"/>
      <c r="B26" s="3">
        <v>3</v>
      </c>
      <c r="C26" s="3">
        <f t="shared" si="4"/>
        <v>0.30331702335498384</v>
      </c>
      <c r="D26" s="2"/>
      <c r="E26" s="2"/>
      <c r="F26" s="2"/>
      <c r="G26" s="2"/>
      <c r="H26" s="2"/>
      <c r="I26" s="2"/>
      <c r="J26" s="3"/>
      <c r="U26" s="2"/>
    </row>
    <row r="27" spans="1:21" s="4" customFormat="1" x14ac:dyDescent="0.25">
      <c r="A27" s="6"/>
      <c r="B27" s="3">
        <v>3.5</v>
      </c>
      <c r="C27" s="3">
        <f t="shared" si="4"/>
        <v>0.33535587891527163</v>
      </c>
      <c r="D27" s="2"/>
      <c r="E27" s="2"/>
      <c r="F27" s="2"/>
      <c r="G27" s="2"/>
      <c r="H27" s="2"/>
      <c r="I27" s="2"/>
      <c r="J27" s="3"/>
      <c r="U27" s="2"/>
    </row>
    <row r="28" spans="1:21" s="4" customFormat="1" x14ac:dyDescent="0.25">
      <c r="A28" s="6"/>
      <c r="B28" s="3">
        <v>4</v>
      </c>
      <c r="C28" s="3">
        <f t="shared" si="4"/>
        <v>0.36583215752920234</v>
      </c>
      <c r="D28" s="2"/>
      <c r="E28" s="2"/>
      <c r="F28" s="2"/>
      <c r="G28" s="2"/>
      <c r="H28" s="2"/>
      <c r="I28" s="2"/>
      <c r="J28" s="3"/>
    </row>
    <row r="29" spans="1:21" s="4" customFormat="1" x14ac:dyDescent="0.25">
      <c r="A29" s="6"/>
      <c r="B29" s="3">
        <v>4.5</v>
      </c>
      <c r="C29" s="3">
        <f t="shared" si="4"/>
        <v>0.39500503500162454</v>
      </c>
      <c r="D29" s="2"/>
      <c r="E29" s="2"/>
      <c r="F29" s="2"/>
      <c r="G29" s="2"/>
      <c r="H29" s="2"/>
      <c r="I29" s="2"/>
      <c r="J29" s="3"/>
    </row>
    <row r="30" spans="1:21" s="4" customFormat="1" x14ac:dyDescent="0.25">
      <c r="A30" s="6"/>
      <c r="B30" s="3">
        <v>5</v>
      </c>
      <c r="C30" s="3">
        <f t="shared" si="4"/>
        <v>0.42306691226455934</v>
      </c>
      <c r="D30" s="2"/>
      <c r="E30" s="2"/>
      <c r="F30" s="2"/>
      <c r="G30" s="2"/>
      <c r="H30" s="2"/>
      <c r="I30" s="2"/>
      <c r="J30" s="3"/>
    </row>
    <row r="31" spans="1:21" s="4" customFormat="1" x14ac:dyDescent="0.25">
      <c r="A31" s="6"/>
      <c r="B31" s="3">
        <v>5.5</v>
      </c>
      <c r="C31" s="3">
        <f t="shared" si="4"/>
        <v>0.45016554940792119</v>
      </c>
      <c r="D31" s="2"/>
      <c r="E31" s="2"/>
      <c r="F31" s="2"/>
      <c r="G31" s="2"/>
      <c r="H31" s="2"/>
      <c r="I31" s="2"/>
      <c r="J31" s="3"/>
    </row>
    <row r="32" spans="1:21" s="4" customFormat="1" x14ac:dyDescent="0.25">
      <c r="A32" s="6"/>
      <c r="B32" s="3">
        <v>6</v>
      </c>
      <c r="C32" s="3">
        <f t="shared" si="4"/>
        <v>0.4764175204911657</v>
      </c>
      <c r="D32" s="2"/>
      <c r="E32" s="2"/>
      <c r="F32" s="2"/>
      <c r="G32" s="2"/>
      <c r="H32" s="2"/>
      <c r="I32" s="2"/>
      <c r="J32" s="3"/>
    </row>
    <row r="33" spans="1:21" s="4" customFormat="1" x14ac:dyDescent="0.25">
      <c r="A33" s="6"/>
      <c r="B33" s="3">
        <v>6.5</v>
      </c>
      <c r="C33" s="3">
        <f t="shared" si="4"/>
        <v>0.50191683238820806</v>
      </c>
      <c r="D33" s="2"/>
      <c r="E33" s="2"/>
      <c r="F33" s="2"/>
      <c r="G33" s="2"/>
      <c r="H33" s="2"/>
      <c r="I33" s="2"/>
      <c r="J33" s="3"/>
    </row>
    <row r="34" spans="1:21" s="4" customFormat="1" x14ac:dyDescent="0.25">
      <c r="A34" s="6"/>
      <c r="B34" s="3">
        <v>7</v>
      </c>
      <c r="C34" s="3">
        <f t="shared" si="4"/>
        <v>0.52674068388164563</v>
      </c>
      <c r="D34" s="2"/>
      <c r="E34" s="2"/>
      <c r="F34" s="2"/>
      <c r="G34" s="2"/>
      <c r="H34" s="2"/>
      <c r="I34" s="2"/>
      <c r="J34" s="3"/>
    </row>
    <row r="35" spans="1:21" s="4" customFormat="1" x14ac:dyDescent="0.25">
      <c r="A35" s="6"/>
      <c r="B35" s="3">
        <v>7.5</v>
      </c>
      <c r="C35" s="3">
        <f t="shared" si="4"/>
        <v>0.55095345008549645</v>
      </c>
      <c r="D35" s="2"/>
      <c r="E35" s="2"/>
      <c r="F35" s="2"/>
      <c r="G35" s="2"/>
      <c r="H35" s="2"/>
      <c r="I35" s="2"/>
      <c r="J35" s="3"/>
    </row>
    <row r="36" spans="1:21" s="4" customFormat="1" x14ac:dyDescent="0.25">
      <c r="A36" s="6"/>
      <c r="B36" s="3">
        <v>8</v>
      </c>
      <c r="C36" s="3">
        <f t="shared" si="4"/>
        <v>0.57460952068627891</v>
      </c>
      <c r="D36" s="2"/>
      <c r="E36" s="2"/>
      <c r="F36" s="2"/>
      <c r="G36" s="2"/>
      <c r="H36" s="2"/>
      <c r="I36" s="2"/>
      <c r="J36" s="3"/>
    </row>
    <row r="37" spans="1:21" s="4" customFormat="1" x14ac:dyDescent="0.25">
      <c r="B37" s="3">
        <v>8.5</v>
      </c>
      <c r="C37" s="3">
        <f t="shared" si="4"/>
        <v>0.59775537257867428</v>
      </c>
    </row>
    <row r="38" spans="1:21" s="5" customFormat="1" x14ac:dyDescent="0.25">
      <c r="B38" s="3">
        <v>9</v>
      </c>
      <c r="C38" s="3">
        <f t="shared" si="4"/>
        <v>0.62043111618155733</v>
      </c>
    </row>
    <row r="39" spans="1:21" x14ac:dyDescent="0.25">
      <c r="B39" s="3">
        <v>9.5</v>
      </c>
      <c r="C39" s="3">
        <f t="shared" si="4"/>
        <v>0.64267167081610155</v>
      </c>
    </row>
    <row r="40" spans="1:21" x14ac:dyDescent="0.25">
      <c r="B40" s="3">
        <v>10</v>
      </c>
      <c r="C40" s="3">
        <f t="shared" si="4"/>
        <v>0.66450767290777957</v>
      </c>
    </row>
    <row r="41" spans="1:21" x14ac:dyDescent="0.25">
      <c r="B41" s="3">
        <v>10.5</v>
      </c>
      <c r="C41" s="3">
        <f t="shared" si="4"/>
        <v>0.68596618802348652</v>
      </c>
      <c r="S41" s="4"/>
      <c r="T41" s="4"/>
      <c r="U41" s="1"/>
    </row>
    <row r="42" spans="1:21" x14ac:dyDescent="0.25">
      <c r="B42" s="3">
        <v>11</v>
      </c>
      <c r="C42" s="3">
        <f t="shared" si="4"/>
        <v>0.70707127640662071</v>
      </c>
      <c r="S42" s="4"/>
      <c r="T42" s="4"/>
      <c r="U42" s="1"/>
    </row>
    <row r="43" spans="1:21" x14ac:dyDescent="0.25">
      <c r="B43" s="3">
        <v>11.5</v>
      </c>
      <c r="C43" s="3">
        <f t="shared" si="4"/>
        <v>0.72784444741962662</v>
      </c>
    </row>
    <row r="44" spans="1:21" x14ac:dyDescent="0.25">
      <c r="B44" s="3">
        <v>12</v>
      </c>
      <c r="C44" s="3">
        <f t="shared" si="4"/>
        <v>0.74830502858164383</v>
      </c>
    </row>
    <row r="45" spans="1:21" x14ac:dyDescent="0.25">
      <c r="B45" s="3">
        <v>12.5</v>
      </c>
      <c r="C45" s="3">
        <f t="shared" si="4"/>
        <v>0.76847046812925635</v>
      </c>
    </row>
    <row r="46" spans="1:21" x14ac:dyDescent="0.25">
      <c r="B46" s="3">
        <v>13</v>
      </c>
      <c r="C46" s="3">
        <f t="shared" si="4"/>
        <v>0.78835658524617735</v>
      </c>
    </row>
    <row r="47" spans="1:21" x14ac:dyDescent="0.25">
      <c r="B47" s="3">
        <v>13.5</v>
      </c>
      <c r="C47" s="3">
        <f t="shared" si="4"/>
        <v>0.80797777867077991</v>
      </c>
    </row>
    <row r="48" spans="1:21" x14ac:dyDescent="0.25">
      <c r="B48" s="3">
        <v>14</v>
      </c>
      <c r="C48" s="3">
        <f t="shared" si="4"/>
        <v>0.8273472018846092</v>
      </c>
    </row>
    <row r="49" spans="2:3" x14ac:dyDescent="0.25">
      <c r="B49" s="3">
        <v>14.5</v>
      </c>
      <c r="C49" s="3">
        <f t="shared" si="4"/>
        <v>0.84647691123389579</v>
      </c>
    </row>
    <row r="50" spans="2:3" x14ac:dyDescent="0.25">
      <c r="B50" s="3">
        <v>15</v>
      </c>
      <c r="C50" s="3">
        <f t="shared" si="4"/>
        <v>0.86537799195197251</v>
      </c>
    </row>
    <row r="51" spans="2:3" x14ac:dyDescent="0.25">
      <c r="B51" s="3">
        <v>15.5</v>
      </c>
      <c r="C51" s="3">
        <f t="shared" si="4"/>
        <v>0.88406066600395727</v>
      </c>
    </row>
    <row r="52" spans="2:3" x14ac:dyDescent="0.25">
      <c r="B52" s="3">
        <v>16</v>
      </c>
      <c r="C52" s="3">
        <f t="shared" si="4"/>
        <v>0.90253438487555326</v>
      </c>
    </row>
    <row r="53" spans="2:3" x14ac:dyDescent="0.25">
      <c r="B53" s="3">
        <v>16.5</v>
      </c>
      <c r="C53" s="3">
        <f t="shared" si="4"/>
        <v>0.92080790981114335</v>
      </c>
    </row>
    <row r="54" spans="2:3" x14ac:dyDescent="0.25">
      <c r="B54" s="3">
        <v>17</v>
      </c>
      <c r="C54" s="3">
        <f t="shared" si="4"/>
        <v>0.93888938152645118</v>
      </c>
    </row>
    <row r="55" spans="2:3" x14ac:dyDescent="0.25">
      <c r="B55" s="3">
        <v>17.5</v>
      </c>
      <c r="C55" s="3">
        <f t="shared" si="4"/>
        <v>0.95678638104443914</v>
      </c>
    </row>
    <row r="56" spans="2:3" x14ac:dyDescent="0.25">
      <c r="B56" s="3">
        <v>18</v>
      </c>
      <c r="C56" s="3">
        <f t="shared" si="4"/>
        <v>0.97450598300527924</v>
      </c>
    </row>
    <row r="57" spans="2:3" x14ac:dyDescent="0.25">
      <c r="B57" s="3">
        <v>18.5</v>
      </c>
      <c r="C57" s="3">
        <f t="shared" si="4"/>
        <v>0.99205480256396028</v>
      </c>
    </row>
    <row r="58" spans="2:3" x14ac:dyDescent="0.25">
      <c r="B58" s="3">
        <v>19</v>
      </c>
      <c r="C58" s="3">
        <f t="shared" si="4"/>
        <v>1.0094390367987593</v>
      </c>
    </row>
    <row r="59" spans="2:3" x14ac:dyDescent="0.25">
      <c r="B59" s="3">
        <v>19.5</v>
      </c>
      <c r="C59" s="3">
        <f t="shared" si="4"/>
        <v>1.0266645014001674</v>
      </c>
    </row>
    <row r="60" spans="2:3" x14ac:dyDescent="0.25">
      <c r="B60" s="3">
        <v>20</v>
      </c>
      <c r="C60" s="3">
        <f t="shared" si="4"/>
        <v>1.0437366632850313</v>
      </c>
    </row>
    <row r="61" spans="2:3" x14ac:dyDescent="0.25">
      <c r="B61" s="3">
        <v>20.5</v>
      </c>
      <c r="C61" s="3">
        <f t="shared" si="4"/>
        <v>1.0606606696787286</v>
      </c>
    </row>
    <row r="62" spans="2:3" x14ac:dyDescent="0.25">
      <c r="B62" s="3">
        <v>21</v>
      </c>
      <c r="C62" s="3">
        <f t="shared" si="4"/>
        <v>1.077441374124432</v>
      </c>
    </row>
    <row r="63" spans="2:3" x14ac:dyDescent="0.25">
      <c r="B63" s="3">
        <v>21.5</v>
      </c>
      <c r="C63" s="3">
        <f t="shared" si="4"/>
        <v>1.0940833598093851</v>
      </c>
    </row>
    <row r="64" spans="2:3" x14ac:dyDescent="0.25">
      <c r="B64" s="3">
        <v>22</v>
      </c>
      <c r="C64" s="3">
        <f t="shared" si="4"/>
        <v>1.1105909605407278</v>
      </c>
    </row>
    <row r="65" spans="2:3" x14ac:dyDescent="0.25">
      <c r="B65" s="3">
        <v>22.5</v>
      </c>
      <c r="C65" s="3">
        <f t="shared" si="4"/>
        <v>1.1269682796556026</v>
      </c>
    </row>
    <row r="66" spans="2:3" x14ac:dyDescent="0.25">
      <c r="B66" s="3">
        <v>23</v>
      </c>
      <c r="C66" s="3">
        <f t="shared" si="4"/>
        <v>1.1432192071102347</v>
      </c>
    </row>
    <row r="67" spans="2:3" x14ac:dyDescent="0.25">
      <c r="B67" s="3">
        <v>23.5</v>
      </c>
      <c r="C67" s="3">
        <f t="shared" si="4"/>
        <v>1.1593474349590098</v>
      </c>
    </row>
    <row r="68" spans="2:3" x14ac:dyDescent="0.25">
      <c r="B68" s="3">
        <v>24</v>
      </c>
      <c r="C68" s="3">
        <f t="shared" si="4"/>
        <v>1.1753564714061731</v>
      </c>
    </row>
    <row r="69" spans="2:3" x14ac:dyDescent="0.25">
      <c r="B69" s="3">
        <v>24.5</v>
      </c>
      <c r="C69" s="3">
        <f t="shared" si="4"/>
        <v>1.1912496535886894</v>
      </c>
    </row>
    <row r="70" spans="2:3" x14ac:dyDescent="0.25">
      <c r="B70" s="3">
        <v>25</v>
      </c>
      <c r="C70" s="3">
        <f t="shared" si="4"/>
        <v>1.2070301592283181</v>
      </c>
    </row>
    <row r="71" spans="2:3" x14ac:dyDescent="0.25">
      <c r="B71" s="3">
        <v>25.5</v>
      </c>
      <c r="C71" s="3">
        <f t="shared" si="4"/>
        <v>1.222701017273502</v>
      </c>
    </row>
    <row r="72" spans="2:3" x14ac:dyDescent="0.25">
      <c r="B72" s="3">
        <v>26</v>
      </c>
      <c r="C72" s="3">
        <f t="shared" si="4"/>
        <v>1.2382651176366786</v>
      </c>
    </row>
    <row r="73" spans="2:3" x14ac:dyDescent="0.25">
      <c r="B73" s="3">
        <v>26.5</v>
      </c>
      <c r="C73" s="3">
        <f t="shared" si="4"/>
        <v>1.2537252201197782</v>
      </c>
    </row>
    <row r="74" spans="2:3" x14ac:dyDescent="0.25">
      <c r="B74" s="3">
        <v>27</v>
      </c>
      <c r="C74" s="3">
        <f t="shared" si="4"/>
        <v>1.2690839626096049</v>
      </c>
    </row>
    <row r="75" spans="2:3" x14ac:dyDescent="0.25">
      <c r="B75" s="3">
        <v>27.5</v>
      </c>
      <c r="C75" s="3">
        <f t="shared" si="4"/>
        <v>1.2843438686151878</v>
      </c>
    </row>
    <row r="76" spans="2:3" x14ac:dyDescent="0.25">
      <c r="B76" s="3">
        <v>28</v>
      </c>
      <c r="C76" s="3">
        <f t="shared" si="4"/>
        <v>1.2995073542109286</v>
      </c>
    </row>
    <row r="77" spans="2:3" x14ac:dyDescent="0.25">
      <c r="B77" s="3">
        <v>28.5</v>
      </c>
      <c r="C77" s="3">
        <f t="shared" si="4"/>
        <v>1.3145767344421244</v>
      </c>
    </row>
    <row r="78" spans="2:3" x14ac:dyDescent="0.25">
      <c r="B78" s="3">
        <v>29</v>
      </c>
      <c r="C78" s="3">
        <f t="shared" si="4"/>
        <v>1.329554229243187</v>
      </c>
    </row>
    <row r="79" spans="2:3" x14ac:dyDescent="0.25">
      <c r="B79" s="3">
        <v>29.5</v>
      </c>
      <c r="C79" s="3">
        <f t="shared" si="4"/>
        <v>1.3444419689133655</v>
      </c>
    </row>
    <row r="80" spans="2:3" x14ac:dyDescent="0.25">
      <c r="B80" s="3">
        <v>30</v>
      </c>
      <c r="C80" s="3">
        <f t="shared" si="4"/>
        <v>1.3592419991899822</v>
      </c>
    </row>
    <row r="81" spans="2:3" x14ac:dyDescent="0.25">
      <c r="B81" s="3">
        <v>30.5</v>
      </c>
      <c r="C81" s="3">
        <f t="shared" si="4"/>
        <v>1.3739562859549601</v>
      </c>
    </row>
    <row r="82" spans="2:3" x14ac:dyDescent="0.25">
      <c r="B82" s="3">
        <v>31</v>
      </c>
      <c r="C82" s="3">
        <f t="shared" si="4"/>
        <v>1.388586719606727</v>
      </c>
    </row>
    <row r="83" spans="2:3" x14ac:dyDescent="0.25">
      <c r="B83" s="3">
        <v>31.5</v>
      </c>
      <c r="C83" s="3">
        <f t="shared" si="4"/>
        <v>1.4031351191262658</v>
      </c>
    </row>
    <row r="84" spans="2:3" x14ac:dyDescent="0.25">
      <c r="B84" s="3">
        <v>32</v>
      </c>
      <c r="C84" s="3">
        <f t="shared" ref="C84:C147" si="5">$U$13*(B84^$U$11)</f>
        <v>1.4176032358632387</v>
      </c>
    </row>
    <row r="85" spans="2:3" x14ac:dyDescent="0.25">
      <c r="B85" s="3">
        <v>32.5</v>
      </c>
      <c r="C85" s="3">
        <f t="shared" si="5"/>
        <v>1.4319927570654944</v>
      </c>
    </row>
    <row r="86" spans="2:3" x14ac:dyDescent="0.25">
      <c r="B86" s="3">
        <v>33</v>
      </c>
      <c r="C86" s="3">
        <f t="shared" si="5"/>
        <v>1.4463053091730456</v>
      </c>
    </row>
    <row r="87" spans="2:3" x14ac:dyDescent="0.25">
      <c r="B87" s="3">
        <v>33.5</v>
      </c>
      <c r="C87" s="3">
        <f t="shared" si="5"/>
        <v>1.460542460895542</v>
      </c>
    </row>
    <row r="88" spans="2:3" x14ac:dyDescent="0.25">
      <c r="B88" s="3">
        <v>34</v>
      </c>
      <c r="C88" s="3">
        <f t="shared" si="5"/>
        <v>1.4747057260904846</v>
      </c>
    </row>
    <row r="89" spans="2:3" x14ac:dyDescent="0.25">
      <c r="B89" s="3">
        <v>34.5</v>
      </c>
      <c r="C89" s="3">
        <f t="shared" si="5"/>
        <v>1.4887965664578247</v>
      </c>
    </row>
    <row r="90" spans="2:3" x14ac:dyDescent="0.25">
      <c r="B90" s="3">
        <v>35</v>
      </c>
      <c r="C90" s="3">
        <f t="shared" si="5"/>
        <v>1.5028163940651353</v>
      </c>
    </row>
    <row r="91" spans="2:3" x14ac:dyDescent="0.25">
      <c r="B91" s="3">
        <v>35.5</v>
      </c>
      <c r="C91" s="3">
        <f t="shared" si="5"/>
        <v>1.516766573716283</v>
      </c>
    </row>
    <row r="92" spans="2:3" x14ac:dyDescent="0.25">
      <c r="B92" s="3">
        <v>36</v>
      </c>
      <c r="C92" s="3">
        <f t="shared" si="5"/>
        <v>1.5306484251753512</v>
      </c>
    </row>
    <row r="93" spans="2:3" x14ac:dyDescent="0.25">
      <c r="B93" s="3">
        <v>36.5</v>
      </c>
      <c r="C93" s="3">
        <f t="shared" si="5"/>
        <v>1.5444632252565549</v>
      </c>
    </row>
    <row r="94" spans="2:3" x14ac:dyDescent="0.25">
      <c r="B94" s="3">
        <v>37</v>
      </c>
      <c r="C94" s="3">
        <f t="shared" si="5"/>
        <v>1.5582122097899358</v>
      </c>
    </row>
    <row r="95" spans="2:3" x14ac:dyDescent="0.25">
      <c r="B95" s="3">
        <v>37.5</v>
      </c>
      <c r="C95" s="3">
        <f t="shared" si="5"/>
        <v>1.5718965754717971</v>
      </c>
    </row>
    <row r="96" spans="2:3" x14ac:dyDescent="0.25">
      <c r="B96" s="3">
        <v>38</v>
      </c>
      <c r="C96" s="3">
        <f t="shared" si="5"/>
        <v>1.5855174816080879</v>
      </c>
    </row>
    <row r="97" spans="2:3" x14ac:dyDescent="0.25">
      <c r="B97" s="3">
        <v>38.5</v>
      </c>
      <c r="C97" s="3">
        <f t="shared" si="5"/>
        <v>1.5990760517582432</v>
      </c>
    </row>
    <row r="98" spans="2:3" x14ac:dyDescent="0.25">
      <c r="B98" s="3">
        <v>39</v>
      </c>
      <c r="C98" s="3">
        <f t="shared" si="5"/>
        <v>1.6125733752863887</v>
      </c>
    </row>
    <row r="99" spans="2:3" x14ac:dyDescent="0.25">
      <c r="B99" s="3">
        <v>39.5</v>
      </c>
      <c r="C99" s="3">
        <f t="shared" si="5"/>
        <v>1.626010508826246</v>
      </c>
    </row>
    <row r="100" spans="2:3" x14ac:dyDescent="0.25">
      <c r="B100" s="3">
        <v>40</v>
      </c>
      <c r="C100" s="3">
        <f t="shared" si="5"/>
        <v>1.6393884776655645</v>
      </c>
    </row>
    <row r="101" spans="2:3" x14ac:dyDescent="0.25">
      <c r="B101" s="3">
        <v>40.5</v>
      </c>
      <c r="C101" s="3">
        <f t="shared" si="5"/>
        <v>1.6527082770554633</v>
      </c>
    </row>
    <row r="102" spans="2:3" x14ac:dyDescent="0.25">
      <c r="B102" s="3">
        <v>41</v>
      </c>
      <c r="C102" s="3">
        <f t="shared" si="5"/>
        <v>1.6659708734496133</v>
      </c>
    </row>
    <row r="103" spans="2:3" x14ac:dyDescent="0.25">
      <c r="B103" s="3">
        <v>41.5</v>
      </c>
      <c r="C103" s="3">
        <f t="shared" si="5"/>
        <v>1.6791772056778358</v>
      </c>
    </row>
    <row r="104" spans="2:3" x14ac:dyDescent="0.25">
      <c r="B104" s="3">
        <v>42</v>
      </c>
      <c r="C104" s="3">
        <f t="shared" si="5"/>
        <v>1.6923281860583443</v>
      </c>
    </row>
    <row r="105" spans="2:3" x14ac:dyDescent="0.25">
      <c r="B105" s="3">
        <v>42.5</v>
      </c>
      <c r="C105" s="3">
        <f t="shared" si="5"/>
        <v>1.7054247014525066</v>
      </c>
    </row>
    <row r="106" spans="2:3" x14ac:dyDescent="0.25">
      <c r="B106" s="3">
        <v>43</v>
      </c>
      <c r="C106" s="3">
        <f t="shared" si="5"/>
        <v>1.7184676142657607</v>
      </c>
    </row>
    <row r="107" spans="2:3" x14ac:dyDescent="0.25">
      <c r="B107" s="3">
        <v>43.5</v>
      </c>
      <c r="C107" s="3">
        <f t="shared" si="5"/>
        <v>1.7314577633980119</v>
      </c>
    </row>
    <row r="108" spans="2:3" x14ac:dyDescent="0.25">
      <c r="B108" s="3">
        <v>44</v>
      </c>
      <c r="C108" s="3">
        <f t="shared" si="5"/>
        <v>1.7443959651466152</v>
      </c>
    </row>
    <row r="109" spans="2:3" x14ac:dyDescent="0.25">
      <c r="B109" s="3">
        <v>44.5</v>
      </c>
      <c r="C109" s="3">
        <f t="shared" si="5"/>
        <v>1.7572830140648223</v>
      </c>
    </row>
    <row r="110" spans="2:3" x14ac:dyDescent="0.25">
      <c r="B110" s="3">
        <v>45</v>
      </c>
      <c r="C110" s="3">
        <f t="shared" si="5"/>
        <v>1.7701196837783575</v>
      </c>
    </row>
    <row r="111" spans="2:3" x14ac:dyDescent="0.25">
      <c r="B111" s="3">
        <v>45.5</v>
      </c>
      <c r="C111" s="3">
        <f t="shared" si="5"/>
        <v>1.7829067277626218</v>
      </c>
    </row>
    <row r="112" spans="2:3" x14ac:dyDescent="0.25">
      <c r="B112" s="3">
        <v>46</v>
      </c>
      <c r="C112" s="3">
        <f t="shared" si="5"/>
        <v>1.7956448800828089</v>
      </c>
    </row>
    <row r="113" spans="2:3" x14ac:dyDescent="0.25">
      <c r="B113" s="3">
        <v>46.5</v>
      </c>
      <c r="C113" s="3">
        <f t="shared" si="5"/>
        <v>1.8083348560991126</v>
      </c>
    </row>
    <row r="114" spans="2:3" x14ac:dyDescent="0.25">
      <c r="B114" s="3">
        <v>47</v>
      </c>
      <c r="C114" s="3">
        <f t="shared" si="5"/>
        <v>1.8209773531390183</v>
      </c>
    </row>
    <row r="115" spans="2:3" x14ac:dyDescent="0.25">
      <c r="B115" s="3">
        <v>47.5</v>
      </c>
      <c r="C115" s="3">
        <f t="shared" si="5"/>
        <v>1.8335730511385375</v>
      </c>
    </row>
    <row r="116" spans="2:3" x14ac:dyDescent="0.25">
      <c r="B116" s="3">
        <v>48</v>
      </c>
      <c r="C116" s="3">
        <f t="shared" si="5"/>
        <v>1.8461226132541564</v>
      </c>
    </row>
    <row r="117" spans="2:3" x14ac:dyDescent="0.25">
      <c r="B117" s="3">
        <v>48.5</v>
      </c>
      <c r="C117" s="3">
        <f t="shared" si="5"/>
        <v>1.8586266864470944</v>
      </c>
    </row>
    <row r="118" spans="2:3" x14ac:dyDescent="0.25">
      <c r="B118" s="3">
        <v>49</v>
      </c>
      <c r="C118" s="3">
        <f t="shared" si="5"/>
        <v>1.8710859020414357</v>
      </c>
    </row>
    <row r="119" spans="2:3" x14ac:dyDescent="0.25">
      <c r="B119" s="3">
        <v>49.5</v>
      </c>
      <c r="C119" s="3">
        <f t="shared" si="5"/>
        <v>1.8835008762575189</v>
      </c>
    </row>
    <row r="120" spans="2:3" x14ac:dyDescent="0.25">
      <c r="B120" s="3">
        <v>50</v>
      </c>
      <c r="C120" s="3">
        <f t="shared" si="5"/>
        <v>1.8958722107219417</v>
      </c>
    </row>
    <row r="121" spans="2:3" x14ac:dyDescent="0.25">
      <c r="B121" s="3">
        <v>50.5</v>
      </c>
      <c r="C121" s="3">
        <f t="shared" si="5"/>
        <v>1.908200492955435</v>
      </c>
    </row>
    <row r="122" spans="2:3" x14ac:dyDescent="0.25">
      <c r="B122" s="3">
        <v>51</v>
      </c>
      <c r="C122" s="3">
        <f t="shared" si="5"/>
        <v>1.9204862968397465</v>
      </c>
    </row>
    <row r="123" spans="2:3" x14ac:dyDescent="0.25">
      <c r="B123" s="3">
        <v>51.5</v>
      </c>
      <c r="C123" s="3">
        <f t="shared" si="5"/>
        <v>1.9327301830646719</v>
      </c>
    </row>
    <row r="124" spans="2:3" x14ac:dyDescent="0.25">
      <c r="B124" s="3">
        <v>52</v>
      </c>
      <c r="C124" s="3">
        <f t="shared" si="5"/>
        <v>1.9449326995562266</v>
      </c>
    </row>
    <row r="125" spans="2:3" x14ac:dyDescent="0.25">
      <c r="B125" s="3">
        <v>52.5</v>
      </c>
      <c r="C125" s="3">
        <f t="shared" si="5"/>
        <v>1.9570943818869571</v>
      </c>
    </row>
    <row r="126" spans="2:3" x14ac:dyDescent="0.25">
      <c r="B126" s="3">
        <v>53</v>
      </c>
      <c r="C126" s="3">
        <f t="shared" si="5"/>
        <v>1.9692157536692745</v>
      </c>
    </row>
    <row r="127" spans="2:3" x14ac:dyDescent="0.25">
      <c r="B127" s="3">
        <v>53.5</v>
      </c>
      <c r="C127" s="3">
        <f t="shared" si="5"/>
        <v>1.9812973269326846</v>
      </c>
    </row>
    <row r="128" spans="2:3" x14ac:dyDescent="0.25">
      <c r="B128" s="3">
        <v>54</v>
      </c>
      <c r="C128" s="3">
        <f t="shared" si="5"/>
        <v>1.9933396024857055</v>
      </c>
    </row>
    <row r="129" spans="2:3" x14ac:dyDescent="0.25">
      <c r="B129" s="3">
        <v>54.5</v>
      </c>
      <c r="C129" s="3">
        <f t="shared" si="5"/>
        <v>2.0053430702632444</v>
      </c>
    </row>
    <row r="130" spans="2:3" x14ac:dyDescent="0.25">
      <c r="B130" s="3">
        <v>55</v>
      </c>
      <c r="C130" s="3">
        <f t="shared" si="5"/>
        <v>2.0173082096601207</v>
      </c>
    </row>
    <row r="131" spans="2:3" x14ac:dyDescent="0.25">
      <c r="B131" s="3">
        <v>55.5</v>
      </c>
      <c r="C131" s="3">
        <f t="shared" si="5"/>
        <v>2.0292354898514424</v>
      </c>
    </row>
    <row r="132" spans="2:3" x14ac:dyDescent="0.25">
      <c r="B132" s="3">
        <v>56</v>
      </c>
      <c r="C132" s="3">
        <f t="shared" si="5"/>
        <v>2.0411253701004415</v>
      </c>
    </row>
    <row r="133" spans="2:3" x14ac:dyDescent="0.25">
      <c r="B133" s="3">
        <v>56.5</v>
      </c>
      <c r="C133" s="3">
        <f t="shared" si="5"/>
        <v>2.0529783000543662</v>
      </c>
    </row>
    <row r="134" spans="2:3" x14ac:dyDescent="0.25">
      <c r="B134" s="3">
        <v>57</v>
      </c>
      <c r="C134" s="3">
        <f t="shared" si="5"/>
        <v>2.0647947200290222</v>
      </c>
    </row>
    <row r="135" spans="2:3" x14ac:dyDescent="0.25">
      <c r="B135" s="3">
        <v>57.5</v>
      </c>
      <c r="C135" s="3">
        <f t="shared" si="5"/>
        <v>2.0765750612824627</v>
      </c>
    </row>
    <row r="136" spans="2:3" x14ac:dyDescent="0.25">
      <c r="B136" s="3">
        <v>58</v>
      </c>
      <c r="C136" s="3">
        <f t="shared" si="5"/>
        <v>2.088319746278342</v>
      </c>
    </row>
    <row r="137" spans="2:3" x14ac:dyDescent="0.25">
      <c r="B137" s="3">
        <v>58.5</v>
      </c>
      <c r="C137" s="3">
        <f t="shared" si="5"/>
        <v>2.1000291889394269</v>
      </c>
    </row>
    <row r="138" spans="2:3" x14ac:dyDescent="0.25">
      <c r="B138" s="3">
        <v>59</v>
      </c>
      <c r="C138" s="3">
        <f t="shared" si="5"/>
        <v>2.1117037948916759</v>
      </c>
    </row>
    <row r="139" spans="2:3" x14ac:dyDescent="0.25">
      <c r="B139" s="3">
        <v>59.5</v>
      </c>
      <c r="C139" s="3">
        <f t="shared" si="5"/>
        <v>2.1233439616993595</v>
      </c>
    </row>
    <row r="140" spans="2:3" x14ac:dyDescent="0.25">
      <c r="B140" s="3">
        <v>60</v>
      </c>
      <c r="C140" s="3">
        <f t="shared" si="5"/>
        <v>2.1349500790915825</v>
      </c>
    </row>
    <row r="141" spans="2:3" x14ac:dyDescent="0.25">
      <c r="B141" s="3">
        <v>60.5</v>
      </c>
      <c r="C141" s="3">
        <f t="shared" si="5"/>
        <v>2.1465225291806216</v>
      </c>
    </row>
    <row r="142" spans="2:3" x14ac:dyDescent="0.25">
      <c r="B142" s="3">
        <v>61</v>
      </c>
      <c r="C142" s="3">
        <f t="shared" si="5"/>
        <v>2.1580616866724163</v>
      </c>
    </row>
    <row r="143" spans="2:3" x14ac:dyDescent="0.25">
      <c r="B143" s="3">
        <v>61.5</v>
      </c>
      <c r="C143" s="3">
        <f t="shared" si="5"/>
        <v>2.1695679190695807</v>
      </c>
    </row>
    <row r="144" spans="2:3" x14ac:dyDescent="0.25">
      <c r="B144" s="3">
        <v>62</v>
      </c>
      <c r="C144" s="3">
        <f t="shared" si="5"/>
        <v>2.1810415868672286</v>
      </c>
    </row>
    <row r="145" spans="2:3" x14ac:dyDescent="0.25">
      <c r="B145" s="3">
        <v>62.5</v>
      </c>
      <c r="C145" s="3">
        <f t="shared" si="5"/>
        <v>2.1924830437419671</v>
      </c>
    </row>
    <row r="146" spans="2:3" x14ac:dyDescent="0.25">
      <c r="B146" s="3">
        <v>63</v>
      </c>
      <c r="C146" s="3">
        <f t="shared" si="5"/>
        <v>2.2038926367342917</v>
      </c>
    </row>
    <row r="147" spans="2:3" x14ac:dyDescent="0.25">
      <c r="B147" s="3">
        <v>63.5</v>
      </c>
      <c r="C147" s="3">
        <f t="shared" si="5"/>
        <v>2.2152707064247257</v>
      </c>
    </row>
    <row r="148" spans="2:3" x14ac:dyDescent="0.25">
      <c r="B148" s="3">
        <v>64</v>
      </c>
      <c r="C148" s="3">
        <f t="shared" ref="C148:C211" si="6">$U$13*(B148^$U$11)</f>
        <v>2.2266175871039189</v>
      </c>
    </row>
    <row r="149" spans="2:3" x14ac:dyDescent="0.25">
      <c r="B149" s="3">
        <v>64.5</v>
      </c>
      <c r="C149" s="3">
        <f t="shared" si="6"/>
        <v>2.2379336069369722</v>
      </c>
    </row>
    <row r="150" spans="2:3" x14ac:dyDescent="0.25">
      <c r="B150" s="3">
        <v>65</v>
      </c>
      <c r="C150" s="3">
        <f t="shared" si="6"/>
        <v>2.249219088122246</v>
      </c>
    </row>
    <row r="151" spans="2:3" x14ac:dyDescent="0.25">
      <c r="B151" s="3">
        <v>65.5</v>
      </c>
      <c r="C151" s="3">
        <f t="shared" si="6"/>
        <v>2.2604743470448505</v>
      </c>
    </row>
    <row r="152" spans="2:3" x14ac:dyDescent="0.25">
      <c r="B152" s="3">
        <v>66</v>
      </c>
      <c r="C152" s="3">
        <f t="shared" si="6"/>
        <v>2.2716996944250458</v>
      </c>
    </row>
    <row r="153" spans="2:3" x14ac:dyDescent="0.25">
      <c r="B153" s="3">
        <v>66.5</v>
      </c>
      <c r="C153" s="3">
        <f t="shared" si="6"/>
        <v>2.2828954354617741</v>
      </c>
    </row>
    <row r="154" spans="2:3" x14ac:dyDescent="0.25">
      <c r="B154" s="3">
        <v>67</v>
      </c>
      <c r="C154" s="3">
        <f t="shared" si="6"/>
        <v>2.294061869971487</v>
      </c>
    </row>
    <row r="155" spans="2:3" x14ac:dyDescent="0.25">
      <c r="B155" s="3">
        <v>67.5</v>
      </c>
      <c r="C155" s="3">
        <f t="shared" si="6"/>
        <v>2.3051992925224853</v>
      </c>
    </row>
    <row r="156" spans="2:3" x14ac:dyDescent="0.25">
      <c r="B156" s="3">
        <v>68</v>
      </c>
      <c r="C156" s="3">
        <f t="shared" si="6"/>
        <v>2.3163079925649308</v>
      </c>
    </row>
    <row r="157" spans="2:3" x14ac:dyDescent="0.25">
      <c r="B157" s="3">
        <v>68.5</v>
      </c>
      <c r="C157" s="3">
        <f t="shared" si="6"/>
        <v>2.3273882545567099</v>
      </c>
    </row>
    <row r="158" spans="2:3" x14ac:dyDescent="0.25">
      <c r="B158" s="3">
        <v>69</v>
      </c>
      <c r="C158" s="3">
        <f t="shared" si="6"/>
        <v>2.3384403580853075</v>
      </c>
    </row>
    <row r="159" spans="2:3" x14ac:dyDescent="0.25">
      <c r="B159" s="3">
        <v>69.5</v>
      </c>
      <c r="C159" s="3">
        <f t="shared" si="6"/>
        <v>2.3494645779858319</v>
      </c>
    </row>
    <row r="160" spans="2:3" x14ac:dyDescent="0.25">
      <c r="B160" s="3">
        <v>70</v>
      </c>
      <c r="C160" s="3">
        <f t="shared" si="6"/>
        <v>2.3604611844553833</v>
      </c>
    </row>
    <row r="161" spans="2:3" x14ac:dyDescent="0.25">
      <c r="B161" s="3">
        <v>70.5</v>
      </c>
      <c r="C161" s="3">
        <f t="shared" si="6"/>
        <v>2.3714304431638311</v>
      </c>
    </row>
    <row r="162" spans="2:3" x14ac:dyDescent="0.25">
      <c r="B162" s="3">
        <v>71</v>
      </c>
      <c r="C162" s="3">
        <f t="shared" si="6"/>
        <v>2.3823726153612168</v>
      </c>
    </row>
    <row r="163" spans="2:3" x14ac:dyDescent="0.25">
      <c r="B163" s="3">
        <v>71.5</v>
      </c>
      <c r="C163" s="3">
        <f t="shared" si="6"/>
        <v>2.3932879579818516</v>
      </c>
    </row>
    <row r="164" spans="2:3" x14ac:dyDescent="0.25">
      <c r="B164" s="3">
        <v>72</v>
      </c>
      <c r="C164" s="3">
        <f t="shared" si="6"/>
        <v>2.4041767237452563</v>
      </c>
    </row>
    <row r="165" spans="2:3" x14ac:dyDescent="0.25">
      <c r="B165" s="3">
        <v>72.5</v>
      </c>
      <c r="C165" s="3">
        <f t="shared" si="6"/>
        <v>2.4150391612540552</v>
      </c>
    </row>
    <row r="166" spans="2:3" x14ac:dyDescent="0.25">
      <c r="B166" s="3">
        <v>73</v>
      </c>
      <c r="C166" s="3">
        <f t="shared" si="6"/>
        <v>2.4258755150889444</v>
      </c>
    </row>
    <row r="167" spans="2:3" x14ac:dyDescent="0.25">
      <c r="B167" s="3">
        <v>73.5</v>
      </c>
      <c r="C167" s="3">
        <f t="shared" si="6"/>
        <v>2.4366860259008254</v>
      </c>
    </row>
    <row r="168" spans="2:3" x14ac:dyDescent="0.25">
      <c r="B168" s="3">
        <v>74</v>
      </c>
      <c r="C168" s="3">
        <f t="shared" si="6"/>
        <v>2.4474709305002271</v>
      </c>
    </row>
    <row r="169" spans="2:3" x14ac:dyDescent="0.25">
      <c r="B169" s="3">
        <v>74.5</v>
      </c>
      <c r="C169" s="3">
        <f t="shared" si="6"/>
        <v>2.4582304619440842</v>
      </c>
    </row>
    <row r="170" spans="2:3" x14ac:dyDescent="0.25">
      <c r="B170" s="3">
        <v>75</v>
      </c>
      <c r="C170" s="3">
        <f t="shared" si="6"/>
        <v>2.4689648496200136</v>
      </c>
    </row>
    <row r="171" spans="2:3" x14ac:dyDescent="0.25">
      <c r="B171" s="3">
        <v>75.5</v>
      </c>
      <c r="C171" s="3">
        <f t="shared" si="6"/>
        <v>2.4796743193281272</v>
      </c>
    </row>
    <row r="172" spans="2:3" x14ac:dyDescent="0.25">
      <c r="B172" s="3">
        <v>76</v>
      </c>
      <c r="C172" s="3">
        <f t="shared" si="6"/>
        <v>2.4903590933604982</v>
      </c>
    </row>
    <row r="173" spans="2:3" x14ac:dyDescent="0.25">
      <c r="B173" s="3">
        <v>76.5</v>
      </c>
      <c r="C173" s="3">
        <f t="shared" si="6"/>
        <v>2.5010193905783611</v>
      </c>
    </row>
    <row r="174" spans="2:3" x14ac:dyDescent="0.25">
      <c r="B174" s="3">
        <v>77</v>
      </c>
      <c r="C174" s="3">
        <f t="shared" si="6"/>
        <v>2.5116554264871187</v>
      </c>
    </row>
    <row r="175" spans="2:3" x14ac:dyDescent="0.25">
      <c r="B175" s="3">
        <v>77.5</v>
      </c>
      <c r="C175" s="3">
        <f t="shared" si="6"/>
        <v>2.5222674133092218</v>
      </c>
    </row>
    <row r="176" spans="2:3" x14ac:dyDescent="0.25">
      <c r="B176" s="3">
        <v>78</v>
      </c>
      <c r="C176" s="3">
        <f t="shared" si="6"/>
        <v>2.5328555600550269</v>
      </c>
    </row>
    <row r="177" spans="2:3" x14ac:dyDescent="0.25">
      <c r="B177" s="3">
        <v>78.5</v>
      </c>
      <c r="C177" s="3">
        <f t="shared" si="6"/>
        <v>2.5434200725916649</v>
      </c>
    </row>
    <row r="178" spans="2:3" x14ac:dyDescent="0.25">
      <c r="B178" s="3">
        <v>79</v>
      </c>
      <c r="C178" s="3">
        <f t="shared" si="6"/>
        <v>2.5539611537100031</v>
      </c>
    </row>
    <row r="179" spans="2:3" x14ac:dyDescent="0.25">
      <c r="B179" s="3">
        <v>79.5</v>
      </c>
      <c r="C179" s="3">
        <f t="shared" si="6"/>
        <v>2.5644790031897862</v>
      </c>
    </row>
    <row r="180" spans="2:3" x14ac:dyDescent="0.25">
      <c r="B180" s="3">
        <v>80</v>
      </c>
      <c r="C180" s="3">
        <f t="shared" si="6"/>
        <v>2.5749738178629706</v>
      </c>
    </row>
    <row r="181" spans="2:3" x14ac:dyDescent="0.25">
      <c r="B181" s="3">
        <v>80.5</v>
      </c>
      <c r="C181" s="3">
        <f t="shared" si="6"/>
        <v>2.5854457916753621</v>
      </c>
    </row>
    <row r="182" spans="2:3" x14ac:dyDescent="0.25">
      <c r="B182" s="3">
        <v>81</v>
      </c>
      <c r="C182" s="3">
        <f t="shared" si="6"/>
        <v>2.5958951157465697</v>
      </c>
    </row>
    <row r="183" spans="2:3" x14ac:dyDescent="0.25">
      <c r="B183" s="3">
        <v>81.5</v>
      </c>
      <c r="C183" s="3">
        <f t="shared" si="6"/>
        <v>2.6063219784283711</v>
      </c>
    </row>
    <row r="184" spans="2:3" x14ac:dyDescent="0.25">
      <c r="B184" s="3">
        <v>82</v>
      </c>
      <c r="C184" s="3">
        <f t="shared" si="6"/>
        <v>2.6167265653615188</v>
      </c>
    </row>
    <row r="185" spans="2:3" x14ac:dyDescent="0.25">
      <c r="B185" s="3">
        <v>82.5</v>
      </c>
      <c r="C185" s="3">
        <f t="shared" si="6"/>
        <v>2.62710905953102</v>
      </c>
    </row>
    <row r="186" spans="2:3" x14ac:dyDescent="0.25">
      <c r="B186" s="3">
        <v>83</v>
      </c>
      <c r="C186" s="3">
        <f t="shared" si="6"/>
        <v>2.6374696413199996</v>
      </c>
    </row>
    <row r="187" spans="2:3" x14ac:dyDescent="0.25">
      <c r="B187" s="3">
        <v>83.5</v>
      </c>
      <c r="C187" s="3">
        <f t="shared" si="6"/>
        <v>2.6478084885621098</v>
      </c>
    </row>
    <row r="188" spans="2:3" x14ac:dyDescent="0.25">
      <c r="B188" s="3">
        <v>84</v>
      </c>
      <c r="C188" s="3">
        <f t="shared" si="6"/>
        <v>2.6581257765926201</v>
      </c>
    </row>
    <row r="189" spans="2:3" x14ac:dyDescent="0.25">
      <c r="B189" s="3">
        <v>84.5</v>
      </c>
      <c r="C189" s="3">
        <f t="shared" si="6"/>
        <v>2.6684216782981514</v>
      </c>
    </row>
    <row r="190" spans="2:3" x14ac:dyDescent="0.25">
      <c r="B190" s="3">
        <v>85</v>
      </c>
      <c r="C190" s="3">
        <f t="shared" si="6"/>
        <v>2.678696364165146</v>
      </c>
    </row>
    <row r="191" spans="2:3" x14ac:dyDescent="0.25">
      <c r="B191" s="3">
        <v>85.5</v>
      </c>
      <c r="C191" s="3">
        <f t="shared" si="6"/>
        <v>2.6889500023271027</v>
      </c>
    </row>
    <row r="192" spans="2:3" x14ac:dyDescent="0.25">
      <c r="B192" s="3">
        <v>86</v>
      </c>
      <c r="C192" s="3">
        <f t="shared" si="6"/>
        <v>2.6991827586106036</v>
      </c>
    </row>
    <row r="193" spans="2:3" x14ac:dyDescent="0.25">
      <c r="B193" s="3">
        <v>86.5</v>
      </c>
      <c r="C193" s="3">
        <f t="shared" si="6"/>
        <v>2.7093947965801912</v>
      </c>
    </row>
    <row r="194" spans="2:3" x14ac:dyDescent="0.25">
      <c r="B194" s="3">
        <v>87</v>
      </c>
      <c r="C194" s="3">
        <f t="shared" si="6"/>
        <v>2.7195862775820898</v>
      </c>
    </row>
    <row r="195" spans="2:3" x14ac:dyDescent="0.25">
      <c r="B195" s="3">
        <v>87.5</v>
      </c>
      <c r="C195" s="3">
        <f t="shared" si="6"/>
        <v>2.7297573607868748</v>
      </c>
    </row>
    <row r="196" spans="2:3" x14ac:dyDescent="0.25">
      <c r="B196" s="3">
        <v>88</v>
      </c>
      <c r="C196" s="3">
        <f t="shared" si="6"/>
        <v>2.7399082032310504</v>
      </c>
    </row>
    <row r="197" spans="2:3" x14ac:dyDescent="0.25">
      <c r="B197" s="3">
        <v>88.5</v>
      </c>
      <c r="C197" s="3">
        <f t="shared" si="6"/>
        <v>2.7500389598576205</v>
      </c>
    </row>
    <row r="198" spans="2:3" x14ac:dyDescent="0.25">
      <c r="B198" s="3">
        <v>89</v>
      </c>
      <c r="C198" s="3">
        <f t="shared" si="6"/>
        <v>2.7601497835556561</v>
      </c>
    </row>
    <row r="199" spans="2:3" x14ac:dyDescent="0.25">
      <c r="B199" s="3">
        <v>89.5</v>
      </c>
      <c r="C199" s="3">
        <f t="shared" si="6"/>
        <v>2.7702408251988895</v>
      </c>
    </row>
    <row r="200" spans="2:3" x14ac:dyDescent="0.25">
      <c r="B200" s="3">
        <v>90</v>
      </c>
      <c r="C200" s="3">
        <f t="shared" si="6"/>
        <v>2.7803122336833885</v>
      </c>
    </row>
    <row r="201" spans="2:3" x14ac:dyDescent="0.25">
      <c r="B201" s="3">
        <v>90.5</v>
      </c>
      <c r="C201" s="3">
        <f t="shared" si="6"/>
        <v>2.7903641559643106</v>
      </c>
    </row>
    <row r="202" spans="2:3" x14ac:dyDescent="0.25">
      <c r="B202" s="3">
        <v>91</v>
      </c>
      <c r="C202" s="3">
        <f t="shared" si="6"/>
        <v>2.8003967370917739</v>
      </c>
    </row>
    <row r="203" spans="2:3" x14ac:dyDescent="0.25">
      <c r="B203" s="3">
        <v>91.5</v>
      </c>
      <c r="C203" s="3">
        <f t="shared" si="6"/>
        <v>2.8104101202458813</v>
      </c>
    </row>
    <row r="204" spans="2:3" x14ac:dyDescent="0.25">
      <c r="B204" s="3">
        <v>92</v>
      </c>
      <c r="C204" s="3">
        <f t="shared" si="6"/>
        <v>2.8204044467708966</v>
      </c>
    </row>
    <row r="205" spans="2:3" x14ac:dyDescent="0.25">
      <c r="B205" s="3">
        <v>92.5</v>
      </c>
      <c r="C205" s="3">
        <f t="shared" si="6"/>
        <v>2.8303798562086366</v>
      </c>
    </row>
    <row r="206" spans="2:3" x14ac:dyDescent="0.25">
      <c r="B206" s="3">
        <v>93</v>
      </c>
      <c r="C206" s="3">
        <f t="shared" si="6"/>
        <v>2.8403364863310521</v>
      </c>
    </row>
    <row r="207" spans="2:3" x14ac:dyDescent="0.25">
      <c r="B207" s="3">
        <v>93.5</v>
      </c>
      <c r="C207" s="3">
        <f t="shared" si="6"/>
        <v>2.8502744731720764</v>
      </c>
    </row>
    <row r="208" spans="2:3" x14ac:dyDescent="0.25">
      <c r="B208" s="3">
        <v>94</v>
      </c>
      <c r="C208" s="3">
        <f t="shared" si="6"/>
        <v>2.8601939510587062</v>
      </c>
    </row>
    <row r="209" spans="2:3" x14ac:dyDescent="0.25">
      <c r="B209" s="3">
        <v>94.5</v>
      </c>
      <c r="C209" s="3">
        <f t="shared" si="6"/>
        <v>2.8700950526413878</v>
      </c>
    </row>
    <row r="210" spans="2:3" x14ac:dyDescent="0.25">
      <c r="B210" s="3">
        <v>95</v>
      </c>
      <c r="C210" s="3">
        <f t="shared" si="6"/>
        <v>2.8799779089236872</v>
      </c>
    </row>
    <row r="211" spans="2:3" x14ac:dyDescent="0.25">
      <c r="B211" s="3">
        <v>95.5</v>
      </c>
      <c r="C211" s="3">
        <f t="shared" si="6"/>
        <v>2.8898426492912948</v>
      </c>
    </row>
    <row r="212" spans="2:3" x14ac:dyDescent="0.25">
      <c r="B212" s="3">
        <v>96</v>
      </c>
      <c r="C212" s="3">
        <f t="shared" ref="C212:C275" si="7">$U$13*(B212^$U$11)</f>
        <v>2.8996894015403587</v>
      </c>
    </row>
    <row r="213" spans="2:3" x14ac:dyDescent="0.25">
      <c r="B213" s="3">
        <v>96.5</v>
      </c>
      <c r="C213" s="3">
        <f t="shared" si="7"/>
        <v>2.9095182919051865</v>
      </c>
    </row>
    <row r="214" spans="2:3" x14ac:dyDescent="0.25">
      <c r="B214" s="3">
        <v>97</v>
      </c>
      <c r="C214" s="3">
        <f t="shared" si="7"/>
        <v>2.9193294450853204</v>
      </c>
    </row>
    <row r="215" spans="2:3" x14ac:dyDescent="0.25">
      <c r="B215" s="3">
        <v>97.5</v>
      </c>
      <c r="C215" s="3">
        <f t="shared" si="7"/>
        <v>2.9291229842719999</v>
      </c>
    </row>
    <row r="216" spans="2:3" x14ac:dyDescent="0.25">
      <c r="B216" s="3">
        <v>98</v>
      </c>
      <c r="C216" s="3">
        <f t="shared" si="7"/>
        <v>2.9388990311740457</v>
      </c>
    </row>
    <row r="217" spans="2:3" x14ac:dyDescent="0.25">
      <c r="B217" s="3">
        <v>98.5</v>
      </c>
      <c r="C217" s="3">
        <f t="shared" si="7"/>
        <v>2.9486577060431607</v>
      </c>
    </row>
    <row r="218" spans="2:3" x14ac:dyDescent="0.25">
      <c r="B218" s="3">
        <v>99</v>
      </c>
      <c r="C218" s="3">
        <f t="shared" si="7"/>
        <v>2.9583991276986814</v>
      </c>
    </row>
    <row r="219" spans="2:3" x14ac:dyDescent="0.25">
      <c r="B219" s="3">
        <v>99.5</v>
      </c>
      <c r="C219" s="3">
        <f t="shared" si="7"/>
        <v>2.9681234135517753</v>
      </c>
    </row>
    <row r="220" spans="2:3" x14ac:dyDescent="0.25">
      <c r="B220" s="3">
        <v>100</v>
      </c>
      <c r="C220" s="3">
        <f t="shared" si="7"/>
        <v>2.9778306796291187</v>
      </c>
    </row>
    <row r="221" spans="2:3" x14ac:dyDescent="0.25">
      <c r="B221" s="3">
        <v>100.5</v>
      </c>
      <c r="C221" s="3">
        <f t="shared" si="7"/>
        <v>2.9875210405960555</v>
      </c>
    </row>
    <row r="222" spans="2:3" x14ac:dyDescent="0.25">
      <c r="B222" s="3">
        <v>101</v>
      </c>
      <c r="C222" s="3">
        <f t="shared" si="7"/>
        <v>2.9971946097792634</v>
      </c>
    </row>
    <row r="223" spans="2:3" x14ac:dyDescent="0.25">
      <c r="B223" s="3">
        <v>101.5</v>
      </c>
      <c r="C223" s="3">
        <f t="shared" si="7"/>
        <v>3.0068514991889184</v>
      </c>
    </row>
    <row r="224" spans="2:3" x14ac:dyDescent="0.25">
      <c r="B224" s="3">
        <v>102</v>
      </c>
      <c r="C224" s="3">
        <f t="shared" si="7"/>
        <v>3.016491819540398</v>
      </c>
    </row>
    <row r="225" spans="2:3" x14ac:dyDescent="0.25">
      <c r="B225" s="3">
        <v>102.5</v>
      </c>
      <c r="C225" s="3">
        <f t="shared" si="7"/>
        <v>3.0261156802755198</v>
      </c>
    </row>
    <row r="226" spans="2:3" x14ac:dyDescent="0.25">
      <c r="B226" s="3">
        <v>103</v>
      </c>
      <c r="C226" s="3">
        <f t="shared" si="7"/>
        <v>3.0357231895833134</v>
      </c>
    </row>
    <row r="227" spans="2:3" x14ac:dyDescent="0.25">
      <c r="B227" s="3">
        <v>103.5</v>
      </c>
      <c r="C227" s="3">
        <f t="shared" si="7"/>
        <v>3.0453144544203852</v>
      </c>
    </row>
    <row r="228" spans="2:3" x14ac:dyDescent="0.25">
      <c r="B228" s="3">
        <v>104</v>
      </c>
      <c r="C228" s="3">
        <f t="shared" si="7"/>
        <v>3.0548895805308316</v>
      </c>
    </row>
    <row r="229" spans="2:3" x14ac:dyDescent="0.25">
      <c r="B229" s="3">
        <v>104.5</v>
      </c>
      <c r="C229" s="3">
        <f t="shared" si="7"/>
        <v>3.0644486724657378</v>
      </c>
    </row>
    <row r="230" spans="2:3" x14ac:dyDescent="0.25">
      <c r="B230" s="3">
        <v>105</v>
      </c>
      <c r="C230" s="3">
        <f t="shared" si="7"/>
        <v>3.073991833602288</v>
      </c>
    </row>
    <row r="231" spans="2:3" x14ac:dyDescent="0.25">
      <c r="B231" s="3">
        <v>105.5</v>
      </c>
      <c r="C231" s="3">
        <f t="shared" si="7"/>
        <v>3.0835191661624561</v>
      </c>
    </row>
    <row r="232" spans="2:3" x14ac:dyDescent="0.25">
      <c r="B232" s="3">
        <v>106</v>
      </c>
      <c r="C232" s="3">
        <f t="shared" si="7"/>
        <v>3.0930307712313332</v>
      </c>
    </row>
    <row r="233" spans="2:3" x14ac:dyDescent="0.25">
      <c r="B233" s="3">
        <v>106.5</v>
      </c>
      <c r="C233" s="3">
        <f t="shared" si="7"/>
        <v>3.1025267487750692</v>
      </c>
    </row>
    <row r="234" spans="2:3" x14ac:dyDescent="0.25">
      <c r="B234" s="3">
        <v>107</v>
      </c>
      <c r="C234" s="3">
        <f t="shared" si="7"/>
        <v>3.1120071976584427</v>
      </c>
    </row>
    <row r="235" spans="2:3" x14ac:dyDescent="0.25">
      <c r="B235" s="3">
        <v>107.5</v>
      </c>
      <c r="C235" s="3">
        <f t="shared" si="7"/>
        <v>3.1214722156620947</v>
      </c>
    </row>
    <row r="236" spans="2:3" x14ac:dyDescent="0.25">
      <c r="B236" s="3">
        <v>108</v>
      </c>
      <c r="C236" s="3">
        <f t="shared" si="7"/>
        <v>3.1309218994993868</v>
      </c>
    </row>
    <row r="237" spans="2:3" x14ac:dyDescent="0.25">
      <c r="B237" s="3">
        <v>108.5</v>
      </c>
      <c r="C237" s="3">
        <f t="shared" si="7"/>
        <v>3.1403563448329384</v>
      </c>
    </row>
    <row r="238" spans="2:3" x14ac:dyDescent="0.25">
      <c r="B238" s="3">
        <v>109</v>
      </c>
      <c r="C238" s="3">
        <f t="shared" si="7"/>
        <v>3.1497756462908328</v>
      </c>
    </row>
    <row r="239" spans="2:3" x14ac:dyDescent="0.25">
      <c r="B239" s="3">
        <v>109.5</v>
      </c>
      <c r="C239" s="3">
        <f t="shared" si="7"/>
        <v>3.159179897482491</v>
      </c>
    </row>
    <row r="240" spans="2:3" x14ac:dyDescent="0.25">
      <c r="B240" s="3">
        <v>110</v>
      </c>
      <c r="C240" s="3">
        <f t="shared" si="7"/>
        <v>3.1685691910142366</v>
      </c>
    </row>
    <row r="241" spans="2:3" x14ac:dyDescent="0.25">
      <c r="B241" s="3">
        <v>110.5</v>
      </c>
      <c r="C241" s="3">
        <f t="shared" si="7"/>
        <v>3.177943618504548</v>
      </c>
    </row>
    <row r="242" spans="2:3" x14ac:dyDescent="0.25">
      <c r="B242" s="3">
        <v>111</v>
      </c>
      <c r="C242" s="3">
        <f t="shared" si="7"/>
        <v>3.1873032705990227</v>
      </c>
    </row>
    <row r="243" spans="2:3" x14ac:dyDescent="0.25">
      <c r="B243" s="3">
        <v>111.5</v>
      </c>
      <c r="C243" s="3">
        <f t="shared" si="7"/>
        <v>3.1966482369850389</v>
      </c>
    </row>
    <row r="244" spans="2:3" x14ac:dyDescent="0.25">
      <c r="B244" s="3">
        <v>112</v>
      </c>
      <c r="C244" s="3">
        <f t="shared" si="7"/>
        <v>3.2059786064061244</v>
      </c>
    </row>
    <row r="245" spans="2:3" x14ac:dyDescent="0.25">
      <c r="B245" s="3">
        <v>112.5</v>
      </c>
      <c r="C245" s="3">
        <f t="shared" si="7"/>
        <v>3.2152944666760654</v>
      </c>
    </row>
    <row r="246" spans="2:3" x14ac:dyDescent="0.25">
      <c r="B246" s="3">
        <v>113</v>
      </c>
      <c r="C246" s="3">
        <f t="shared" si="7"/>
        <v>3.2245959046927286</v>
      </c>
    </row>
    <row r="247" spans="2:3" x14ac:dyDescent="0.25">
      <c r="B247" s="3">
        <v>113.5</v>
      </c>
      <c r="C247" s="3">
        <f t="shared" si="7"/>
        <v>3.233883006451622</v>
      </c>
    </row>
    <row r="248" spans="2:3" x14ac:dyDescent="0.25">
      <c r="B248" s="3">
        <v>114</v>
      </c>
      <c r="C248" s="3">
        <f t="shared" si="7"/>
        <v>3.2431558570591985</v>
      </c>
    </row>
    <row r="249" spans="2:3" x14ac:dyDescent="0.25">
      <c r="B249" s="3">
        <v>114.5</v>
      </c>
      <c r="C249" s="3">
        <f t="shared" si="7"/>
        <v>3.2524145407459017</v>
      </c>
    </row>
    <row r="250" spans="2:3" x14ac:dyDescent="0.25">
      <c r="B250" s="3">
        <v>115</v>
      </c>
      <c r="C250" s="3">
        <f t="shared" si="7"/>
        <v>3.261659140878963</v>
      </c>
    </row>
    <row r="251" spans="2:3" x14ac:dyDescent="0.25">
      <c r="B251" s="3">
        <v>115.5</v>
      </c>
      <c r="C251" s="3">
        <f t="shared" si="7"/>
        <v>3.2708897399749661</v>
      </c>
    </row>
    <row r="252" spans="2:3" x14ac:dyDescent="0.25">
      <c r="B252" s="3">
        <v>116</v>
      </c>
      <c r="C252" s="3">
        <f t="shared" si="7"/>
        <v>3.2801064197121677</v>
      </c>
    </row>
    <row r="253" spans="2:3" x14ac:dyDescent="0.25">
      <c r="B253" s="3">
        <v>116.5</v>
      </c>
      <c r="C253" s="3">
        <f t="shared" si="7"/>
        <v>3.2893092609425816</v>
      </c>
    </row>
    <row r="254" spans="2:3" x14ac:dyDescent="0.25">
      <c r="B254" s="3">
        <v>117</v>
      </c>
      <c r="C254" s="3">
        <f t="shared" si="7"/>
        <v>3.298498343703848</v>
      </c>
    </row>
    <row r="255" spans="2:3" x14ac:dyDescent="0.25">
      <c r="B255" s="3">
        <v>117.5</v>
      </c>
      <c r="C255" s="3">
        <f t="shared" si="7"/>
        <v>3.3076737472308859</v>
      </c>
    </row>
    <row r="256" spans="2:3" x14ac:dyDescent="0.25">
      <c r="B256" s="3">
        <v>118</v>
      </c>
      <c r="C256" s="3">
        <f t="shared" si="7"/>
        <v>3.3168355499673181</v>
      </c>
    </row>
    <row r="257" spans="2:3" x14ac:dyDescent="0.25">
      <c r="B257" s="3">
        <v>118.5</v>
      </c>
      <c r="C257" s="3">
        <f t="shared" si="7"/>
        <v>3.3259838295766833</v>
      </c>
    </row>
    <row r="258" spans="2:3" x14ac:dyDescent="0.25">
      <c r="B258" s="3">
        <v>119</v>
      </c>
      <c r="C258" s="3">
        <f t="shared" si="7"/>
        <v>3.3351186629534615</v>
      </c>
    </row>
    <row r="259" spans="2:3" x14ac:dyDescent="0.25">
      <c r="B259" s="3">
        <v>119.5</v>
      </c>
      <c r="C259" s="3">
        <f t="shared" si="7"/>
        <v>3.3442401262338826</v>
      </c>
    </row>
    <row r="260" spans="2:3" x14ac:dyDescent="0.25">
      <c r="B260" s="3">
        <v>120</v>
      </c>
      <c r="C260" s="3">
        <f t="shared" si="7"/>
        <v>3.3533482948065383</v>
      </c>
    </row>
    <row r="261" spans="2:3" x14ac:dyDescent="0.25">
      <c r="B261" s="3">
        <v>120.5</v>
      </c>
      <c r="C261" s="3">
        <f t="shared" si="7"/>
        <v>3.3624432433228115</v>
      </c>
    </row>
    <row r="262" spans="2:3" x14ac:dyDescent="0.25">
      <c r="B262" s="3">
        <v>121</v>
      </c>
      <c r="C262" s="3">
        <f t="shared" si="7"/>
        <v>3.3715250457071142</v>
      </c>
    </row>
    <row r="263" spans="2:3" x14ac:dyDescent="0.25">
      <c r="B263" s="3">
        <v>121.5</v>
      </c>
      <c r="C263" s="3">
        <f t="shared" si="7"/>
        <v>3.3805937751669255</v>
      </c>
    </row>
    <row r="264" spans="2:3" x14ac:dyDescent="0.25">
      <c r="B264" s="3">
        <v>122</v>
      </c>
      <c r="C264" s="3">
        <f t="shared" si="7"/>
        <v>3.3896495042026866</v>
      </c>
    </row>
    <row r="265" spans="2:3" x14ac:dyDescent="0.25">
      <c r="B265" s="3">
        <v>122.5</v>
      </c>
      <c r="C265" s="3">
        <f t="shared" si="7"/>
        <v>3.3986923046174757</v>
      </c>
    </row>
    <row r="266" spans="2:3" x14ac:dyDescent="0.25">
      <c r="B266" s="3">
        <v>123</v>
      </c>
      <c r="C266" s="3">
        <f t="shared" si="7"/>
        <v>3.4077222475265438</v>
      </c>
    </row>
    <row r="267" spans="2:3" x14ac:dyDescent="0.25">
      <c r="B267" s="3">
        <v>123.5</v>
      </c>
      <c r="C267" s="3">
        <f t="shared" si="7"/>
        <v>3.4167394033666776</v>
      </c>
    </row>
    <row r="268" spans="2:3" x14ac:dyDescent="0.25">
      <c r="B268" s="3">
        <v>124</v>
      </c>
      <c r="C268" s="3">
        <f t="shared" si="7"/>
        <v>3.4257438419053678</v>
      </c>
    </row>
    <row r="269" spans="2:3" x14ac:dyDescent="0.25">
      <c r="B269" s="3">
        <v>124.5</v>
      </c>
      <c r="C269" s="3">
        <f t="shared" si="7"/>
        <v>3.4347356322498666</v>
      </c>
    </row>
    <row r="270" spans="2:3" x14ac:dyDescent="0.25">
      <c r="B270" s="3">
        <v>125</v>
      </c>
      <c r="C270" s="3">
        <f t="shared" si="7"/>
        <v>3.4437148428560453</v>
      </c>
    </row>
    <row r="271" spans="2:3" x14ac:dyDescent="0.25">
      <c r="B271" s="3">
        <v>125.5</v>
      </c>
      <c r="C271" s="3">
        <f t="shared" si="7"/>
        <v>3.4526815415371161</v>
      </c>
    </row>
    <row r="272" spans="2:3" x14ac:dyDescent="0.25">
      <c r="B272" s="3">
        <v>126</v>
      </c>
      <c r="C272" s="3">
        <f t="shared" si="7"/>
        <v>3.4616357954721972</v>
      </c>
    </row>
    <row r="273" spans="2:3" x14ac:dyDescent="0.25">
      <c r="B273" s="3">
        <v>126.5</v>
      </c>
      <c r="C273" s="3">
        <f t="shared" si="7"/>
        <v>3.4705776712147438</v>
      </c>
    </row>
    <row r="274" spans="2:3" x14ac:dyDescent="0.25">
      <c r="B274" s="3">
        <v>127</v>
      </c>
      <c r="C274" s="3">
        <f t="shared" si="7"/>
        <v>3.4795072347008111</v>
      </c>
    </row>
    <row r="275" spans="2:3" x14ac:dyDescent="0.25">
      <c r="B275" s="3">
        <v>127.5</v>
      </c>
      <c r="C275" s="3">
        <f t="shared" si="7"/>
        <v>3.4884245512571952</v>
      </c>
    </row>
    <row r="276" spans="2:3" x14ac:dyDescent="0.25">
      <c r="B276" s="3">
        <v>128</v>
      </c>
      <c r="C276" s="3">
        <f t="shared" ref="C276:C339" si="8">$U$13*(B276^$U$11)</f>
        <v>3.4973296856094218</v>
      </c>
    </row>
    <row r="277" spans="2:3" x14ac:dyDescent="0.25">
      <c r="B277" s="3">
        <v>128.5</v>
      </c>
      <c r="C277" s="3">
        <f t="shared" si="8"/>
        <v>3.5062227018896164</v>
      </c>
    </row>
    <row r="278" spans="2:3" x14ac:dyDescent="0.25">
      <c r="B278" s="3">
        <v>129</v>
      </c>
      <c r="C278" s="3">
        <f t="shared" si="8"/>
        <v>3.5151036636442208</v>
      </c>
    </row>
    <row r="279" spans="2:3" x14ac:dyDescent="0.25">
      <c r="B279" s="3">
        <v>129.5</v>
      </c>
      <c r="C279" s="3">
        <f t="shared" si="8"/>
        <v>3.5239726338415971</v>
      </c>
    </row>
    <row r="280" spans="2:3" x14ac:dyDescent="0.25">
      <c r="B280" s="3">
        <v>130</v>
      </c>
      <c r="C280" s="3">
        <f t="shared" si="8"/>
        <v>3.532829674879487</v>
      </c>
    </row>
    <row r="281" spans="2:3" x14ac:dyDescent="0.25">
      <c r="B281" s="3">
        <v>130.5</v>
      </c>
      <c r="C281" s="3">
        <f t="shared" si="8"/>
        <v>3.541674848592371</v>
      </c>
    </row>
    <row r="282" spans="2:3" x14ac:dyDescent="0.25">
      <c r="B282" s="3">
        <v>131</v>
      </c>
      <c r="C282" s="3">
        <f t="shared" si="8"/>
        <v>3.5505082162586734</v>
      </c>
    </row>
    <row r="283" spans="2:3" x14ac:dyDescent="0.25">
      <c r="B283" s="3">
        <v>131.5</v>
      </c>
      <c r="C283" s="3">
        <f t="shared" si="8"/>
        <v>3.55932983860788</v>
      </c>
    </row>
    <row r="284" spans="2:3" x14ac:dyDescent="0.25">
      <c r="B284" s="3">
        <v>132</v>
      </c>
      <c r="C284" s="3">
        <f t="shared" si="8"/>
        <v>3.5681397758275084</v>
      </c>
    </row>
    <row r="285" spans="2:3" x14ac:dyDescent="0.25">
      <c r="B285" s="3">
        <v>132.5</v>
      </c>
      <c r="C285" s="3">
        <f t="shared" si="8"/>
        <v>3.5769380875699901</v>
      </c>
    </row>
    <row r="286" spans="2:3" x14ac:dyDescent="0.25">
      <c r="B286" s="3">
        <v>133</v>
      </c>
      <c r="C286" s="3">
        <f t="shared" si="8"/>
        <v>3.5857248329594218</v>
      </c>
    </row>
    <row r="287" spans="2:3" x14ac:dyDescent="0.25">
      <c r="B287" s="3">
        <v>133.5</v>
      </c>
      <c r="C287" s="3">
        <f t="shared" si="8"/>
        <v>3.59450007059821</v>
      </c>
    </row>
    <row r="288" spans="2:3" x14ac:dyDescent="0.25">
      <c r="B288" s="3">
        <v>134</v>
      </c>
      <c r="C288" s="3">
        <f t="shared" si="8"/>
        <v>3.6032638585736154</v>
      </c>
    </row>
    <row r="289" spans="2:3" x14ac:dyDescent="0.25">
      <c r="B289" s="3">
        <v>134.5</v>
      </c>
      <c r="C289" s="3">
        <f t="shared" si="8"/>
        <v>3.6120162544641832</v>
      </c>
    </row>
    <row r="290" spans="2:3" x14ac:dyDescent="0.25">
      <c r="B290" s="3">
        <v>135</v>
      </c>
      <c r="C290" s="3">
        <f t="shared" si="8"/>
        <v>3.6207573153460682</v>
      </c>
    </row>
    <row r="291" spans="2:3" x14ac:dyDescent="0.25">
      <c r="B291" s="3">
        <v>135.5</v>
      </c>
      <c r="C291" s="3">
        <f t="shared" si="8"/>
        <v>3.629487097799263</v>
      </c>
    </row>
    <row r="292" spans="2:3" x14ac:dyDescent="0.25">
      <c r="B292" s="3">
        <v>136</v>
      </c>
      <c r="C292" s="3">
        <f t="shared" si="8"/>
        <v>3.6382056579137325</v>
      </c>
    </row>
    <row r="293" spans="2:3" x14ac:dyDescent="0.25">
      <c r="B293" s="3">
        <v>136.5</v>
      </c>
      <c r="C293" s="3">
        <f t="shared" si="8"/>
        <v>3.6469130512954298</v>
      </c>
    </row>
    <row r="294" spans="2:3" x14ac:dyDescent="0.25">
      <c r="B294" s="3">
        <v>137</v>
      </c>
      <c r="C294" s="3">
        <f t="shared" si="8"/>
        <v>3.6556093330722415</v>
      </c>
    </row>
    <row r="295" spans="2:3" x14ac:dyDescent="0.25">
      <c r="B295" s="3">
        <v>137.5</v>
      </c>
      <c r="C295" s="3">
        <f t="shared" si="8"/>
        <v>3.6642945578998183</v>
      </c>
    </row>
    <row r="296" spans="2:3" x14ac:dyDescent="0.25">
      <c r="B296" s="3">
        <v>138</v>
      </c>
      <c r="C296" s="3">
        <f t="shared" si="8"/>
        <v>3.6729687799673245</v>
      </c>
    </row>
    <row r="297" spans="2:3" x14ac:dyDescent="0.25">
      <c r="B297" s="3">
        <v>138.5</v>
      </c>
      <c r="C297" s="3">
        <f t="shared" si="8"/>
        <v>3.6816320530030957</v>
      </c>
    </row>
    <row r="298" spans="2:3" x14ac:dyDescent="0.25">
      <c r="B298" s="3">
        <v>139</v>
      </c>
      <c r="C298" s="3">
        <f t="shared" si="8"/>
        <v>3.6902844302802023</v>
      </c>
    </row>
    <row r="299" spans="2:3" x14ac:dyDescent="0.25">
      <c r="B299" s="3">
        <v>139.5</v>
      </c>
      <c r="C299" s="3">
        <f t="shared" si="8"/>
        <v>3.6989259646219361</v>
      </c>
    </row>
    <row r="300" spans="2:3" x14ac:dyDescent="0.25">
      <c r="B300" s="3">
        <v>140</v>
      </c>
      <c r="C300" s="3">
        <f t="shared" si="8"/>
        <v>3.7075567084071994</v>
      </c>
    </row>
    <row r="301" spans="2:3" x14ac:dyDescent="0.25">
      <c r="B301" s="3">
        <v>140.5</v>
      </c>
      <c r="C301" s="3">
        <f t="shared" si="8"/>
        <v>3.716176713575821</v>
      </c>
    </row>
    <row r="302" spans="2:3" x14ac:dyDescent="0.25">
      <c r="B302" s="3">
        <v>141</v>
      </c>
      <c r="C302" s="3">
        <f t="shared" si="8"/>
        <v>3.7247860316337733</v>
      </c>
    </row>
    <row r="303" spans="2:3" x14ac:dyDescent="0.25">
      <c r="B303" s="3">
        <v>141.5</v>
      </c>
      <c r="C303" s="3">
        <f t="shared" si="8"/>
        <v>3.733384713658344</v>
      </c>
    </row>
    <row r="304" spans="2:3" x14ac:dyDescent="0.25">
      <c r="B304" s="3">
        <v>142</v>
      </c>
      <c r="C304" s="3">
        <f t="shared" si="8"/>
        <v>3.7419728103031824</v>
      </c>
    </row>
    <row r="305" spans="2:3" x14ac:dyDescent="0.25">
      <c r="B305" s="3">
        <v>142.5</v>
      </c>
      <c r="C305" s="3">
        <f t="shared" si="8"/>
        <v>3.7505503718033064</v>
      </c>
    </row>
    <row r="306" spans="2:3" x14ac:dyDescent="0.25">
      <c r="B306" s="3">
        <v>143</v>
      </c>
      <c r="C306" s="3">
        <f t="shared" si="8"/>
        <v>3.7591174479800071</v>
      </c>
    </row>
    <row r="307" spans="2:3" x14ac:dyDescent="0.25">
      <c r="B307" s="3">
        <v>143.5</v>
      </c>
      <c r="C307" s="3">
        <f t="shared" si="8"/>
        <v>3.7676740882457036</v>
      </c>
    </row>
    <row r="308" spans="2:3" x14ac:dyDescent="0.25">
      <c r="B308" s="3">
        <v>144</v>
      </c>
      <c r="C308" s="3">
        <f t="shared" si="8"/>
        <v>3.7762203416086941</v>
      </c>
    </row>
    <row r="309" spans="2:3" x14ac:dyDescent="0.25">
      <c r="B309" s="3">
        <v>144.5</v>
      </c>
      <c r="C309" s="3">
        <f t="shared" si="8"/>
        <v>3.7847562566778645</v>
      </c>
    </row>
    <row r="310" spans="2:3" x14ac:dyDescent="0.25">
      <c r="B310" s="3">
        <v>145</v>
      </c>
      <c r="C310" s="3">
        <f t="shared" si="8"/>
        <v>3.7932818816673111</v>
      </c>
    </row>
    <row r="311" spans="2:3" x14ac:dyDescent="0.25">
      <c r="B311" s="3">
        <v>145.5</v>
      </c>
      <c r="C311" s="3">
        <f t="shared" si="8"/>
        <v>3.8017972644008968</v>
      </c>
    </row>
    <row r="312" spans="2:3" x14ac:dyDescent="0.25">
      <c r="B312" s="3">
        <v>146</v>
      </c>
      <c r="C312" s="3">
        <f t="shared" si="8"/>
        <v>3.810302452316725</v>
      </c>
    </row>
    <row r="313" spans="2:3" x14ac:dyDescent="0.25">
      <c r="B313" s="3">
        <v>146.5</v>
      </c>
      <c r="C313" s="3">
        <f t="shared" si="8"/>
        <v>3.818797492471588</v>
      </c>
    </row>
    <row r="314" spans="2:3" x14ac:dyDescent="0.25">
      <c r="B314" s="3">
        <v>147</v>
      </c>
      <c r="C314" s="3">
        <f t="shared" si="8"/>
        <v>3.8272824315452958</v>
      </c>
    </row>
    <row r="315" spans="2:3" x14ac:dyDescent="0.25">
      <c r="B315" s="3">
        <v>147.5</v>
      </c>
      <c r="C315" s="3">
        <f t="shared" si="8"/>
        <v>3.8357573158449898</v>
      </c>
    </row>
    <row r="316" spans="2:3" x14ac:dyDescent="0.25">
      <c r="B316" s="3">
        <v>148</v>
      </c>
      <c r="C316" s="3">
        <f t="shared" si="8"/>
        <v>3.8442221913093455</v>
      </c>
    </row>
    <row r="317" spans="2:3" x14ac:dyDescent="0.25">
      <c r="B317" s="3">
        <v>148.5</v>
      </c>
      <c r="C317" s="3">
        <f t="shared" si="8"/>
        <v>3.8526771035127676</v>
      </c>
    </row>
    <row r="318" spans="2:3" x14ac:dyDescent="0.25">
      <c r="B318" s="3">
        <v>149</v>
      </c>
      <c r="C318" s="3">
        <f t="shared" si="8"/>
        <v>3.8611220976694662</v>
      </c>
    </row>
    <row r="319" spans="2:3" x14ac:dyDescent="0.25">
      <c r="B319" s="3">
        <v>149.5</v>
      </c>
      <c r="C319" s="3">
        <f t="shared" si="8"/>
        <v>3.8695572186375249</v>
      </c>
    </row>
    <row r="320" spans="2:3" x14ac:dyDescent="0.25">
      <c r="B320" s="3">
        <v>150</v>
      </c>
      <c r="C320" s="3">
        <f t="shared" si="8"/>
        <v>3.8779825109228692</v>
      </c>
    </row>
    <row r="321" spans="2:3" x14ac:dyDescent="0.25">
      <c r="B321" s="3">
        <v>150.5</v>
      </c>
      <c r="C321" s="3">
        <f t="shared" si="8"/>
        <v>3.8863980186832117</v>
      </c>
    </row>
    <row r="322" spans="2:3" x14ac:dyDescent="0.25">
      <c r="B322" s="3">
        <v>151</v>
      </c>
      <c r="C322" s="3">
        <f t="shared" si="8"/>
        <v>3.8948037857319115</v>
      </c>
    </row>
    <row r="323" spans="2:3" x14ac:dyDescent="0.25">
      <c r="B323" s="3">
        <v>151.5</v>
      </c>
      <c r="C323" s="3">
        <f t="shared" si="8"/>
        <v>3.9031998555417866</v>
      </c>
    </row>
    <row r="324" spans="2:3" x14ac:dyDescent="0.25">
      <c r="B324" s="3">
        <v>152</v>
      </c>
      <c r="C324" s="3">
        <f t="shared" si="8"/>
        <v>3.9115862712488982</v>
      </c>
    </row>
    <row r="325" spans="2:3" x14ac:dyDescent="0.25">
      <c r="B325" s="3">
        <v>152.5</v>
      </c>
      <c r="C325" s="3">
        <f t="shared" si="8"/>
        <v>3.9199630756562249</v>
      </c>
    </row>
    <row r="326" spans="2:3" x14ac:dyDescent="0.25">
      <c r="B326" s="3">
        <v>153</v>
      </c>
      <c r="C326" s="3">
        <f t="shared" si="8"/>
        <v>3.9283303112373473</v>
      </c>
    </row>
    <row r="327" spans="2:3" x14ac:dyDescent="0.25">
      <c r="B327" s="3">
        <v>153.5</v>
      </c>
      <c r="C327" s="3">
        <f t="shared" si="8"/>
        <v>3.9366880201400334</v>
      </c>
    </row>
    <row r="328" spans="2:3" x14ac:dyDescent="0.25">
      <c r="B328" s="3">
        <v>154</v>
      </c>
      <c r="C328" s="3">
        <f t="shared" si="8"/>
        <v>3.9450362441897968</v>
      </c>
    </row>
    <row r="329" spans="2:3" x14ac:dyDescent="0.25">
      <c r="B329" s="3">
        <v>154.5</v>
      </c>
      <c r="C329" s="3">
        <f t="shared" si="8"/>
        <v>3.9533750248933952</v>
      </c>
    </row>
    <row r="330" spans="2:3" x14ac:dyDescent="0.25">
      <c r="B330" s="3">
        <v>155</v>
      </c>
      <c r="C330" s="3">
        <f t="shared" si="8"/>
        <v>3.9617044034422855</v>
      </c>
    </row>
    <row r="331" spans="2:3" x14ac:dyDescent="0.25">
      <c r="B331" s="3">
        <v>155.5</v>
      </c>
      <c r="C331" s="3">
        <f t="shared" si="8"/>
        <v>3.9700244207160247</v>
      </c>
    </row>
    <row r="332" spans="2:3" x14ac:dyDescent="0.25">
      <c r="B332" s="3">
        <v>156</v>
      </c>
      <c r="C332" s="3">
        <f t="shared" si="8"/>
        <v>3.978335117285634</v>
      </c>
    </row>
    <row r="333" spans="2:3" x14ac:dyDescent="0.25">
      <c r="B333" s="3">
        <v>156.5</v>
      </c>
      <c r="C333" s="3">
        <f t="shared" si="8"/>
        <v>3.9866365334168941</v>
      </c>
    </row>
    <row r="334" spans="2:3" x14ac:dyDescent="0.25">
      <c r="B334" s="3">
        <v>157</v>
      </c>
      <c r="C334" s="3">
        <f t="shared" si="8"/>
        <v>3.9949287090736267</v>
      </c>
    </row>
    <row r="335" spans="2:3" x14ac:dyDescent="0.25">
      <c r="B335" s="3">
        <v>157.5</v>
      </c>
      <c r="C335" s="3">
        <f t="shared" si="8"/>
        <v>4.0032116839208989</v>
      </c>
    </row>
    <row r="336" spans="2:3" x14ac:dyDescent="0.25">
      <c r="B336" s="3">
        <v>158</v>
      </c>
      <c r="C336" s="3">
        <f t="shared" si="8"/>
        <v>4.0114854973282004</v>
      </c>
    </row>
    <row r="337" spans="2:3" x14ac:dyDescent="0.25">
      <c r="B337" s="3">
        <v>158.5</v>
      </c>
      <c r="C337" s="3">
        <f t="shared" si="8"/>
        <v>4.0197501883725772</v>
      </c>
    </row>
    <row r="338" spans="2:3" x14ac:dyDescent="0.25">
      <c r="B338" s="3">
        <v>159</v>
      </c>
      <c r="C338" s="3">
        <f t="shared" si="8"/>
        <v>4.0280057958417235</v>
      </c>
    </row>
    <row r="339" spans="2:3" x14ac:dyDescent="0.25">
      <c r="B339" s="3">
        <v>159.5</v>
      </c>
      <c r="C339" s="3">
        <f t="shared" si="8"/>
        <v>4.0362523582370118</v>
      </c>
    </row>
    <row r="340" spans="2:3" x14ac:dyDescent="0.25">
      <c r="B340" s="3">
        <v>160</v>
      </c>
      <c r="C340" s="3">
        <f t="shared" ref="C340:C403" si="9">$U$13*(B340^$U$11)</f>
        <v>4.0444899137765136</v>
      </c>
    </row>
    <row r="341" spans="2:3" x14ac:dyDescent="0.25">
      <c r="B341" s="3">
        <v>160.5</v>
      </c>
      <c r="C341" s="3">
        <f t="shared" si="9"/>
        <v>4.0527185003979511</v>
      </c>
    </row>
    <row r="342" spans="2:3" x14ac:dyDescent="0.25">
      <c r="B342" s="3">
        <v>161</v>
      </c>
      <c r="C342" s="3">
        <f t="shared" si="9"/>
        <v>4.0609381557616295</v>
      </c>
    </row>
    <row r="343" spans="2:3" x14ac:dyDescent="0.25">
      <c r="B343" s="3">
        <v>161.5</v>
      </c>
      <c r="C343" s="3">
        <f t="shared" si="9"/>
        <v>4.0691489172533037</v>
      </c>
    </row>
    <row r="344" spans="2:3" x14ac:dyDescent="0.25">
      <c r="B344" s="3">
        <v>162</v>
      </c>
      <c r="C344" s="3">
        <f t="shared" si="9"/>
        <v>4.0773508219870456</v>
      </c>
    </row>
    <row r="345" spans="2:3" x14ac:dyDescent="0.25">
      <c r="B345" s="3">
        <v>162.5</v>
      </c>
      <c r="C345" s="3">
        <f t="shared" si="9"/>
        <v>4.0855439068080379</v>
      </c>
    </row>
    <row r="346" spans="2:3" x14ac:dyDescent="0.25">
      <c r="B346" s="3">
        <v>163</v>
      </c>
      <c r="C346" s="3">
        <f t="shared" si="9"/>
        <v>4.0937282082953415</v>
      </c>
    </row>
    <row r="347" spans="2:3" x14ac:dyDescent="0.25">
      <c r="B347" s="3">
        <v>163.5</v>
      </c>
      <c r="C347" s="3">
        <f t="shared" si="9"/>
        <v>4.1019037627646284</v>
      </c>
    </row>
    <row r="348" spans="2:3" x14ac:dyDescent="0.25">
      <c r="B348" s="3">
        <v>164</v>
      </c>
      <c r="C348" s="3">
        <f t="shared" si="9"/>
        <v>4.1100706062708863</v>
      </c>
    </row>
    <row r="349" spans="2:3" x14ac:dyDescent="0.25">
      <c r="B349" s="3">
        <v>164.5</v>
      </c>
      <c r="C349" s="3">
        <f t="shared" si="9"/>
        <v>4.1182287746110644</v>
      </c>
    </row>
    <row r="350" spans="2:3" x14ac:dyDescent="0.25">
      <c r="B350" s="3">
        <v>165</v>
      </c>
      <c r="C350" s="3">
        <f t="shared" si="9"/>
        <v>4.1263783033267112</v>
      </c>
    </row>
    <row r="351" spans="2:3" x14ac:dyDescent="0.25">
      <c r="B351" s="3">
        <v>165.5</v>
      </c>
      <c r="C351" s="3">
        <f t="shared" si="9"/>
        <v>4.1345192277065621</v>
      </c>
    </row>
    <row r="352" spans="2:3" x14ac:dyDescent="0.25">
      <c r="B352" s="3">
        <v>166</v>
      </c>
      <c r="C352" s="3">
        <f t="shared" si="9"/>
        <v>4.1426515827890862</v>
      </c>
    </row>
    <row r="353" spans="2:3" x14ac:dyDescent="0.25">
      <c r="B353" s="3">
        <v>166.5</v>
      </c>
      <c r="C353" s="3">
        <f t="shared" si="9"/>
        <v>4.1507754033650182</v>
      </c>
    </row>
    <row r="354" spans="2:3" x14ac:dyDescent="0.25">
      <c r="B354" s="3">
        <v>167</v>
      </c>
      <c r="C354" s="3">
        <f t="shared" si="9"/>
        <v>4.1588907239798498</v>
      </c>
    </row>
    <row r="355" spans="2:3" x14ac:dyDescent="0.25">
      <c r="B355" s="3">
        <v>167.5</v>
      </c>
      <c r="C355" s="3">
        <f t="shared" si="9"/>
        <v>4.1669975789362779</v>
      </c>
    </row>
    <row r="356" spans="2:3" x14ac:dyDescent="0.25">
      <c r="B356" s="3">
        <v>168</v>
      </c>
      <c r="C356" s="3">
        <f t="shared" si="9"/>
        <v>4.1750960022966428</v>
      </c>
    </row>
    <row r="357" spans="2:3" x14ac:dyDescent="0.25">
      <c r="B357" s="3">
        <v>168.5</v>
      </c>
      <c r="C357" s="3">
        <f t="shared" si="9"/>
        <v>4.1831860278853101</v>
      </c>
    </row>
    <row r="358" spans="2:3" x14ac:dyDescent="0.25">
      <c r="B358" s="3">
        <v>169</v>
      </c>
      <c r="C358" s="3">
        <f t="shared" si="9"/>
        <v>4.191267689291041</v>
      </c>
    </row>
    <row r="359" spans="2:3" x14ac:dyDescent="0.25">
      <c r="B359" s="3">
        <v>169.5</v>
      </c>
      <c r="C359" s="3">
        <f t="shared" si="9"/>
        <v>4.1993410198693253</v>
      </c>
    </row>
    <row r="360" spans="2:3" x14ac:dyDescent="0.25">
      <c r="B360" s="3">
        <v>170</v>
      </c>
      <c r="C360" s="3">
        <f t="shared" si="9"/>
        <v>4.207406052744683</v>
      </c>
    </row>
    <row r="361" spans="2:3" x14ac:dyDescent="0.25">
      <c r="B361" s="3">
        <v>170.5</v>
      </c>
      <c r="C361" s="3">
        <f t="shared" si="9"/>
        <v>4.2154628208129337</v>
      </c>
    </row>
    <row r="362" spans="2:3" x14ac:dyDescent="0.25">
      <c r="B362" s="3">
        <v>171</v>
      </c>
      <c r="C362" s="3">
        <f t="shared" si="9"/>
        <v>4.223511356743451</v>
      </c>
    </row>
    <row r="363" spans="2:3" x14ac:dyDescent="0.25">
      <c r="B363" s="3">
        <v>171.5</v>
      </c>
      <c r="C363" s="3">
        <f t="shared" si="9"/>
        <v>4.2315516929813688</v>
      </c>
    </row>
    <row r="364" spans="2:3" x14ac:dyDescent="0.25">
      <c r="B364" s="3">
        <v>172</v>
      </c>
      <c r="C364" s="3">
        <f t="shared" si="9"/>
        <v>4.2395838617497734</v>
      </c>
    </row>
    <row r="365" spans="2:3" x14ac:dyDescent="0.25">
      <c r="B365" s="3">
        <v>172.5</v>
      </c>
      <c r="C365" s="3">
        <f t="shared" si="9"/>
        <v>4.2476078950518765</v>
      </c>
    </row>
    <row r="366" spans="2:3" x14ac:dyDescent="0.25">
      <c r="B366" s="3">
        <v>173</v>
      </c>
      <c r="C366" s="3">
        <f t="shared" si="9"/>
        <v>4.2556238246731155</v>
      </c>
    </row>
    <row r="367" spans="2:3" x14ac:dyDescent="0.25">
      <c r="B367" s="3">
        <v>173.5</v>
      </c>
      <c r="C367" s="3">
        <f t="shared" si="9"/>
        <v>4.2636316821832949</v>
      </c>
    </row>
    <row r="368" spans="2:3" x14ac:dyDescent="0.25">
      <c r="B368" s="3">
        <v>174</v>
      </c>
      <c r="C368" s="3">
        <f t="shared" si="9"/>
        <v>4.2716314989386461</v>
      </c>
    </row>
    <row r="369" spans="2:3" x14ac:dyDescent="0.25">
      <c r="B369" s="3">
        <v>174.5</v>
      </c>
      <c r="C369" s="3">
        <f t="shared" si="9"/>
        <v>4.2796233060838897</v>
      </c>
    </row>
    <row r="370" spans="2:3" x14ac:dyDescent="0.25">
      <c r="B370" s="3">
        <v>175</v>
      </c>
      <c r="C370" s="3">
        <f t="shared" si="9"/>
        <v>4.287607134554265</v>
      </c>
    </row>
    <row r="371" spans="2:3" x14ac:dyDescent="0.25">
      <c r="B371" s="3">
        <v>175.5</v>
      </c>
      <c r="C371" s="3">
        <f t="shared" si="9"/>
        <v>4.2955830150775167</v>
      </c>
    </row>
    <row r="372" spans="2:3" x14ac:dyDescent="0.25">
      <c r="B372" s="3">
        <v>176</v>
      </c>
      <c r="C372" s="3">
        <f t="shared" si="9"/>
        <v>4.3035509781758954</v>
      </c>
    </row>
    <row r="373" spans="2:3" x14ac:dyDescent="0.25">
      <c r="B373" s="3">
        <v>176.5</v>
      </c>
      <c r="C373" s="3">
        <f t="shared" si="9"/>
        <v>4.3115110541681059</v>
      </c>
    </row>
    <row r="374" spans="2:3" x14ac:dyDescent="0.25">
      <c r="B374" s="3">
        <v>177</v>
      </c>
      <c r="C374" s="3">
        <f t="shared" si="9"/>
        <v>4.3194632731712277</v>
      </c>
    </row>
    <row r="375" spans="2:3" x14ac:dyDescent="0.25">
      <c r="B375" s="3">
        <v>177.5</v>
      </c>
      <c r="C375" s="3">
        <f t="shared" si="9"/>
        <v>4.3274076651026299</v>
      </c>
    </row>
    <row r="376" spans="2:3" x14ac:dyDescent="0.25">
      <c r="B376" s="3">
        <v>178</v>
      </c>
      <c r="C376" s="3">
        <f t="shared" si="9"/>
        <v>4.3353442596818459</v>
      </c>
    </row>
    <row r="377" spans="2:3" x14ac:dyDescent="0.25">
      <c r="B377" s="3">
        <v>178.5</v>
      </c>
      <c r="C377" s="3">
        <f t="shared" si="9"/>
        <v>4.3432730864324451</v>
      </c>
    </row>
    <row r="378" spans="2:3" x14ac:dyDescent="0.25">
      <c r="B378" s="3">
        <v>179</v>
      </c>
      <c r="C378" s="3">
        <f t="shared" si="9"/>
        <v>4.351194174683866</v>
      </c>
    </row>
    <row r="379" spans="2:3" x14ac:dyDescent="0.25">
      <c r="B379" s="3">
        <v>179.5</v>
      </c>
      <c r="C379" s="3">
        <f t="shared" si="9"/>
        <v>4.3591075535732182</v>
      </c>
    </row>
    <row r="380" spans="2:3" x14ac:dyDescent="0.25">
      <c r="B380" s="3">
        <v>180</v>
      </c>
      <c r="C380" s="3">
        <f t="shared" si="9"/>
        <v>4.3670132520471006</v>
      </c>
    </row>
    <row r="381" spans="2:3" x14ac:dyDescent="0.25">
      <c r="B381" s="3">
        <v>180.5</v>
      </c>
      <c r="C381" s="3">
        <f t="shared" si="9"/>
        <v>4.3749112988633483</v>
      </c>
    </row>
    <row r="382" spans="2:3" x14ac:dyDescent="0.25">
      <c r="B382" s="3">
        <v>181</v>
      </c>
      <c r="C382" s="3">
        <f t="shared" si="9"/>
        <v>4.3828017225927924</v>
      </c>
    </row>
    <row r="383" spans="2:3" x14ac:dyDescent="0.25">
      <c r="B383" s="3">
        <v>181.5</v>
      </c>
      <c r="C383" s="3">
        <f t="shared" si="9"/>
        <v>4.3906845516209936</v>
      </c>
    </row>
    <row r="384" spans="2:3" x14ac:dyDescent="0.25">
      <c r="B384" s="3">
        <v>182</v>
      </c>
      <c r="C384" s="3">
        <f t="shared" si="9"/>
        <v>4.3985598141499489</v>
      </c>
    </row>
    <row r="385" spans="2:3" x14ac:dyDescent="0.25">
      <c r="B385" s="3">
        <v>182.5</v>
      </c>
      <c r="C385" s="3">
        <f t="shared" si="9"/>
        <v>4.4064275381997735</v>
      </c>
    </row>
    <row r="386" spans="2:3" x14ac:dyDescent="0.25">
      <c r="B386" s="3">
        <v>183</v>
      </c>
      <c r="C386" s="3">
        <f t="shared" si="9"/>
        <v>4.4142877516103685</v>
      </c>
    </row>
    <row r="387" spans="2:3" x14ac:dyDescent="0.25">
      <c r="B387" s="3">
        <v>183.5</v>
      </c>
      <c r="C387" s="3">
        <f t="shared" si="9"/>
        <v>4.422140482043079</v>
      </c>
    </row>
    <row r="388" spans="2:3" x14ac:dyDescent="0.25">
      <c r="B388" s="3">
        <v>184</v>
      </c>
      <c r="C388" s="3">
        <f t="shared" si="9"/>
        <v>4.4299857569823091</v>
      </c>
    </row>
    <row r="389" spans="2:3" x14ac:dyDescent="0.25">
      <c r="B389" s="3">
        <v>184.5</v>
      </c>
      <c r="C389" s="3">
        <f t="shared" si="9"/>
        <v>4.4378236037371428</v>
      </c>
    </row>
    <row r="390" spans="2:3" x14ac:dyDescent="0.25">
      <c r="B390" s="3">
        <v>185</v>
      </c>
      <c r="C390" s="3">
        <f t="shared" si="9"/>
        <v>4.44565404944293</v>
      </c>
    </row>
    <row r="391" spans="2:3" x14ac:dyDescent="0.25">
      <c r="B391" s="3">
        <v>185.5</v>
      </c>
      <c r="C391" s="3">
        <f t="shared" si="9"/>
        <v>4.4534771210628579</v>
      </c>
    </row>
    <row r="392" spans="2:3" x14ac:dyDescent="0.25">
      <c r="B392" s="3">
        <v>186</v>
      </c>
      <c r="C392" s="3">
        <f t="shared" si="9"/>
        <v>4.4612928453895018</v>
      </c>
    </row>
    <row r="393" spans="2:3" x14ac:dyDescent="0.25">
      <c r="B393" s="3">
        <v>186.5</v>
      </c>
      <c r="C393" s="3">
        <f t="shared" si="9"/>
        <v>4.4691012490463589</v>
      </c>
    </row>
    <row r="394" spans="2:3" x14ac:dyDescent="0.25">
      <c r="B394" s="3">
        <v>187</v>
      </c>
      <c r="C394" s="3">
        <f t="shared" si="9"/>
        <v>4.4769023584893732</v>
      </c>
    </row>
    <row r="395" spans="2:3" x14ac:dyDescent="0.25">
      <c r="B395" s="3">
        <v>187.5</v>
      </c>
      <c r="C395" s="3">
        <f t="shared" si="9"/>
        <v>4.4846962000084361</v>
      </c>
    </row>
    <row r="396" spans="2:3" x14ac:dyDescent="0.25">
      <c r="B396" s="3">
        <v>188</v>
      </c>
      <c r="C396" s="3">
        <f t="shared" si="9"/>
        <v>4.4924827997288519</v>
      </c>
    </row>
    <row r="397" spans="2:3" x14ac:dyDescent="0.25">
      <c r="B397" s="3">
        <v>188.5</v>
      </c>
      <c r="C397" s="3">
        <f t="shared" si="9"/>
        <v>4.5002621836128212</v>
      </c>
    </row>
    <row r="398" spans="2:3" x14ac:dyDescent="0.25">
      <c r="B398" s="3">
        <v>189</v>
      </c>
      <c r="C398" s="3">
        <f t="shared" si="9"/>
        <v>4.5080343774608798</v>
      </c>
    </row>
    <row r="399" spans="2:3" x14ac:dyDescent="0.25">
      <c r="B399" s="3">
        <v>189.5</v>
      </c>
      <c r="C399" s="3">
        <f t="shared" si="9"/>
        <v>4.5157994069133327</v>
      </c>
    </row>
    <row r="400" spans="2:3" x14ac:dyDescent="0.25">
      <c r="B400" s="3">
        <v>190</v>
      </c>
      <c r="C400" s="3">
        <f t="shared" si="9"/>
        <v>4.5235572974516689</v>
      </c>
    </row>
    <row r="401" spans="2:3" x14ac:dyDescent="0.25">
      <c r="B401" s="3">
        <v>190.5</v>
      </c>
      <c r="C401" s="3">
        <f t="shared" si="9"/>
        <v>4.5313080743999619</v>
      </c>
    </row>
    <row r="402" spans="2:3" x14ac:dyDescent="0.25">
      <c r="B402" s="3">
        <v>191</v>
      </c>
      <c r="C402" s="3">
        <f t="shared" si="9"/>
        <v>4.5390517629262446</v>
      </c>
    </row>
    <row r="403" spans="2:3" x14ac:dyDescent="0.25">
      <c r="B403" s="3">
        <v>191.5</v>
      </c>
      <c r="C403" s="3">
        <f t="shared" si="9"/>
        <v>4.5467883880438871</v>
      </c>
    </row>
    <row r="404" spans="2:3" x14ac:dyDescent="0.25">
      <c r="B404" s="3">
        <v>192</v>
      </c>
      <c r="C404" s="3">
        <f t="shared" ref="C404:C467" si="10">$U$13*(B404^$U$11)</f>
        <v>4.55451797461295</v>
      </c>
    </row>
    <row r="405" spans="2:3" x14ac:dyDescent="0.25">
      <c r="B405" s="3">
        <v>192.5</v>
      </c>
      <c r="C405" s="3">
        <f t="shared" si="10"/>
        <v>4.5622405473415046</v>
      </c>
    </row>
    <row r="406" spans="2:3" x14ac:dyDescent="0.25">
      <c r="B406" s="3">
        <v>193</v>
      </c>
      <c r="C406" s="3">
        <f t="shared" si="10"/>
        <v>4.5699561307869629</v>
      </c>
    </row>
    <row r="407" spans="2:3" x14ac:dyDescent="0.25">
      <c r="B407" s="3">
        <v>193.5</v>
      </c>
      <c r="C407" s="3">
        <f t="shared" si="10"/>
        <v>4.577664749357397</v>
      </c>
    </row>
    <row r="408" spans="2:3" x14ac:dyDescent="0.25">
      <c r="B408" s="3">
        <v>194</v>
      </c>
      <c r="C408" s="3">
        <f t="shared" si="10"/>
        <v>4.5853664273128123</v>
      </c>
    </row>
    <row r="409" spans="2:3" x14ac:dyDescent="0.25">
      <c r="B409" s="3">
        <v>194.5</v>
      </c>
      <c r="C409" s="3">
        <f t="shared" si="10"/>
        <v>4.5930611887664305</v>
      </c>
    </row>
    <row r="410" spans="2:3" x14ac:dyDescent="0.25">
      <c r="B410" s="3">
        <v>195</v>
      </c>
      <c r="C410" s="3">
        <f t="shared" si="10"/>
        <v>4.6007490576859507</v>
      </c>
    </row>
    <row r="411" spans="2:3" x14ac:dyDescent="0.25">
      <c r="B411" s="3">
        <v>195.5</v>
      </c>
      <c r="C411" s="3">
        <f t="shared" si="10"/>
        <v>4.6084300578948136</v>
      </c>
    </row>
    <row r="412" spans="2:3" x14ac:dyDescent="0.25">
      <c r="B412" s="3">
        <v>196</v>
      </c>
      <c r="C412" s="3">
        <f t="shared" si="10"/>
        <v>4.6161042130734105</v>
      </c>
    </row>
    <row r="413" spans="2:3" x14ac:dyDescent="0.25">
      <c r="B413" s="3">
        <v>196.5</v>
      </c>
      <c r="C413" s="3">
        <f t="shared" si="10"/>
        <v>4.6237715467603291</v>
      </c>
    </row>
    <row r="414" spans="2:3" x14ac:dyDescent="0.25">
      <c r="B414" s="3">
        <v>197</v>
      </c>
      <c r="C414" s="3">
        <f t="shared" si="10"/>
        <v>4.6314320823535438</v>
      </c>
    </row>
    <row r="415" spans="2:3" x14ac:dyDescent="0.25">
      <c r="B415" s="3">
        <v>197.5</v>
      </c>
      <c r="C415" s="3">
        <f t="shared" si="10"/>
        <v>4.6390858431116175</v>
      </c>
    </row>
    <row r="416" spans="2:3" x14ac:dyDescent="0.25">
      <c r="B416" s="3">
        <v>198</v>
      </c>
      <c r="C416" s="3">
        <f t="shared" si="10"/>
        <v>4.6467328521548836</v>
      </c>
    </row>
    <row r="417" spans="2:3" x14ac:dyDescent="0.25">
      <c r="B417" s="3">
        <v>198.5</v>
      </c>
      <c r="C417" s="3">
        <f t="shared" si="10"/>
        <v>4.654373132466616</v>
      </c>
    </row>
    <row r="418" spans="2:3" x14ac:dyDescent="0.25">
      <c r="B418" s="3">
        <v>199</v>
      </c>
      <c r="C418" s="3">
        <f t="shared" si="10"/>
        <v>4.6620067068941751</v>
      </c>
    </row>
    <row r="419" spans="2:3" x14ac:dyDescent="0.25">
      <c r="B419" s="3">
        <v>199.5</v>
      </c>
      <c r="C419" s="3">
        <f t="shared" si="10"/>
        <v>4.6696335981501642</v>
      </c>
    </row>
    <row r="420" spans="2:3" x14ac:dyDescent="0.25">
      <c r="B420" s="3">
        <v>200</v>
      </c>
      <c r="C420" s="3">
        <f t="shared" si="10"/>
        <v>4.6772538288135497</v>
      </c>
    </row>
    <row r="421" spans="2:3" x14ac:dyDescent="0.25">
      <c r="B421" s="3">
        <v>200.5</v>
      </c>
      <c r="C421" s="3">
        <f t="shared" si="10"/>
        <v>4.6848674213307859</v>
      </c>
    </row>
    <row r="422" spans="2:3" x14ac:dyDescent="0.25">
      <c r="B422" s="3">
        <v>201</v>
      </c>
      <c r="C422" s="3">
        <f t="shared" si="10"/>
        <v>4.6924743980169135</v>
      </c>
    </row>
    <row r="423" spans="2:3" x14ac:dyDescent="0.25">
      <c r="B423" s="3">
        <v>201.5</v>
      </c>
      <c r="C423" s="3">
        <f t="shared" si="10"/>
        <v>4.7000747810566637</v>
      </c>
    </row>
    <row r="424" spans="2:3" x14ac:dyDescent="0.25">
      <c r="B424" s="3">
        <v>202</v>
      </c>
      <c r="C424" s="3">
        <f t="shared" si="10"/>
        <v>4.7076685925055299</v>
      </c>
    </row>
    <row r="425" spans="2:3" x14ac:dyDescent="0.25">
      <c r="B425" s="3">
        <v>202.5</v>
      </c>
      <c r="C425" s="3">
        <f t="shared" si="10"/>
        <v>4.7152558542908478</v>
      </c>
    </row>
    <row r="426" spans="2:3" x14ac:dyDescent="0.25">
      <c r="B426" s="3">
        <v>203</v>
      </c>
      <c r="C426" s="3">
        <f t="shared" si="10"/>
        <v>4.7228365882128491</v>
      </c>
    </row>
    <row r="427" spans="2:3" x14ac:dyDescent="0.25">
      <c r="B427" s="3">
        <v>203.5</v>
      </c>
      <c r="C427" s="3">
        <f t="shared" si="10"/>
        <v>4.7304108159457128</v>
      </c>
    </row>
    <row r="428" spans="2:3" x14ac:dyDescent="0.25">
      <c r="B428" s="3">
        <v>204</v>
      </c>
      <c r="C428" s="3">
        <f t="shared" si="10"/>
        <v>4.7379785590385923</v>
      </c>
    </row>
    <row r="429" spans="2:3" x14ac:dyDescent="0.25">
      <c r="B429" s="3">
        <v>204.5</v>
      </c>
      <c r="C429" s="3">
        <f t="shared" si="10"/>
        <v>4.745539838916665</v>
      </c>
    </row>
    <row r="430" spans="2:3" x14ac:dyDescent="0.25">
      <c r="B430" s="3">
        <v>205</v>
      </c>
      <c r="C430" s="3">
        <f t="shared" si="10"/>
        <v>4.7530946768821085</v>
      </c>
    </row>
    <row r="431" spans="2:3" x14ac:dyDescent="0.25">
      <c r="B431" s="3">
        <v>205.5</v>
      </c>
      <c r="C431" s="3">
        <f t="shared" si="10"/>
        <v>4.7606430941151467</v>
      </c>
    </row>
    <row r="432" spans="2:3" x14ac:dyDescent="0.25">
      <c r="B432" s="3">
        <v>206</v>
      </c>
      <c r="C432" s="3">
        <f t="shared" si="10"/>
        <v>4.7681851116750087</v>
      </c>
    </row>
    <row r="433" spans="2:3" x14ac:dyDescent="0.25">
      <c r="B433" s="3">
        <v>206.5</v>
      </c>
      <c r="C433" s="3">
        <f t="shared" si="10"/>
        <v>4.7757207505009367</v>
      </c>
    </row>
    <row r="434" spans="2:3" x14ac:dyDescent="0.25">
      <c r="B434" s="3">
        <v>207</v>
      </c>
      <c r="C434" s="3">
        <f t="shared" si="10"/>
        <v>4.7832500314131412</v>
      </c>
    </row>
    <row r="435" spans="2:3" x14ac:dyDescent="0.25">
      <c r="B435" s="3">
        <v>207.5</v>
      </c>
      <c r="C435" s="3">
        <f t="shared" si="10"/>
        <v>4.7907729751137751</v>
      </c>
    </row>
    <row r="436" spans="2:3" x14ac:dyDescent="0.25">
      <c r="B436" s="3">
        <v>208</v>
      </c>
      <c r="C436" s="3">
        <f t="shared" si="10"/>
        <v>4.7982896021878743</v>
      </c>
    </row>
    <row r="437" spans="2:3" x14ac:dyDescent="0.25">
      <c r="B437" s="3">
        <v>208.5</v>
      </c>
      <c r="C437" s="3">
        <f t="shared" si="10"/>
        <v>4.805799933104316</v>
      </c>
    </row>
    <row r="438" spans="2:3" x14ac:dyDescent="0.25">
      <c r="B438" s="3">
        <v>209</v>
      </c>
      <c r="C438" s="3">
        <f t="shared" si="10"/>
        <v>4.8133039882167319</v>
      </c>
    </row>
    <row r="439" spans="2:3" x14ac:dyDescent="0.25">
      <c r="B439" s="3">
        <v>209.5</v>
      </c>
      <c r="C439" s="3">
        <f t="shared" si="10"/>
        <v>4.8208017877644487</v>
      </c>
    </row>
    <row r="440" spans="2:3" x14ac:dyDescent="0.25">
      <c r="B440" s="3">
        <v>210</v>
      </c>
      <c r="C440" s="3">
        <f t="shared" si="10"/>
        <v>4.8282933518733868</v>
      </c>
    </row>
    <row r="441" spans="2:3" x14ac:dyDescent="0.25">
      <c r="B441" s="3">
        <v>210.5</v>
      </c>
      <c r="C441" s="3">
        <f t="shared" si="10"/>
        <v>4.8357787005569799</v>
      </c>
    </row>
    <row r="442" spans="2:3" x14ac:dyDescent="0.25">
      <c r="B442" s="3">
        <v>211</v>
      </c>
      <c r="C442" s="3">
        <f t="shared" si="10"/>
        <v>4.8432578537170521</v>
      </c>
    </row>
    <row r="443" spans="2:3" x14ac:dyDescent="0.25">
      <c r="B443" s="3">
        <v>211.5</v>
      </c>
      <c r="C443" s="3">
        <f t="shared" si="10"/>
        <v>4.8507308311447135</v>
      </c>
    </row>
    <row r="444" spans="2:3" x14ac:dyDescent="0.25">
      <c r="B444" s="3">
        <v>212</v>
      </c>
      <c r="C444" s="3">
        <f t="shared" si="10"/>
        <v>4.8581976525212287</v>
      </c>
    </row>
    <row r="445" spans="2:3" x14ac:dyDescent="0.25">
      <c r="B445" s="3">
        <v>212.5</v>
      </c>
      <c r="C445" s="3">
        <f t="shared" si="10"/>
        <v>4.865658337418906</v>
      </c>
    </row>
    <row r="446" spans="2:3" x14ac:dyDescent="0.25">
      <c r="B446" s="3">
        <v>213</v>
      </c>
      <c r="C446" s="3">
        <f t="shared" si="10"/>
        <v>4.8731129053019222</v>
      </c>
    </row>
    <row r="447" spans="2:3" x14ac:dyDescent="0.25">
      <c r="B447" s="3">
        <v>213.5</v>
      </c>
      <c r="C447" s="3">
        <f t="shared" si="10"/>
        <v>4.8805613755271926</v>
      </c>
    </row>
    <row r="448" spans="2:3" x14ac:dyDescent="0.25">
      <c r="B448" s="3">
        <v>214</v>
      </c>
      <c r="C448" s="3">
        <f t="shared" si="10"/>
        <v>4.8880037673452108</v>
      </c>
    </row>
    <row r="449" spans="2:3" x14ac:dyDescent="0.25">
      <c r="B449" s="3">
        <v>214.5</v>
      </c>
      <c r="C449" s="3">
        <f t="shared" si="10"/>
        <v>4.895440099900882</v>
      </c>
    </row>
    <row r="450" spans="2:3" x14ac:dyDescent="0.25">
      <c r="B450" s="3">
        <v>215</v>
      </c>
      <c r="C450" s="3">
        <f t="shared" si="10"/>
        <v>4.9028703922343349</v>
      </c>
    </row>
    <row r="451" spans="2:3" x14ac:dyDescent="0.25">
      <c r="B451" s="3">
        <v>215.5</v>
      </c>
      <c r="C451" s="3">
        <f t="shared" si="10"/>
        <v>4.9102946632817526</v>
      </c>
    </row>
    <row r="452" spans="2:3" x14ac:dyDescent="0.25">
      <c r="B452" s="3">
        <v>216</v>
      </c>
      <c r="C452" s="3">
        <f t="shared" si="10"/>
        <v>4.9177129318761645</v>
      </c>
    </row>
    <row r="453" spans="2:3" x14ac:dyDescent="0.25">
      <c r="B453" s="3">
        <v>216.5</v>
      </c>
      <c r="C453" s="3">
        <f t="shared" si="10"/>
        <v>4.9251252167482615</v>
      </c>
    </row>
    <row r="454" spans="2:3" x14ac:dyDescent="0.25">
      <c r="B454" s="3">
        <v>217</v>
      </c>
      <c r="C454" s="3">
        <f t="shared" si="10"/>
        <v>4.9325315365271791</v>
      </c>
    </row>
    <row r="455" spans="2:3" x14ac:dyDescent="0.25">
      <c r="B455" s="3">
        <v>217.5</v>
      </c>
      <c r="C455" s="3">
        <f t="shared" si="10"/>
        <v>4.9399319097412775</v>
      </c>
    </row>
    <row r="456" spans="2:3" x14ac:dyDescent="0.25">
      <c r="B456" s="3">
        <v>218</v>
      </c>
      <c r="C456" s="3">
        <f t="shared" si="10"/>
        <v>4.9473263548189221</v>
      </c>
    </row>
    <row r="457" spans="2:3" x14ac:dyDescent="0.25">
      <c r="B457" s="3">
        <v>218.5</v>
      </c>
      <c r="C457" s="3">
        <f t="shared" si="10"/>
        <v>4.9547148900892459</v>
      </c>
    </row>
    <row r="458" spans="2:3" x14ac:dyDescent="0.25">
      <c r="B458" s="3">
        <v>219</v>
      </c>
      <c r="C458" s="3">
        <f t="shared" si="10"/>
        <v>4.9620975337829272</v>
      </c>
    </row>
    <row r="459" spans="2:3" x14ac:dyDescent="0.25">
      <c r="B459" s="3">
        <v>219.5</v>
      </c>
      <c r="C459" s="3">
        <f t="shared" si="10"/>
        <v>4.969474304032909</v>
      </c>
    </row>
    <row r="460" spans="2:3" x14ac:dyDescent="0.25">
      <c r="B460" s="3">
        <v>220</v>
      </c>
      <c r="C460" s="3">
        <f t="shared" si="10"/>
        <v>4.9768452188751757</v>
      </c>
    </row>
    <row r="461" spans="2:3" x14ac:dyDescent="0.25">
      <c r="B461" s="3">
        <v>220.5</v>
      </c>
      <c r="C461" s="3">
        <f t="shared" si="10"/>
        <v>4.9842102962494721</v>
      </c>
    </row>
    <row r="462" spans="2:3" x14ac:dyDescent="0.25">
      <c r="B462" s="3">
        <v>221</v>
      </c>
      <c r="C462" s="3">
        <f t="shared" si="10"/>
        <v>4.9915695540000495</v>
      </c>
    </row>
    <row r="463" spans="2:3" x14ac:dyDescent="0.25">
      <c r="B463" s="3">
        <v>221.5</v>
      </c>
      <c r="C463" s="3">
        <f t="shared" si="10"/>
        <v>4.9989230098763704</v>
      </c>
    </row>
    <row r="464" spans="2:3" x14ac:dyDescent="0.25">
      <c r="B464" s="3">
        <v>222</v>
      </c>
      <c r="C464" s="3">
        <f t="shared" si="10"/>
        <v>5.0062706815338371</v>
      </c>
    </row>
    <row r="465" spans="2:3" x14ac:dyDescent="0.25">
      <c r="B465" s="3">
        <v>222.5</v>
      </c>
      <c r="C465" s="3">
        <f t="shared" si="10"/>
        <v>5.0136125865344967</v>
      </c>
    </row>
    <row r="466" spans="2:3" x14ac:dyDescent="0.25">
      <c r="B466" s="3">
        <v>223</v>
      </c>
      <c r="C466" s="3">
        <f t="shared" si="10"/>
        <v>5.0209487423477475</v>
      </c>
    </row>
    <row r="467" spans="2:3" x14ac:dyDescent="0.25">
      <c r="B467" s="3">
        <v>223.5</v>
      </c>
      <c r="C467" s="3">
        <f t="shared" si="10"/>
        <v>5.0282791663510276</v>
      </c>
    </row>
    <row r="468" spans="2:3" x14ac:dyDescent="0.25">
      <c r="B468" s="3">
        <v>224</v>
      </c>
      <c r="C468" s="3">
        <f t="shared" ref="C468:C480" si="11">$U$13*(B468^$U$11)</f>
        <v>5.0356038758305033</v>
      </c>
    </row>
    <row r="469" spans="2:3" x14ac:dyDescent="0.25">
      <c r="B469" s="3">
        <v>224.5</v>
      </c>
      <c r="C469" s="3">
        <f t="shared" si="11"/>
        <v>5.0429228879817689</v>
      </c>
    </row>
    <row r="470" spans="2:3" x14ac:dyDescent="0.25">
      <c r="B470" s="3">
        <v>225</v>
      </c>
      <c r="C470" s="3">
        <f t="shared" si="11"/>
        <v>5.0502362199104924</v>
      </c>
    </row>
    <row r="471" spans="2:3" x14ac:dyDescent="0.25">
      <c r="B471" s="3">
        <v>225.5</v>
      </c>
      <c r="C471" s="3">
        <f t="shared" si="11"/>
        <v>5.0575438886331057</v>
      </c>
    </row>
    <row r="472" spans="2:3" x14ac:dyDescent="0.25">
      <c r="B472" s="3">
        <v>226</v>
      </c>
      <c r="C472" s="3">
        <f t="shared" si="11"/>
        <v>5.0648459110774633</v>
      </c>
    </row>
    <row r="473" spans="2:3" x14ac:dyDescent="0.25">
      <c r="B473" s="3">
        <v>226.5</v>
      </c>
      <c r="C473" s="3">
        <f t="shared" si="11"/>
        <v>5.0721423040834894</v>
      </c>
    </row>
    <row r="474" spans="2:3" x14ac:dyDescent="0.25">
      <c r="B474" s="3">
        <v>227</v>
      </c>
      <c r="C474" s="3">
        <f t="shared" si="11"/>
        <v>5.0794330844038447</v>
      </c>
    </row>
    <row r="475" spans="2:3" x14ac:dyDescent="0.25">
      <c r="B475" s="3">
        <v>227.5</v>
      </c>
      <c r="C475" s="3">
        <f t="shared" si="11"/>
        <v>5.086718268704546</v>
      </c>
    </row>
    <row r="476" spans="2:3" x14ac:dyDescent="0.25">
      <c r="B476" s="3">
        <v>228</v>
      </c>
      <c r="C476" s="3">
        <f t="shared" si="11"/>
        <v>5.093997873565633</v>
      </c>
    </row>
    <row r="477" spans="2:3" x14ac:dyDescent="0.25">
      <c r="B477" s="3">
        <v>228.5</v>
      </c>
      <c r="C477" s="3">
        <f t="shared" si="11"/>
        <v>5.1012719154817674</v>
      </c>
    </row>
    <row r="478" spans="2:3" x14ac:dyDescent="0.25">
      <c r="B478" s="3">
        <v>229</v>
      </c>
      <c r="C478" s="3">
        <f t="shared" si="11"/>
        <v>5.108540410862882</v>
      </c>
    </row>
    <row r="479" spans="2:3" x14ac:dyDescent="0.25">
      <c r="B479" s="3">
        <v>229.5</v>
      </c>
      <c r="C479" s="3">
        <f t="shared" si="11"/>
        <v>5.1158033760347932</v>
      </c>
    </row>
    <row r="480" spans="2:3" x14ac:dyDescent="0.25">
      <c r="B480" s="3">
        <v>230</v>
      </c>
      <c r="C480" s="3">
        <f t="shared" si="11"/>
        <v>5.1230608272398142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E19" sqref="E19"/>
    </sheetView>
  </sheetViews>
  <sheetFormatPr defaultRowHeight="15" x14ac:dyDescent="0.25"/>
  <cols>
    <col min="1" max="1" width="9.5703125" bestFit="1" customWidth="1"/>
    <col min="2" max="2" width="13.42578125" bestFit="1" customWidth="1"/>
    <col min="3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2">
        <v>6.0991999999999997</v>
      </c>
      <c r="B2">
        <v>0.5053291247524756</v>
      </c>
      <c r="C2">
        <v>7.8131287128712784E-2</v>
      </c>
    </row>
    <row r="3" spans="1:3" x14ac:dyDescent="0.25">
      <c r="A3" s="2">
        <v>4.6300000000000008</v>
      </c>
      <c r="B3">
        <v>0.42298199999999986</v>
      </c>
      <c r="C3">
        <v>6.0425999999999813E-3</v>
      </c>
    </row>
    <row r="4" spans="1:3" x14ac:dyDescent="0.25">
      <c r="A4" s="2">
        <v>2.17</v>
      </c>
      <c r="B4">
        <v>0.22387624</v>
      </c>
      <c r="C4">
        <v>5.4309599999999847E-3</v>
      </c>
    </row>
    <row r="5" spans="1:3" x14ac:dyDescent="0.25">
      <c r="A5" s="2">
        <v>1.8242</v>
      </c>
      <c r="B5">
        <v>0.20665991538974018</v>
      </c>
      <c r="C5">
        <v>1.8178381079280576E-3</v>
      </c>
    </row>
    <row r="6" spans="1:3" x14ac:dyDescent="0.25">
      <c r="A6" s="2">
        <v>1.2342</v>
      </c>
      <c r="B6">
        <v>0.17106860079880176</v>
      </c>
      <c r="C6">
        <v>3.148060409385936E-3</v>
      </c>
    </row>
    <row r="7" spans="1:3" x14ac:dyDescent="0.25">
      <c r="A7" s="1">
        <v>0.65949999999999998</v>
      </c>
      <c r="B7">
        <v>9.4473367915106118E-2</v>
      </c>
      <c r="C7">
        <v>1.5844906367041417E-4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Langmiur</vt:lpstr>
      <vt:lpstr>Freundlich</vt:lpstr>
      <vt:lpstr>RedlichPeterson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Rosie</dc:creator>
  <cp:lastModifiedBy>Su, Chunming</cp:lastModifiedBy>
  <dcterms:created xsi:type="dcterms:W3CDTF">2019-02-14T23:50:06Z</dcterms:created>
  <dcterms:modified xsi:type="dcterms:W3CDTF">2020-03-12T16:18:56Z</dcterms:modified>
</cp:coreProperties>
</file>