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M:\ECBC\UVC tests\final QAd data\"/>
    </mc:Choice>
  </mc:AlternateContent>
  <xr:revisionPtr revIDLastSave="0" documentId="13_ncr:1_{06F3BD96-98E8-4C21-BE3D-B941F9019B38}" xr6:coauthVersionLast="36" xr6:coauthVersionMax="36" xr10:uidLastSave="{00000000-0000-0000-0000-000000000000}"/>
  <bookViews>
    <workbookView xWindow="0" yWindow="4200" windowWidth="18315" windowHeight="10875" activeTab="1" xr2:uid="{00000000-000D-0000-FFFF-FFFF00000000}"/>
  </bookViews>
  <sheets>
    <sheet name="Run 1" sheetId="1" r:id="rId1"/>
    <sheet name="Run 2 - 12-27-1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0" i="2" l="1"/>
  <c r="O26" i="2"/>
  <c r="O102" i="1"/>
  <c r="O90" i="1"/>
  <c r="O38" i="1"/>
  <c r="O26" i="1"/>
  <c r="H88" i="2" l="1"/>
  <c r="H89" i="2"/>
  <c r="H90" i="2"/>
  <c r="H91" i="2"/>
  <c r="H87" i="2"/>
  <c r="F70" i="2"/>
  <c r="F67" i="2"/>
  <c r="F60" i="2"/>
  <c r="F61" i="2"/>
  <c r="F62" i="2"/>
  <c r="F63" i="2"/>
  <c r="F56" i="2"/>
  <c r="F57" i="2"/>
  <c r="F58" i="2"/>
  <c r="F52" i="2"/>
  <c r="F37" i="2"/>
  <c r="F33" i="2"/>
  <c r="F31" i="2"/>
  <c r="F30" i="2"/>
  <c r="F24" i="2"/>
  <c r="E91" i="2"/>
  <c r="E90" i="2"/>
  <c r="I90" i="2" s="1"/>
  <c r="J90" i="2" s="1"/>
  <c r="E89" i="2"/>
  <c r="J89" i="2" s="1"/>
  <c r="E88" i="2"/>
  <c r="I88" i="2" s="1"/>
  <c r="J88" i="2" s="1"/>
  <c r="E87" i="2"/>
  <c r="E86" i="2"/>
  <c r="I86" i="2" s="1"/>
  <c r="J86" i="2" s="1"/>
  <c r="I81" i="2"/>
  <c r="F81" i="2"/>
  <c r="I80" i="2"/>
  <c r="F80" i="2"/>
  <c r="I79" i="2"/>
  <c r="F79" i="2"/>
  <c r="I78" i="2"/>
  <c r="F78" i="2"/>
  <c r="I77" i="2"/>
  <c r="F77" i="2"/>
  <c r="I76" i="2"/>
  <c r="F76" i="2"/>
  <c r="I75" i="2"/>
  <c r="J75" i="2" s="1"/>
  <c r="I74" i="2"/>
  <c r="F74" i="2"/>
  <c r="I73" i="2"/>
  <c r="F73" i="2"/>
  <c r="I72" i="2"/>
  <c r="F72" i="2"/>
  <c r="I71" i="2"/>
  <c r="F71" i="2"/>
  <c r="I70" i="2"/>
  <c r="I69" i="2"/>
  <c r="F69" i="2"/>
  <c r="I68" i="2"/>
  <c r="F68" i="2"/>
  <c r="I67" i="2"/>
  <c r="I66" i="2"/>
  <c r="F66" i="2"/>
  <c r="I65" i="2"/>
  <c r="F65" i="2"/>
  <c r="I64" i="2"/>
  <c r="F64" i="2"/>
  <c r="I63" i="2"/>
  <c r="I62" i="2"/>
  <c r="I61" i="2"/>
  <c r="J61" i="2" s="1"/>
  <c r="K61" i="2" s="1"/>
  <c r="I60" i="2"/>
  <c r="J60" i="2" s="1"/>
  <c r="K60" i="2" s="1"/>
  <c r="I59" i="2"/>
  <c r="F59" i="2"/>
  <c r="I58" i="2"/>
  <c r="I57" i="2"/>
  <c r="I56" i="2"/>
  <c r="I55" i="2"/>
  <c r="F55" i="2"/>
  <c r="I54" i="2"/>
  <c r="F54" i="2"/>
  <c r="I53" i="2"/>
  <c r="F53" i="2"/>
  <c r="I52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F39" i="2"/>
  <c r="I38" i="2"/>
  <c r="F38" i="2"/>
  <c r="I37" i="2"/>
  <c r="I36" i="2"/>
  <c r="F36" i="2"/>
  <c r="I35" i="2"/>
  <c r="F35" i="2"/>
  <c r="I34" i="2"/>
  <c r="F34" i="2"/>
  <c r="I32" i="2"/>
  <c r="F32" i="2"/>
  <c r="I30" i="2"/>
  <c r="I29" i="2"/>
  <c r="F29" i="2"/>
  <c r="I28" i="2"/>
  <c r="F28" i="2"/>
  <c r="I27" i="2"/>
  <c r="F27" i="2"/>
  <c r="I26" i="2"/>
  <c r="F26" i="2"/>
  <c r="I25" i="2"/>
  <c r="F25" i="2"/>
  <c r="I24" i="2"/>
  <c r="I23" i="2"/>
  <c r="F23" i="2"/>
  <c r="I22" i="2"/>
  <c r="F22" i="2"/>
  <c r="I21" i="2"/>
  <c r="F21" i="2"/>
  <c r="I20" i="2"/>
  <c r="F20" i="2"/>
  <c r="I19" i="2"/>
  <c r="F19" i="2"/>
  <c r="I18" i="2"/>
  <c r="F18" i="2"/>
  <c r="J62" i="2" l="1"/>
  <c r="J76" i="2"/>
  <c r="J56" i="2"/>
  <c r="I87" i="2"/>
  <c r="J87" i="2" s="1"/>
  <c r="J24" i="2"/>
  <c r="K24" i="2" s="1"/>
  <c r="I91" i="2"/>
  <c r="J91" i="2" s="1"/>
  <c r="L86" i="2" s="1"/>
  <c r="J65" i="2"/>
  <c r="K65" i="2" s="1"/>
  <c r="J63" i="2"/>
  <c r="K63" i="2" s="1"/>
  <c r="J58" i="2"/>
  <c r="K58" i="2" s="1"/>
  <c r="J57" i="2"/>
  <c r="K57" i="2" s="1"/>
  <c r="J23" i="2"/>
  <c r="K23" i="2" s="1"/>
  <c r="J69" i="2"/>
  <c r="K69" i="2" s="1"/>
  <c r="J73" i="2"/>
  <c r="K73" i="2" s="1"/>
  <c r="J44" i="2"/>
  <c r="K44" i="2" s="1"/>
  <c r="K76" i="2"/>
  <c r="J20" i="2"/>
  <c r="K20" i="2" s="1"/>
  <c r="J22" i="2"/>
  <c r="K22" i="2" s="1"/>
  <c r="J46" i="2"/>
  <c r="K46" i="2" s="1"/>
  <c r="J54" i="2"/>
  <c r="K54" i="2" s="1"/>
  <c r="J77" i="2"/>
  <c r="K77" i="2" s="1"/>
  <c r="J40" i="2"/>
  <c r="K40" i="2" s="1"/>
  <c r="J45" i="2"/>
  <c r="K45" i="2" s="1"/>
  <c r="K62" i="2"/>
  <c r="L60" i="2"/>
  <c r="M60" i="2" s="1"/>
  <c r="J78" i="2"/>
  <c r="K78" i="2" s="1"/>
  <c r="J79" i="2"/>
  <c r="K79" i="2" s="1"/>
  <c r="J26" i="2"/>
  <c r="K26" i="2" s="1"/>
  <c r="J35" i="2"/>
  <c r="K35" i="2" s="1"/>
  <c r="J37" i="2"/>
  <c r="K37" i="2" s="1"/>
  <c r="J52" i="2"/>
  <c r="K52" i="2" s="1"/>
  <c r="J18" i="2"/>
  <c r="K18" i="2" s="1"/>
  <c r="J32" i="2"/>
  <c r="K32" i="2" s="1"/>
  <c r="I33" i="2"/>
  <c r="J33" i="2" s="1"/>
  <c r="K33" i="2" s="1"/>
  <c r="J41" i="2"/>
  <c r="K41" i="2" s="1"/>
  <c r="J55" i="2"/>
  <c r="K55" i="2" s="1"/>
  <c r="J43" i="2"/>
  <c r="K43" i="2" s="1"/>
  <c r="J19" i="2"/>
  <c r="K19" i="2" s="1"/>
  <c r="K21" i="2"/>
  <c r="J25" i="2"/>
  <c r="K25" i="2" s="1"/>
  <c r="J29" i="2"/>
  <c r="K29" i="2" s="1"/>
  <c r="J36" i="2"/>
  <c r="K36" i="2" s="1"/>
  <c r="J66" i="2"/>
  <c r="K66" i="2" s="1"/>
  <c r="J68" i="2"/>
  <c r="K68" i="2" s="1"/>
  <c r="J74" i="2"/>
  <c r="K74" i="2" s="1"/>
  <c r="J28" i="2"/>
  <c r="K28" i="2" s="1"/>
  <c r="J38" i="2"/>
  <c r="K38" i="2" s="1"/>
  <c r="J47" i="2"/>
  <c r="K47" i="2" s="1"/>
  <c r="J53" i="2"/>
  <c r="K53" i="2" s="1"/>
  <c r="J59" i="2"/>
  <c r="K59" i="2" s="1"/>
  <c r="J71" i="2"/>
  <c r="K71" i="2" s="1"/>
  <c r="J80" i="2"/>
  <c r="K80" i="2" s="1"/>
  <c r="J27" i="2"/>
  <c r="K27" i="2" s="1"/>
  <c r="J34" i="2"/>
  <c r="K34" i="2" s="1"/>
  <c r="J64" i="2"/>
  <c r="K64" i="2" s="1"/>
  <c r="J67" i="2"/>
  <c r="K67" i="2" s="1"/>
  <c r="J70" i="2"/>
  <c r="K70" i="2" s="1"/>
  <c r="J72" i="2"/>
  <c r="K72" i="2" s="1"/>
  <c r="K75" i="2"/>
  <c r="J81" i="2"/>
  <c r="K81" i="2" s="1"/>
  <c r="J30" i="2"/>
  <c r="I39" i="2"/>
  <c r="J39" i="2" s="1"/>
  <c r="J42" i="2"/>
  <c r="K56" i="2"/>
  <c r="I31" i="2"/>
  <c r="J31" i="2" s="1"/>
  <c r="K31" i="2" s="1"/>
  <c r="F127" i="1"/>
  <c r="F128" i="1"/>
  <c r="F129" i="1"/>
  <c r="F126" i="1"/>
  <c r="F122" i="1"/>
  <c r="F125" i="1"/>
  <c r="F124" i="1"/>
  <c r="F123" i="1"/>
  <c r="F121" i="1"/>
  <c r="F118" i="1"/>
  <c r="F119" i="1"/>
  <c r="F120" i="1"/>
  <c r="I116" i="1"/>
  <c r="F117" i="1"/>
  <c r="F111" i="1"/>
  <c r="F112" i="1"/>
  <c r="F113" i="1"/>
  <c r="F110" i="1"/>
  <c r="F107" i="1"/>
  <c r="F108" i="1"/>
  <c r="F109" i="1"/>
  <c r="F106" i="1"/>
  <c r="F101" i="1"/>
  <c r="F90" i="1"/>
  <c r="F91" i="1"/>
  <c r="F89" i="1"/>
  <c r="F88" i="1"/>
  <c r="F87" i="1"/>
  <c r="F86" i="1"/>
  <c r="F83" i="1"/>
  <c r="F84" i="1"/>
  <c r="F85" i="1"/>
  <c r="H63" i="1"/>
  <c r="G63" i="1"/>
  <c r="F65" i="1"/>
  <c r="J65" i="1" s="1"/>
  <c r="F64" i="1"/>
  <c r="J64" i="1" s="1"/>
  <c r="F63" i="1"/>
  <c r="J63" i="1" s="1"/>
  <c r="F62" i="1"/>
  <c r="F61" i="1"/>
  <c r="F60" i="1"/>
  <c r="F59" i="1"/>
  <c r="F58" i="1"/>
  <c r="H57" i="1"/>
  <c r="G57" i="1"/>
  <c r="H55" i="1"/>
  <c r="G55" i="1"/>
  <c r="F57" i="1"/>
  <c r="F56" i="1"/>
  <c r="F55" i="1"/>
  <c r="F54" i="1"/>
  <c r="H53" i="1"/>
  <c r="I53" i="1" s="1"/>
  <c r="G53" i="1"/>
  <c r="H52" i="1"/>
  <c r="G52" i="1"/>
  <c r="H51" i="1"/>
  <c r="G51" i="1"/>
  <c r="H50" i="1"/>
  <c r="G50" i="1"/>
  <c r="I50" i="1" s="1"/>
  <c r="F53" i="1"/>
  <c r="F52" i="1"/>
  <c r="F51" i="1"/>
  <c r="F50" i="1"/>
  <c r="F47" i="1"/>
  <c r="F48" i="1"/>
  <c r="F49" i="1"/>
  <c r="F46" i="1"/>
  <c r="H45" i="1"/>
  <c r="G45" i="1"/>
  <c r="H44" i="1"/>
  <c r="G44" i="1"/>
  <c r="H43" i="1"/>
  <c r="G43" i="1"/>
  <c r="H42" i="1"/>
  <c r="G42" i="1"/>
  <c r="F43" i="1"/>
  <c r="F44" i="1"/>
  <c r="F45" i="1"/>
  <c r="F42" i="1"/>
  <c r="F38" i="1"/>
  <c r="F39" i="1"/>
  <c r="F31" i="1"/>
  <c r="F32" i="1"/>
  <c r="F33" i="1"/>
  <c r="F34" i="1"/>
  <c r="F35" i="1"/>
  <c r="F37" i="1"/>
  <c r="F40" i="1"/>
  <c r="F41" i="1"/>
  <c r="F30" i="1"/>
  <c r="H27" i="1"/>
  <c r="G27" i="1"/>
  <c r="I27" i="1" s="1"/>
  <c r="F29" i="1"/>
  <c r="F28" i="1"/>
  <c r="F27" i="1"/>
  <c r="F26" i="1"/>
  <c r="H25" i="1"/>
  <c r="G25" i="1"/>
  <c r="H24" i="1"/>
  <c r="G24" i="1"/>
  <c r="H23" i="1"/>
  <c r="G23" i="1"/>
  <c r="H22" i="1"/>
  <c r="G22" i="1"/>
  <c r="F25" i="1"/>
  <c r="F24" i="1"/>
  <c r="F23" i="1"/>
  <c r="F22" i="1"/>
  <c r="H21" i="1"/>
  <c r="G21" i="1"/>
  <c r="H20" i="1"/>
  <c r="G20" i="1"/>
  <c r="H19" i="1"/>
  <c r="G19" i="1"/>
  <c r="H18" i="1"/>
  <c r="G18" i="1"/>
  <c r="F19" i="1"/>
  <c r="F20" i="1"/>
  <c r="F21" i="1"/>
  <c r="F18" i="1"/>
  <c r="I139" i="1"/>
  <c r="I138" i="1"/>
  <c r="I135" i="1"/>
  <c r="J135" i="1" s="1"/>
  <c r="K135" i="1" s="1"/>
  <c r="I132" i="1"/>
  <c r="J132" i="1" s="1"/>
  <c r="K132" i="1" s="1"/>
  <c r="F135" i="1"/>
  <c r="F136" i="1"/>
  <c r="F137" i="1"/>
  <c r="F138" i="1"/>
  <c r="F139" i="1"/>
  <c r="F130" i="1"/>
  <c r="F131" i="1"/>
  <c r="F132" i="1"/>
  <c r="I76" i="1"/>
  <c r="J76" i="1"/>
  <c r="K76" i="1" s="1"/>
  <c r="F73" i="1"/>
  <c r="E155" i="1"/>
  <c r="I155" i="1" s="1"/>
  <c r="J155" i="1" s="1"/>
  <c r="E154" i="1"/>
  <c r="I154" i="1" s="1"/>
  <c r="J154" i="1" s="1"/>
  <c r="E151" i="1"/>
  <c r="I151" i="1" s="1"/>
  <c r="J151" i="1" s="1"/>
  <c r="E148" i="1"/>
  <c r="I148" i="1" s="1"/>
  <c r="J148" i="1" s="1"/>
  <c r="I129" i="1"/>
  <c r="J129" i="1" s="1"/>
  <c r="I128" i="1"/>
  <c r="I127" i="1"/>
  <c r="I126" i="1"/>
  <c r="J126" i="1" s="1"/>
  <c r="I117" i="1"/>
  <c r="F116" i="1"/>
  <c r="J116" i="1" s="1"/>
  <c r="I115" i="1"/>
  <c r="F115" i="1"/>
  <c r="I114" i="1"/>
  <c r="F114" i="1"/>
  <c r="I105" i="1"/>
  <c r="J105" i="1" s="1"/>
  <c r="K105" i="1" s="1"/>
  <c r="I104" i="1"/>
  <c r="J104" i="1" s="1"/>
  <c r="K104" i="1" s="1"/>
  <c r="I103" i="1"/>
  <c r="K103" i="1" s="1"/>
  <c r="I102" i="1"/>
  <c r="I93" i="1"/>
  <c r="F93" i="1"/>
  <c r="I92" i="1"/>
  <c r="F92" i="1"/>
  <c r="I91" i="1"/>
  <c r="I90" i="1"/>
  <c r="I68" i="1"/>
  <c r="J68" i="1" s="1"/>
  <c r="K68" i="1" s="1"/>
  <c r="I69" i="1"/>
  <c r="I70" i="1"/>
  <c r="I71" i="1"/>
  <c r="I72" i="1"/>
  <c r="I73" i="1"/>
  <c r="I74" i="1"/>
  <c r="F76" i="1"/>
  <c r="F74" i="1"/>
  <c r="F72" i="1"/>
  <c r="F71" i="1"/>
  <c r="F68" i="1"/>
  <c r="I65" i="1"/>
  <c r="I64" i="1"/>
  <c r="I63" i="1"/>
  <c r="I62" i="1"/>
  <c r="J62" i="1" s="1"/>
  <c r="I52" i="1"/>
  <c r="I51" i="1"/>
  <c r="I41" i="1"/>
  <c r="J41" i="1" s="1"/>
  <c r="I40" i="1"/>
  <c r="I39" i="1"/>
  <c r="J39" i="1" s="1"/>
  <c r="I38" i="1"/>
  <c r="I29" i="1"/>
  <c r="I28" i="1"/>
  <c r="I26" i="1"/>
  <c r="J26" i="1" s="1"/>
  <c r="J90" i="1" l="1"/>
  <c r="J138" i="1"/>
  <c r="K138" i="1" s="1"/>
  <c r="K63" i="1"/>
  <c r="K64" i="1"/>
  <c r="J74" i="1"/>
  <c r="K74" i="1" s="1"/>
  <c r="K65" i="1"/>
  <c r="J72" i="1"/>
  <c r="J139" i="1"/>
  <c r="J71" i="1"/>
  <c r="K71" i="1" s="1"/>
  <c r="M86" i="2"/>
  <c r="K86" i="2"/>
  <c r="N60" i="2"/>
  <c r="N76" i="2"/>
  <c r="N22" i="2"/>
  <c r="N72" i="2"/>
  <c r="L34" i="2"/>
  <c r="M34" i="2" s="1"/>
  <c r="N34" i="2"/>
  <c r="L76" i="2"/>
  <c r="M76" i="2" s="1"/>
  <c r="L72" i="2"/>
  <c r="M72" i="2" s="1"/>
  <c r="N45" i="2"/>
  <c r="L22" i="2"/>
  <c r="M22" i="2" s="1"/>
  <c r="N79" i="2"/>
  <c r="L79" i="2"/>
  <c r="M79" i="2" s="1"/>
  <c r="L52" i="2"/>
  <c r="M52" i="2" s="1"/>
  <c r="N18" i="2"/>
  <c r="N64" i="2"/>
  <c r="N56" i="2"/>
  <c r="L56" i="2"/>
  <c r="M56" i="2" s="1"/>
  <c r="L64" i="2"/>
  <c r="M64" i="2" s="1"/>
  <c r="L45" i="2"/>
  <c r="M45" i="2" s="1"/>
  <c r="N26" i="2"/>
  <c r="N68" i="2"/>
  <c r="L18" i="2"/>
  <c r="M18" i="2" s="1"/>
  <c r="L68" i="2"/>
  <c r="M68" i="2" s="1"/>
  <c r="L26" i="2"/>
  <c r="M26" i="2" s="1"/>
  <c r="N52" i="2"/>
  <c r="K39" i="2"/>
  <c r="N38" i="2" s="1"/>
  <c r="L38" i="2"/>
  <c r="M38" i="2" s="1"/>
  <c r="K30" i="2"/>
  <c r="N30" i="2" s="1"/>
  <c r="L30" i="2"/>
  <c r="M30" i="2" s="1"/>
  <c r="L42" i="2"/>
  <c r="M42" i="2" s="1"/>
  <c r="K42" i="2"/>
  <c r="N42" i="2" s="1"/>
  <c r="K129" i="1"/>
  <c r="J128" i="1"/>
  <c r="K128" i="1" s="1"/>
  <c r="J127" i="1"/>
  <c r="K127" i="1" s="1"/>
  <c r="J117" i="1"/>
  <c r="K117" i="1" s="1"/>
  <c r="J91" i="1"/>
  <c r="K91" i="1" s="1"/>
  <c r="J38" i="1"/>
  <c r="K39" i="1"/>
  <c r="J40" i="1"/>
  <c r="K40" i="1" s="1"/>
  <c r="K41" i="1"/>
  <c r="J73" i="1"/>
  <c r="K73" i="1" s="1"/>
  <c r="J114" i="1"/>
  <c r="K114" i="1" s="1"/>
  <c r="K116" i="1"/>
  <c r="K126" i="1"/>
  <c r="J92" i="1"/>
  <c r="K92" i="1" s="1"/>
  <c r="J115" i="1"/>
  <c r="K115" i="1" s="1"/>
  <c r="J93" i="1"/>
  <c r="K93" i="1" s="1"/>
  <c r="L102" i="1"/>
  <c r="M102" i="1" s="1"/>
  <c r="K102" i="1"/>
  <c r="N102" i="1" s="1"/>
  <c r="K90" i="1"/>
  <c r="J50" i="1"/>
  <c r="J52" i="1"/>
  <c r="K52" i="1" s="1"/>
  <c r="J27" i="1"/>
  <c r="K27" i="1" s="1"/>
  <c r="J29" i="1"/>
  <c r="K29" i="1" s="1"/>
  <c r="J51" i="1"/>
  <c r="K51" i="1" s="1"/>
  <c r="J53" i="1"/>
  <c r="K53" i="1" s="1"/>
  <c r="L62" i="1"/>
  <c r="M62" i="1" s="1"/>
  <c r="K62" i="1"/>
  <c r="N62" i="1" s="1"/>
  <c r="J28" i="1"/>
  <c r="K28" i="1" s="1"/>
  <c r="K38" i="1"/>
  <c r="K26" i="1"/>
  <c r="N38" i="1" l="1"/>
  <c r="K139" i="1"/>
  <c r="L38" i="1"/>
  <c r="M38" i="1" s="1"/>
  <c r="K72" i="1"/>
  <c r="N72" i="1" s="1"/>
  <c r="L72" i="1"/>
  <c r="O72" i="2"/>
  <c r="O34" i="2"/>
  <c r="O52" i="2"/>
  <c r="O56" i="2"/>
  <c r="O30" i="2"/>
  <c r="O38" i="2"/>
  <c r="O68" i="2"/>
  <c r="O64" i="2"/>
  <c r="O22" i="2"/>
  <c r="O18" i="2"/>
  <c r="L126" i="1"/>
  <c r="M126" i="1" s="1"/>
  <c r="N126" i="1"/>
  <c r="L50" i="1"/>
  <c r="M50" i="1" s="1"/>
  <c r="L90" i="1"/>
  <c r="M90" i="1" s="1"/>
  <c r="N90" i="1"/>
  <c r="L114" i="1"/>
  <c r="M114" i="1" s="1"/>
  <c r="N114" i="1"/>
  <c r="K50" i="1"/>
  <c r="N50" i="1" s="1"/>
  <c r="L26" i="1"/>
  <c r="M26" i="1" s="1"/>
  <c r="N26" i="1"/>
  <c r="I153" i="1"/>
  <c r="J153" i="1" s="1"/>
  <c r="E150" i="1"/>
  <c r="I150" i="1" s="1"/>
  <c r="J150" i="1" s="1"/>
  <c r="E152" i="1"/>
  <c r="I152" i="1" s="1"/>
  <c r="J152" i="1" s="1"/>
  <c r="E153" i="1"/>
  <c r="E156" i="1"/>
  <c r="I156" i="1" s="1"/>
  <c r="J156" i="1" s="1"/>
  <c r="E157" i="1"/>
  <c r="I157" i="1" s="1"/>
  <c r="J157" i="1" s="1"/>
  <c r="E147" i="1"/>
  <c r="I147" i="1" s="1"/>
  <c r="J147" i="1" s="1"/>
  <c r="I137" i="1"/>
  <c r="I134" i="1"/>
  <c r="F134" i="1"/>
  <c r="I131" i="1"/>
  <c r="J131" i="1" s="1"/>
  <c r="K131" i="1" s="1"/>
  <c r="I140" i="1"/>
  <c r="F140" i="1"/>
  <c r="I125" i="1"/>
  <c r="I124" i="1"/>
  <c r="I123" i="1"/>
  <c r="I122" i="1"/>
  <c r="I113" i="1"/>
  <c r="J113" i="1" s="1"/>
  <c r="I112" i="1"/>
  <c r="I111" i="1"/>
  <c r="I110" i="1"/>
  <c r="F94" i="1"/>
  <c r="F95" i="1"/>
  <c r="F96" i="1"/>
  <c r="F97" i="1"/>
  <c r="I101" i="1"/>
  <c r="I100" i="1"/>
  <c r="J100" i="1" s="1"/>
  <c r="K100" i="1" s="1"/>
  <c r="I99" i="1"/>
  <c r="J99" i="1" s="1"/>
  <c r="K99" i="1" s="1"/>
  <c r="I98" i="1"/>
  <c r="J98" i="1" s="1"/>
  <c r="I89" i="1"/>
  <c r="J89" i="1" s="1"/>
  <c r="I88" i="1"/>
  <c r="J88" i="1" s="1"/>
  <c r="I87" i="1"/>
  <c r="J87" i="1" s="1"/>
  <c r="I86" i="1"/>
  <c r="J86" i="1" s="1"/>
  <c r="I77" i="1"/>
  <c r="F77" i="1"/>
  <c r="F70" i="1"/>
  <c r="J70" i="1" s="1"/>
  <c r="K70" i="1" s="1"/>
  <c r="I67" i="1"/>
  <c r="F67" i="1"/>
  <c r="I75" i="1"/>
  <c r="F75" i="1"/>
  <c r="I61" i="1"/>
  <c r="I60" i="1"/>
  <c r="I59" i="1"/>
  <c r="I58" i="1"/>
  <c r="J58" i="1" s="1"/>
  <c r="I49" i="1"/>
  <c r="I48" i="1"/>
  <c r="I47" i="1"/>
  <c r="I46" i="1"/>
  <c r="I37" i="1"/>
  <c r="I36" i="1"/>
  <c r="I35" i="1"/>
  <c r="I34" i="1"/>
  <c r="J34" i="1" s="1"/>
  <c r="I25" i="1"/>
  <c r="I24" i="1"/>
  <c r="I23" i="1"/>
  <c r="I22" i="1"/>
  <c r="J59" i="1" l="1"/>
  <c r="K59" i="1" s="1"/>
  <c r="J60" i="1"/>
  <c r="K60" i="1" s="1"/>
  <c r="J101" i="1"/>
  <c r="L98" i="1" s="1"/>
  <c r="M98" i="1" s="1"/>
  <c r="K61" i="1"/>
  <c r="J61" i="1"/>
  <c r="J125" i="1"/>
  <c r="K125" i="1" s="1"/>
  <c r="J124" i="1"/>
  <c r="K124" i="1" s="1"/>
  <c r="J123" i="1"/>
  <c r="K123" i="1" s="1"/>
  <c r="J122" i="1"/>
  <c r="K122" i="1" s="1"/>
  <c r="J36" i="1"/>
  <c r="J37" i="1"/>
  <c r="K37" i="1" s="1"/>
  <c r="J35" i="1"/>
  <c r="K35" i="1" s="1"/>
  <c r="J75" i="1"/>
  <c r="J140" i="1"/>
  <c r="J137" i="1"/>
  <c r="K137" i="1" s="1"/>
  <c r="J134" i="1"/>
  <c r="K134" i="1" s="1"/>
  <c r="J77" i="1"/>
  <c r="K77" i="1" s="1"/>
  <c r="J67" i="1"/>
  <c r="K67" i="1" s="1"/>
  <c r="K113" i="1"/>
  <c r="J112" i="1"/>
  <c r="K112" i="1" s="1"/>
  <c r="J111" i="1"/>
  <c r="K111" i="1" s="1"/>
  <c r="J110" i="1"/>
  <c r="K110" i="1" s="1"/>
  <c r="K98" i="1"/>
  <c r="K89" i="1"/>
  <c r="K88" i="1"/>
  <c r="K87" i="1"/>
  <c r="L58" i="1"/>
  <c r="M58" i="1" s="1"/>
  <c r="K58" i="1"/>
  <c r="J49" i="1"/>
  <c r="K49" i="1" s="1"/>
  <c r="J48" i="1"/>
  <c r="K48" i="1" s="1"/>
  <c r="J47" i="1"/>
  <c r="K47" i="1" s="1"/>
  <c r="J46" i="1"/>
  <c r="K46" i="1" s="1"/>
  <c r="K34" i="1"/>
  <c r="J25" i="1"/>
  <c r="K25" i="1" s="1"/>
  <c r="J24" i="1"/>
  <c r="K24" i="1" s="1"/>
  <c r="J23" i="1"/>
  <c r="K23" i="1" s="1"/>
  <c r="J22" i="1"/>
  <c r="K22" i="1" s="1"/>
  <c r="I42" i="1"/>
  <c r="K101" i="1" l="1"/>
  <c r="N98" i="1"/>
  <c r="L34" i="1"/>
  <c r="M34" i="1" s="1"/>
  <c r="K140" i="1"/>
  <c r="N58" i="1"/>
  <c r="K75" i="1"/>
  <c r="N75" i="1" s="1"/>
  <c r="L75" i="1"/>
  <c r="M75" i="1" s="1"/>
  <c r="N122" i="1"/>
  <c r="L122" i="1"/>
  <c r="M122" i="1" s="1"/>
  <c r="K36" i="1"/>
  <c r="N34" i="1"/>
  <c r="N110" i="1"/>
  <c r="L110" i="1"/>
  <c r="M110" i="1" s="1"/>
  <c r="L86" i="1"/>
  <c r="M86" i="1" s="1"/>
  <c r="K86" i="1"/>
  <c r="N86" i="1" s="1"/>
  <c r="L46" i="1"/>
  <c r="M46" i="1" s="1"/>
  <c r="N46" i="1"/>
  <c r="L22" i="1"/>
  <c r="M22" i="1" s="1"/>
  <c r="N22" i="1"/>
  <c r="E149" i="1"/>
  <c r="I149" i="1" s="1"/>
  <c r="J149" i="1" s="1"/>
  <c r="E146" i="1"/>
  <c r="I146" i="1" s="1"/>
  <c r="K146" i="1" s="1"/>
  <c r="L146" i="1" s="1"/>
  <c r="F141" i="1"/>
  <c r="F133" i="1"/>
  <c r="F69" i="1"/>
  <c r="J69" i="1" s="1"/>
  <c r="J42" i="1"/>
  <c r="O62" i="1" l="1"/>
  <c r="K69" i="1"/>
  <c r="N69" i="1" s="1"/>
  <c r="L69" i="1"/>
  <c r="O58" i="1"/>
  <c r="I106" i="1"/>
  <c r="I107" i="1"/>
  <c r="I108" i="1"/>
  <c r="I109" i="1"/>
  <c r="J109" i="1" s="1"/>
  <c r="I94" i="1"/>
  <c r="I95" i="1"/>
  <c r="F82" i="1"/>
  <c r="I84" i="1"/>
  <c r="J84" i="1" s="1"/>
  <c r="F66" i="1"/>
  <c r="J108" i="1" l="1"/>
  <c r="J95" i="1"/>
  <c r="J107" i="1"/>
  <c r="K107" i="1" s="1"/>
  <c r="J94" i="1"/>
  <c r="J106" i="1"/>
  <c r="I141" i="1"/>
  <c r="I136" i="1"/>
  <c r="I133" i="1"/>
  <c r="I130" i="1"/>
  <c r="I121" i="1"/>
  <c r="J121" i="1" s="1"/>
  <c r="I120" i="1"/>
  <c r="J120" i="1" s="1"/>
  <c r="I119" i="1"/>
  <c r="J119" i="1" s="1"/>
  <c r="I118" i="1"/>
  <c r="J118" i="1" s="1"/>
  <c r="I97" i="1"/>
  <c r="J97" i="1" s="1"/>
  <c r="K97" i="1" s="1"/>
  <c r="I96" i="1"/>
  <c r="I85" i="1"/>
  <c r="K84" i="1"/>
  <c r="I83" i="1"/>
  <c r="J83" i="1" s="1"/>
  <c r="K83" i="1" s="1"/>
  <c r="I82" i="1"/>
  <c r="I30" i="1"/>
  <c r="J30" i="1" s="1"/>
  <c r="I31" i="1"/>
  <c r="J31" i="1" s="1"/>
  <c r="I32" i="1"/>
  <c r="J32" i="1" s="1"/>
  <c r="I33" i="1"/>
  <c r="J33" i="1" s="1"/>
  <c r="K42" i="1"/>
  <c r="I43" i="1"/>
  <c r="J43" i="1" s="1"/>
  <c r="K43" i="1" s="1"/>
  <c r="I44" i="1"/>
  <c r="I45" i="1"/>
  <c r="I54" i="1"/>
  <c r="J54" i="1" s="1"/>
  <c r="I55" i="1"/>
  <c r="J55" i="1" s="1"/>
  <c r="I56" i="1"/>
  <c r="J56" i="1" s="1"/>
  <c r="I57" i="1"/>
  <c r="I66" i="1"/>
  <c r="I19" i="1"/>
  <c r="I20" i="1"/>
  <c r="J20" i="1" s="1"/>
  <c r="K20" i="1" s="1"/>
  <c r="I21" i="1"/>
  <c r="I18" i="1"/>
  <c r="J18" i="1" s="1"/>
  <c r="J57" i="1" l="1"/>
  <c r="K57" i="1" s="1"/>
  <c r="M69" i="1"/>
  <c r="J96" i="1"/>
  <c r="K96" i="1" s="1"/>
  <c r="K56" i="1"/>
  <c r="J19" i="1"/>
  <c r="L18" i="1" s="1"/>
  <c r="M18" i="1" s="1"/>
  <c r="J21" i="1"/>
  <c r="K21" i="1" s="1"/>
  <c r="J45" i="1"/>
  <c r="K45" i="1" s="1"/>
  <c r="K32" i="1"/>
  <c r="K18" i="1"/>
  <c r="K33" i="1"/>
  <c r="J133" i="1"/>
  <c r="L133" i="1" s="1"/>
  <c r="J85" i="1"/>
  <c r="K85" i="1" s="1"/>
  <c r="K54" i="1"/>
  <c r="K119" i="1"/>
  <c r="K55" i="1"/>
  <c r="K31" i="1"/>
  <c r="K109" i="1"/>
  <c r="J141" i="1"/>
  <c r="L139" i="1" s="1"/>
  <c r="J146" i="1"/>
  <c r="J136" i="1"/>
  <c r="L136" i="1" s="1"/>
  <c r="K120" i="1"/>
  <c r="J130" i="1"/>
  <c r="K108" i="1"/>
  <c r="K95" i="1"/>
  <c r="J82" i="1"/>
  <c r="K82" i="1" s="1"/>
  <c r="K94" i="1"/>
  <c r="K118" i="1"/>
  <c r="K106" i="1"/>
  <c r="J66" i="1"/>
  <c r="L66" i="1" s="1"/>
  <c r="J44" i="1"/>
  <c r="K44" i="1" s="1"/>
  <c r="L130" i="1" l="1"/>
  <c r="M130" i="1" s="1"/>
  <c r="O86" i="1" s="1"/>
  <c r="K136" i="1"/>
  <c r="N136" i="1" s="1"/>
  <c r="M136" i="1"/>
  <c r="K133" i="1"/>
  <c r="N133" i="1" s="1"/>
  <c r="M133" i="1"/>
  <c r="K141" i="1"/>
  <c r="N139" i="1" s="1"/>
  <c r="M139" i="1"/>
  <c r="L94" i="1"/>
  <c r="M94" i="1" s="1"/>
  <c r="M72" i="1"/>
  <c r="O34" i="1"/>
  <c r="K66" i="1"/>
  <c r="N66" i="1" s="1"/>
  <c r="M66" i="1"/>
  <c r="O18" i="1" s="1"/>
  <c r="K19" i="1"/>
  <c r="N18" i="1" s="1"/>
  <c r="N42" i="1"/>
  <c r="N82" i="1"/>
  <c r="L118" i="1"/>
  <c r="M118" i="1" s="1"/>
  <c r="L54" i="1"/>
  <c r="M54" i="1" s="1"/>
  <c r="O54" i="1" s="1"/>
  <c r="L42" i="1"/>
  <c r="M42" i="1" s="1"/>
  <c r="N54" i="1"/>
  <c r="K121" i="1"/>
  <c r="N118" i="1" s="1"/>
  <c r="M146" i="1"/>
  <c r="L30" i="1"/>
  <c r="M30" i="1" s="1"/>
  <c r="O30" i="1" s="1"/>
  <c r="N106" i="1"/>
  <c r="K130" i="1"/>
  <c r="N130" i="1" s="1"/>
  <c r="L106" i="1"/>
  <c r="M106" i="1" s="1"/>
  <c r="N94" i="1"/>
  <c r="L82" i="1"/>
  <c r="M82" i="1" s="1"/>
  <c r="K30" i="1"/>
  <c r="N30" i="1" s="1"/>
  <c r="O50" i="1" l="1"/>
  <c r="O114" i="1"/>
  <c r="O126" i="1"/>
  <c r="O82" i="1"/>
  <c r="O122" i="1"/>
  <c r="O118" i="1"/>
  <c r="O98" i="1"/>
  <c r="O94" i="1"/>
  <c r="O110" i="1"/>
  <c r="O106" i="1"/>
  <c r="O22" i="1"/>
  <c r="O46" i="1"/>
  <c r="O42" i="1"/>
</calcChain>
</file>

<file path=xl/sharedStrings.xml><?xml version="1.0" encoding="utf-8"?>
<sst xmlns="http://schemas.openxmlformats.org/spreadsheetml/2006/main" count="518" uniqueCount="254">
  <si>
    <t>Test Conditions: Ambient</t>
  </si>
  <si>
    <t>Light Source: Hg UVC (Intensity cut with Plastic Lid)</t>
  </si>
  <si>
    <t>Sample #</t>
  </si>
  <si>
    <t>Dilution</t>
  </si>
  <si>
    <t xml:space="preserve">Plate 1 </t>
  </si>
  <si>
    <t>Plate 2</t>
  </si>
  <si>
    <t>Average</t>
  </si>
  <si>
    <t>CFU/panel</t>
  </si>
  <si>
    <t>Log</t>
  </si>
  <si>
    <t>Average CFU</t>
  </si>
  <si>
    <t>Average Log</t>
  </si>
  <si>
    <t>SD</t>
  </si>
  <si>
    <t>Time Point</t>
  </si>
  <si>
    <t>Description</t>
  </si>
  <si>
    <t>Test</t>
  </si>
  <si>
    <t>Procedural Blanks</t>
  </si>
  <si>
    <t>Positive Control</t>
  </si>
  <si>
    <t>Filter</t>
  </si>
  <si>
    <t>--</t>
  </si>
  <si>
    <t>Average Log Red.</t>
  </si>
  <si>
    <t>Coupon Type</t>
  </si>
  <si>
    <t>Wood</t>
  </si>
  <si>
    <t>Glass</t>
  </si>
  <si>
    <t>Carpet</t>
  </si>
  <si>
    <t>Laminate</t>
  </si>
  <si>
    <t>LA87</t>
  </si>
  <si>
    <t>LA88</t>
  </si>
  <si>
    <t>Date:  __December 14, 2018_</t>
  </si>
  <si>
    <t>Run Number: 1</t>
  </si>
  <si>
    <r>
      <t>Task Objective</t>
    </r>
    <r>
      <rPr>
        <sz val="14"/>
        <color theme="1"/>
        <rFont val="Arial"/>
        <family val="2"/>
      </rPr>
      <t xml:space="preserve">:  Comparative sensitivity of deposited spores of </t>
    </r>
    <r>
      <rPr>
        <i/>
        <sz val="14"/>
        <color theme="1"/>
        <rFont val="Arial"/>
        <family val="2"/>
      </rPr>
      <t>Bacillus Globigii and Bacillus Anthracis Ames</t>
    </r>
    <r>
      <rPr>
        <sz val="14"/>
        <color theme="1"/>
        <rFont val="Arial"/>
        <family val="2"/>
      </rPr>
      <t xml:space="preserve"> to UV-C</t>
    </r>
  </si>
  <si>
    <t>Date Coupons Inoculated: 12/10/2018</t>
  </si>
  <si>
    <t>Coupon Type:  Glass, Wood, Carpet and Laminate (1.5x1.5-cm)</t>
  </si>
  <si>
    <t>Performers: VR, SH, MZ</t>
  </si>
  <si>
    <r>
      <t xml:space="preserve">Organism: </t>
    </r>
    <r>
      <rPr>
        <i/>
        <sz val="12"/>
        <color theme="1"/>
        <rFont val="Arial"/>
        <family val="2"/>
      </rPr>
      <t xml:space="preserve">Bacillus globigii </t>
    </r>
    <r>
      <rPr>
        <sz val="12"/>
        <color theme="1"/>
        <rFont val="Arial"/>
        <family val="2"/>
      </rPr>
      <t>and</t>
    </r>
    <r>
      <rPr>
        <i/>
        <sz val="12"/>
        <color theme="1"/>
        <rFont val="Arial"/>
        <family val="2"/>
      </rPr>
      <t xml:space="preserve"> Bacillus anthracis ames</t>
    </r>
  </si>
  <si>
    <t>Dates Plates Read: 12/12/2018, 12/13/2018</t>
  </si>
  <si>
    <t>Dates Plating Done: 12/11/2018, 12/12/2018</t>
  </si>
  <si>
    <t>Dates Experiment Performed: 12/11/2018, 12/12/2018</t>
  </si>
  <si>
    <t xml:space="preserve">UVC Intensity (initial): </t>
  </si>
  <si>
    <t xml:space="preserve">UVC Intensity (final): </t>
  </si>
  <si>
    <t>RH (final):  59.28%, 62.35%</t>
  </si>
  <si>
    <r>
      <t xml:space="preserve">Temp (final):  74.08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F, 72.92 ºF</t>
    </r>
  </si>
  <si>
    <t>WGL1</t>
  </si>
  <si>
    <t>WGL2</t>
  </si>
  <si>
    <t>WGL3</t>
  </si>
  <si>
    <t>WGL4</t>
  </si>
  <si>
    <t>WGL5</t>
  </si>
  <si>
    <t>WGL6</t>
  </si>
  <si>
    <t>WGL7</t>
  </si>
  <si>
    <t>WGL8</t>
  </si>
  <si>
    <t>WGL9</t>
  </si>
  <si>
    <t>WGL10</t>
  </si>
  <si>
    <t>WGL11</t>
  </si>
  <si>
    <t>WGL12</t>
  </si>
  <si>
    <t>2 hours</t>
  </si>
  <si>
    <t>4 hours</t>
  </si>
  <si>
    <t>8 hours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</si>
  <si>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</si>
  <si>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</si>
  <si>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</si>
  <si>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</si>
  <si>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</si>
  <si>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</si>
  <si>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</si>
  <si>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</si>
  <si>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</si>
  <si>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</si>
  <si>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</si>
  <si>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</si>
  <si>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B.g. Coupons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</si>
  <si>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</si>
  <si>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</si>
  <si>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</si>
  <si>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</si>
  <si>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</si>
  <si>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</si>
  <si>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</si>
  <si>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</si>
  <si>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</si>
  <si>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</si>
  <si>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GG35</t>
  </si>
  <si>
    <t>GG36</t>
  </si>
  <si>
    <t>LG37</t>
  </si>
  <si>
    <t>LG38</t>
  </si>
  <si>
    <t>LG39</t>
  </si>
  <si>
    <t>LG40</t>
  </si>
  <si>
    <t>LG41</t>
  </si>
  <si>
    <t>LG42</t>
  </si>
  <si>
    <t>LG43</t>
  </si>
  <si>
    <t>LG44</t>
  </si>
  <si>
    <t>LG45</t>
  </si>
  <si>
    <t>LG46</t>
  </si>
  <si>
    <t>LG47</t>
  </si>
  <si>
    <t>LG48</t>
  </si>
  <si>
    <t>WG109</t>
  </si>
  <si>
    <t>WG110</t>
  </si>
  <si>
    <t>WG111</t>
  </si>
  <si>
    <t>GG112</t>
  </si>
  <si>
    <t>GG113</t>
  </si>
  <si>
    <t>GG114</t>
  </si>
  <si>
    <t>CG115</t>
  </si>
  <si>
    <t>CG116</t>
  </si>
  <si>
    <t>CG117</t>
  </si>
  <si>
    <t>LG118</t>
  </si>
  <si>
    <t>LG119</t>
  </si>
  <si>
    <t>LG120</t>
  </si>
  <si>
    <t>B.a. Ames Coupons</t>
  </si>
  <si>
    <t>WA49</t>
  </si>
  <si>
    <t>WA50</t>
  </si>
  <si>
    <t>WA51</t>
  </si>
  <si>
    <t>WA52</t>
  </si>
  <si>
    <t>WA53</t>
  </si>
  <si>
    <t>WA54</t>
  </si>
  <si>
    <t>WA55</t>
  </si>
  <si>
    <t>WA56</t>
  </si>
  <si>
    <t>WA57</t>
  </si>
  <si>
    <t>WA58</t>
  </si>
  <si>
    <t>WA59</t>
  </si>
  <si>
    <t>WA60</t>
  </si>
  <si>
    <t>GA61</t>
  </si>
  <si>
    <t>GA62</t>
  </si>
  <si>
    <t>GA63</t>
  </si>
  <si>
    <t>GA64</t>
  </si>
  <si>
    <t>GA65</t>
  </si>
  <si>
    <t>GA66</t>
  </si>
  <si>
    <t>GA67</t>
  </si>
  <si>
    <t>GA68</t>
  </si>
  <si>
    <t>GA69</t>
  </si>
  <si>
    <t>GA70</t>
  </si>
  <si>
    <t>GA71</t>
  </si>
  <si>
    <t>GA72</t>
  </si>
  <si>
    <t>CA73</t>
  </si>
  <si>
    <t>CA74</t>
  </si>
  <si>
    <t>CA75</t>
  </si>
  <si>
    <t>CA76</t>
  </si>
  <si>
    <t>CA77</t>
  </si>
  <si>
    <t>CA78</t>
  </si>
  <si>
    <t>CA79</t>
  </si>
  <si>
    <t>CA80</t>
  </si>
  <si>
    <t>CA81</t>
  </si>
  <si>
    <t>CA82</t>
  </si>
  <si>
    <t>CA83</t>
  </si>
  <si>
    <t>CA84</t>
  </si>
  <si>
    <t>LA85</t>
  </si>
  <si>
    <t>LA86</t>
  </si>
  <si>
    <t>LA89</t>
  </si>
  <si>
    <t>LA90</t>
  </si>
  <si>
    <t>LA91</t>
  </si>
  <si>
    <t>LA92</t>
  </si>
  <si>
    <t>LA93</t>
  </si>
  <si>
    <t>LA94</t>
  </si>
  <si>
    <t>LA95</t>
  </si>
  <si>
    <t>LA96</t>
  </si>
  <si>
    <t>WA121</t>
  </si>
  <si>
    <t>WA122</t>
  </si>
  <si>
    <t>WA123</t>
  </si>
  <si>
    <t>GA124</t>
  </si>
  <si>
    <t>GA125</t>
  </si>
  <si>
    <t>GA126</t>
  </si>
  <si>
    <t>CA127</t>
  </si>
  <si>
    <t>CA128</t>
  </si>
  <si>
    <t>CA129</t>
  </si>
  <si>
    <t>LA130</t>
  </si>
  <si>
    <t>LA131</t>
  </si>
  <si>
    <t>LA132</t>
  </si>
  <si>
    <t>W-97</t>
  </si>
  <si>
    <t>W-98</t>
  </si>
  <si>
    <t>W-99</t>
  </si>
  <si>
    <t>G-100</t>
  </si>
  <si>
    <t>G-101</t>
  </si>
  <si>
    <t>G-102</t>
  </si>
  <si>
    <t>C-103</t>
  </si>
  <si>
    <t>C-104</t>
  </si>
  <si>
    <t>C-105</t>
  </si>
  <si>
    <t>L-106</t>
  </si>
  <si>
    <t>L-107</t>
  </si>
  <si>
    <t>L-108</t>
  </si>
  <si>
    <t>Date:  __December 27, 2018_</t>
  </si>
  <si>
    <t>Run Number: 2</t>
  </si>
  <si>
    <t>Date Coupons Inoculated: 12/18/2018</t>
  </si>
  <si>
    <t>Coupon Type:  Glass and Laminate (1.5x1.5-cm)</t>
  </si>
  <si>
    <t>Test Conditions: High Humidity</t>
  </si>
  <si>
    <t>Dates Experiment Performed: 12/19/2018, 12/20/2018</t>
  </si>
  <si>
    <t>Dates Plating Done: 12/19/2018, 12/20/2018</t>
  </si>
  <si>
    <t>Dates Plates Read: 12/20/2018, 12/21/2018</t>
  </si>
  <si>
    <t>Positive Controls</t>
  </si>
  <si>
    <t>GG1</t>
  </si>
  <si>
    <t>GG2</t>
  </si>
  <si>
    <t>GG3</t>
  </si>
  <si>
    <t>GG4</t>
  </si>
  <si>
    <t>GG5</t>
  </si>
  <si>
    <t>GG6</t>
  </si>
  <si>
    <t>GG7</t>
  </si>
  <si>
    <t>GG8</t>
  </si>
  <si>
    <t>GG9</t>
  </si>
  <si>
    <t>GG10</t>
  </si>
  <si>
    <t>GG11</t>
  </si>
  <si>
    <t>GG12</t>
  </si>
  <si>
    <t>LG13</t>
  </si>
  <si>
    <t>LG14</t>
  </si>
  <si>
    <t>LG15</t>
  </si>
  <si>
    <t>LG16</t>
  </si>
  <si>
    <t>LG17</t>
  </si>
  <si>
    <t>LG18</t>
  </si>
  <si>
    <t>LG19</t>
  </si>
  <si>
    <t>LG20</t>
  </si>
  <si>
    <t>LG21</t>
  </si>
  <si>
    <t>LG22</t>
  </si>
  <si>
    <t>LG23</t>
  </si>
  <si>
    <t>LG24</t>
  </si>
  <si>
    <t>GG55</t>
  </si>
  <si>
    <t>GG56</t>
  </si>
  <si>
    <t>GG57</t>
  </si>
  <si>
    <t>LG58</t>
  </si>
  <si>
    <t>LG59</t>
  </si>
  <si>
    <t>LG60</t>
  </si>
  <si>
    <t>GA25</t>
  </si>
  <si>
    <t>GA26</t>
  </si>
  <si>
    <t>GA27</t>
  </si>
  <si>
    <t>GA28</t>
  </si>
  <si>
    <t>GA29</t>
  </si>
  <si>
    <t>GA30</t>
  </si>
  <si>
    <t>GA31</t>
  </si>
  <si>
    <t>GA32</t>
  </si>
  <si>
    <t>GA33</t>
  </si>
  <si>
    <t>GA34</t>
  </si>
  <si>
    <t>GA35</t>
  </si>
  <si>
    <t>GA36</t>
  </si>
  <si>
    <t>LA37</t>
  </si>
  <si>
    <t>LA38</t>
  </si>
  <si>
    <t>LA39</t>
  </si>
  <si>
    <t>LA40</t>
  </si>
  <si>
    <t>LA41</t>
  </si>
  <si>
    <t>LA42</t>
  </si>
  <si>
    <t>LA43</t>
  </si>
  <si>
    <t>LA44</t>
  </si>
  <si>
    <t>LA45</t>
  </si>
  <si>
    <t>LA46</t>
  </si>
  <si>
    <t>LA47</t>
  </si>
  <si>
    <t>LA48</t>
  </si>
  <si>
    <t>LA64</t>
  </si>
  <si>
    <t>LA65</t>
  </si>
  <si>
    <t>LA66</t>
  </si>
  <si>
    <t>G-49</t>
  </si>
  <si>
    <t>G-50</t>
  </si>
  <si>
    <t>G-51</t>
  </si>
  <si>
    <t>L-52</t>
  </si>
  <si>
    <t>L-53</t>
  </si>
  <si>
    <t>L-54</t>
  </si>
  <si>
    <r>
      <t xml:space="preserve">Temp (Initial): 68.98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F, 70.37 ºF</t>
    </r>
  </si>
  <si>
    <t>RH (initial):  65.37%, 70.82%</t>
  </si>
  <si>
    <r>
      <t xml:space="preserve">Temp (final):  74.62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F, 72.46 ºF</t>
    </r>
  </si>
  <si>
    <t>RH (final):  65.91%, 69.09%</t>
  </si>
  <si>
    <r>
      <t>Temp (Initial): 70.22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F, 68.91 ºF</t>
    </r>
  </si>
  <si>
    <t>RH (initial):  55.48%, 59.59%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</si>
</sst>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6" borderId="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2" fontId="2" fillId="6" borderId="1" xfId="0" applyNumberFormat="1" applyFont="1" applyFill="1" applyBorder="1"/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/>
    </xf>
    <xf numFmtId="0" fontId="2" fillId="6" borderId="12" xfId="0" applyFont="1" applyFill="1" applyBorder="1"/>
    <xf numFmtId="2" fontId="2" fillId="6" borderId="12" xfId="0" applyNumberFormat="1" applyFont="1" applyFill="1" applyBorder="1"/>
    <xf numFmtId="0" fontId="8" fillId="0" borderId="0" xfId="0" applyFo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/>
    <xf numFmtId="2" fontId="2" fillId="2" borderId="16" xfId="0" applyNumberFormat="1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/>
    <xf numFmtId="2" fontId="2" fillId="2" borderId="12" xfId="0" applyNumberFormat="1" applyFont="1" applyFill="1" applyBorder="1"/>
    <xf numFmtId="0" fontId="2" fillId="7" borderId="15" xfId="0" applyFont="1" applyFill="1" applyBorder="1" applyAlignment="1">
      <alignment horizontal="center" vertical="center"/>
    </xf>
    <xf numFmtId="11" fontId="2" fillId="7" borderId="16" xfId="0" applyNumberFormat="1" applyFont="1" applyFill="1" applyBorder="1"/>
    <xf numFmtId="0" fontId="2" fillId="7" borderId="16" xfId="0" applyFont="1" applyFill="1" applyBorder="1"/>
    <xf numFmtId="2" fontId="2" fillId="7" borderId="16" xfId="0" applyNumberFormat="1" applyFont="1" applyFill="1" applyBorder="1"/>
    <xf numFmtId="0" fontId="2" fillId="7" borderId="9" xfId="0" applyFont="1" applyFill="1" applyBorder="1" applyAlignment="1">
      <alignment horizontal="center" vertical="center"/>
    </xf>
    <xf numFmtId="11" fontId="2" fillId="7" borderId="1" xfId="0" applyNumberFormat="1" applyFont="1" applyFill="1" applyBorder="1"/>
    <xf numFmtId="0" fontId="2" fillId="7" borderId="1" xfId="0" applyFont="1" applyFill="1" applyBorder="1"/>
    <xf numFmtId="2" fontId="2" fillId="7" borderId="1" xfId="0" applyNumberFormat="1" applyFont="1" applyFill="1" applyBorder="1"/>
    <xf numFmtId="0" fontId="2" fillId="8" borderId="15" xfId="0" applyFont="1" applyFill="1" applyBorder="1" applyAlignment="1">
      <alignment horizontal="center" vertical="center"/>
    </xf>
    <xf numFmtId="2" fontId="2" fillId="8" borderId="16" xfId="0" applyNumberFormat="1" applyFont="1" applyFill="1" applyBorder="1"/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/>
    <xf numFmtId="2" fontId="2" fillId="8" borderId="1" xfId="0" applyNumberFormat="1" applyFont="1" applyFill="1" applyBorder="1"/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/>
    <xf numFmtId="2" fontId="2" fillId="8" borderId="12" xfId="0" applyNumberFormat="1" applyFont="1" applyFill="1" applyBorder="1"/>
    <xf numFmtId="0" fontId="2" fillId="9" borderId="15" xfId="0" applyFont="1" applyFill="1" applyBorder="1" applyAlignment="1">
      <alignment horizontal="center" vertical="center"/>
    </xf>
    <xf numFmtId="0" fontId="2" fillId="9" borderId="16" xfId="0" applyFont="1" applyFill="1" applyBorder="1"/>
    <xf numFmtId="0" fontId="2" fillId="9" borderId="16" xfId="0" quotePrefix="1" applyFont="1" applyFill="1" applyBorder="1" applyAlignment="1">
      <alignment horizontal="center"/>
    </xf>
    <xf numFmtId="2" fontId="2" fillId="9" borderId="16" xfId="0" applyNumberFormat="1" applyFont="1" applyFill="1" applyBorder="1"/>
    <xf numFmtId="0" fontId="2" fillId="9" borderId="9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2" fillId="9" borderId="1" xfId="0" quotePrefix="1" applyFont="1" applyFill="1" applyBorder="1" applyAlignment="1">
      <alignment horizontal="center"/>
    </xf>
    <xf numFmtId="2" fontId="2" fillId="9" borderId="1" xfId="0" applyNumberFormat="1" applyFont="1" applyFill="1" applyBorder="1"/>
    <xf numFmtId="0" fontId="2" fillId="9" borderId="12" xfId="0" applyFont="1" applyFill="1" applyBorder="1"/>
    <xf numFmtId="0" fontId="2" fillId="9" borderId="12" xfId="0" quotePrefix="1" applyFont="1" applyFill="1" applyBorder="1" applyAlignment="1">
      <alignment horizontal="center"/>
    </xf>
    <xf numFmtId="2" fontId="2" fillId="9" borderId="12" xfId="0" applyNumberFormat="1" applyFont="1" applyFill="1" applyBorder="1"/>
    <xf numFmtId="0" fontId="2" fillId="10" borderId="15" xfId="0" applyFont="1" applyFill="1" applyBorder="1" applyAlignment="1">
      <alignment horizontal="center" vertical="center"/>
    </xf>
    <xf numFmtId="0" fontId="2" fillId="10" borderId="16" xfId="0" applyFont="1" applyFill="1" applyBorder="1"/>
    <xf numFmtId="2" fontId="2" fillId="10" borderId="16" xfId="0" applyNumberFormat="1" applyFont="1" applyFill="1" applyBorder="1"/>
    <xf numFmtId="0" fontId="2" fillId="10" borderId="9" xfId="0" applyFont="1" applyFill="1" applyBorder="1" applyAlignment="1">
      <alignment horizontal="center" vertical="center"/>
    </xf>
    <xf numFmtId="11" fontId="2" fillId="10" borderId="1" xfId="0" applyNumberFormat="1" applyFont="1" applyFill="1" applyBorder="1"/>
    <xf numFmtId="0" fontId="2" fillId="10" borderId="1" xfId="0" applyFont="1" applyFill="1" applyBorder="1"/>
    <xf numFmtId="2" fontId="2" fillId="10" borderId="1" xfId="0" applyNumberFormat="1" applyFont="1" applyFill="1" applyBorder="1"/>
    <xf numFmtId="0" fontId="2" fillId="10" borderId="11" xfId="0" applyFont="1" applyFill="1" applyBorder="1" applyAlignment="1">
      <alignment horizontal="center" vertical="center"/>
    </xf>
    <xf numFmtId="11" fontId="2" fillId="10" borderId="12" xfId="0" applyNumberFormat="1" applyFont="1" applyFill="1" applyBorder="1"/>
    <xf numFmtId="0" fontId="2" fillId="7" borderId="11" xfId="0" applyFont="1" applyFill="1" applyBorder="1" applyAlignment="1">
      <alignment horizontal="center" vertical="center"/>
    </xf>
    <xf numFmtId="11" fontId="2" fillId="7" borderId="12" xfId="0" applyNumberFormat="1" applyFont="1" applyFill="1" applyBorder="1"/>
    <xf numFmtId="0" fontId="2" fillId="7" borderId="12" xfId="0" applyFont="1" applyFill="1" applyBorder="1"/>
    <xf numFmtId="2" fontId="2" fillId="7" borderId="12" xfId="0" applyNumberFormat="1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6" fillId="0" borderId="23" xfId="0" applyFont="1" applyBorder="1" applyAlignment="1">
      <alignment vertical="center" wrapText="1"/>
    </xf>
    <xf numFmtId="0" fontId="2" fillId="11" borderId="0" xfId="0" applyFont="1" applyFill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11" fontId="2" fillId="2" borderId="1" xfId="0" applyNumberFormat="1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2" fillId="7" borderId="2" xfId="0" applyFont="1" applyFill="1" applyBorder="1"/>
    <xf numFmtId="2" fontId="2" fillId="7" borderId="2" xfId="0" applyNumberFormat="1" applyFont="1" applyFill="1" applyBorder="1"/>
    <xf numFmtId="11" fontId="2" fillId="2" borderId="16" xfId="0" applyNumberFormat="1" applyFont="1" applyFill="1" applyBorder="1" applyAlignment="1">
      <alignment horizontal="center"/>
    </xf>
    <xf numFmtId="11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6" fillId="0" borderId="3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6" borderId="16" xfId="0" applyFont="1" applyFill="1" applyBorder="1"/>
    <xf numFmtId="2" fontId="2" fillId="6" borderId="16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center" vertical="center"/>
    </xf>
    <xf numFmtId="0" fontId="2" fillId="9" borderId="2" xfId="0" applyFont="1" applyFill="1" applyBorder="1"/>
    <xf numFmtId="0" fontId="2" fillId="9" borderId="2" xfId="0" quotePrefix="1" applyFont="1" applyFill="1" applyBorder="1" applyAlignment="1">
      <alignment horizontal="center"/>
    </xf>
    <xf numFmtId="2" fontId="2" fillId="9" borderId="2" xfId="0" applyNumberFormat="1" applyFont="1" applyFill="1" applyBorder="1"/>
    <xf numFmtId="11" fontId="6" fillId="2" borderId="16" xfId="0" applyNumberFormat="1" applyFont="1" applyFill="1" applyBorder="1" applyAlignment="1">
      <alignment horizontal="center"/>
    </xf>
    <xf numFmtId="11" fontId="6" fillId="2" borderId="1" xfId="0" applyNumberFormat="1" applyFont="1" applyFill="1" applyBorder="1" applyAlignment="1">
      <alignment horizontal="center"/>
    </xf>
    <xf numFmtId="0" fontId="2" fillId="2" borderId="16" xfId="0" quotePrefix="1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/>
    </xf>
    <xf numFmtId="11" fontId="2" fillId="11" borderId="4" xfId="0" applyNumberFormat="1" applyFont="1" applyFill="1" applyBorder="1" applyAlignment="1">
      <alignment horizontal="center"/>
    </xf>
    <xf numFmtId="0" fontId="2" fillId="11" borderId="4" xfId="0" applyFont="1" applyFill="1" applyBorder="1"/>
    <xf numFmtId="2" fontId="2" fillId="11" borderId="4" xfId="0" applyNumberFormat="1" applyFont="1" applyFill="1" applyBorder="1"/>
    <xf numFmtId="11" fontId="2" fillId="11" borderId="1" xfId="0" applyNumberFormat="1" applyFont="1" applyFill="1" applyBorder="1" applyAlignment="1">
      <alignment horizontal="center"/>
    </xf>
    <xf numFmtId="0" fontId="2" fillId="11" borderId="1" xfId="0" applyFont="1" applyFill="1" applyBorder="1"/>
    <xf numFmtId="2" fontId="2" fillId="11" borderId="1" xfId="0" applyNumberFormat="1" applyFont="1" applyFill="1" applyBorder="1"/>
    <xf numFmtId="11" fontId="2" fillId="11" borderId="12" xfId="0" applyNumberFormat="1" applyFont="1" applyFill="1" applyBorder="1" applyAlignment="1">
      <alignment horizontal="center"/>
    </xf>
    <xf numFmtId="0" fontId="2" fillId="11" borderId="12" xfId="0" applyFont="1" applyFill="1" applyBorder="1"/>
    <xf numFmtId="2" fontId="2" fillId="11" borderId="12" xfId="0" applyNumberFormat="1" applyFont="1" applyFill="1" applyBorder="1"/>
    <xf numFmtId="11" fontId="2" fillId="9" borderId="1" xfId="0" applyNumberFormat="1" applyFont="1" applyFill="1" applyBorder="1" applyAlignment="1">
      <alignment horizontal="center"/>
    </xf>
    <xf numFmtId="11" fontId="2" fillId="6" borderId="16" xfId="0" applyNumberFormat="1" applyFont="1" applyFill="1" applyBorder="1" applyAlignment="1">
      <alignment horizontal="center" vertical="center"/>
    </xf>
    <xf numFmtId="11" fontId="2" fillId="6" borderId="1" xfId="0" applyNumberFormat="1" applyFont="1" applyFill="1" applyBorder="1" applyAlignment="1">
      <alignment horizontal="center" vertical="center"/>
    </xf>
    <xf numFmtId="11" fontId="2" fillId="6" borderId="12" xfId="0" applyNumberFormat="1" applyFont="1" applyFill="1" applyBorder="1" applyAlignment="1">
      <alignment horizontal="center" vertical="center"/>
    </xf>
    <xf numFmtId="17" fontId="2" fillId="6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0" fontId="2" fillId="9" borderId="4" xfId="0" applyFont="1" applyFill="1" applyBorder="1"/>
    <xf numFmtId="0" fontId="2" fillId="9" borderId="4" xfId="0" quotePrefix="1" applyFont="1" applyFill="1" applyBorder="1" applyAlignment="1">
      <alignment horizontal="center"/>
    </xf>
    <xf numFmtId="2" fontId="2" fillId="9" borderId="4" xfId="0" applyNumberFormat="1" applyFont="1" applyFill="1" applyBorder="1"/>
    <xf numFmtId="0" fontId="2" fillId="9" borderId="11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11" fontId="2" fillId="10" borderId="4" xfId="0" applyNumberFormat="1" applyFont="1" applyFill="1" applyBorder="1"/>
    <xf numFmtId="0" fontId="2" fillId="10" borderId="4" xfId="0" applyFont="1" applyFill="1" applyBorder="1"/>
    <xf numFmtId="2" fontId="2" fillId="10" borderId="4" xfId="0" applyNumberFormat="1" applyFont="1" applyFill="1" applyBorder="1"/>
    <xf numFmtId="0" fontId="2" fillId="10" borderId="35" xfId="0" applyFont="1" applyFill="1" applyBorder="1" applyAlignment="1">
      <alignment horizontal="center" vertical="center"/>
    </xf>
    <xf numFmtId="0" fontId="2" fillId="10" borderId="2" xfId="0" applyFont="1" applyFill="1" applyBorder="1"/>
    <xf numFmtId="2" fontId="2" fillId="10" borderId="2" xfId="0" applyNumberFormat="1" applyFont="1" applyFill="1" applyBorder="1"/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3" xfId="0" applyFont="1" applyFill="1" applyBorder="1"/>
    <xf numFmtId="2" fontId="2" fillId="10" borderId="13" xfId="0" applyNumberFormat="1" applyFont="1" applyFill="1" applyBorder="1"/>
    <xf numFmtId="0" fontId="2" fillId="2" borderId="16" xfId="0" quotePrefix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17" fontId="2" fillId="6" borderId="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11" fontId="2" fillId="6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/>
    <xf numFmtId="2" fontId="2" fillId="6" borderId="4" xfId="0" applyNumberFormat="1" applyFont="1" applyFill="1" applyBorder="1"/>
    <xf numFmtId="0" fontId="2" fillId="6" borderId="35" xfId="0" applyFont="1" applyFill="1" applyBorder="1" applyAlignment="1">
      <alignment horizontal="center" vertical="center"/>
    </xf>
    <xf numFmtId="11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/>
    <xf numFmtId="2" fontId="2" fillId="6" borderId="2" xfId="0" applyNumberFormat="1" applyFont="1" applyFill="1" applyBorder="1"/>
    <xf numFmtId="0" fontId="2" fillId="8" borderId="4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11" fontId="2" fillId="7" borderId="4" xfId="0" applyNumberFormat="1" applyFont="1" applyFill="1" applyBorder="1"/>
    <xf numFmtId="11" fontId="2" fillId="2" borderId="12" xfId="0" applyNumberFormat="1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 vertical="center"/>
    </xf>
    <xf numFmtId="11" fontId="6" fillId="2" borderId="1" xfId="0" applyNumberFormat="1" applyFont="1" applyFill="1" applyBorder="1" applyAlignment="1">
      <alignment horizontal="left"/>
    </xf>
    <xf numFmtId="0" fontId="6" fillId="7" borderId="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11" fontId="2" fillId="9" borderId="16" xfId="0" applyNumberFormat="1" applyFont="1" applyFill="1" applyBorder="1" applyAlignment="1">
      <alignment horizontal="center"/>
    </xf>
    <xf numFmtId="11" fontId="2" fillId="8" borderId="1" xfId="0" applyNumberFormat="1" applyFont="1" applyFill="1" applyBorder="1" applyAlignment="1">
      <alignment horizontal="left"/>
    </xf>
    <xf numFmtId="11" fontId="2" fillId="8" borderId="12" xfId="0" applyNumberFormat="1" applyFont="1" applyFill="1" applyBorder="1" applyAlignment="1">
      <alignment horizontal="left"/>
    </xf>
    <xf numFmtId="11" fontId="2" fillId="8" borderId="4" xfId="0" applyNumberFormat="1" applyFont="1" applyFill="1" applyBorder="1" applyAlignment="1">
      <alignment horizontal="left"/>
    </xf>
    <xf numFmtId="11" fontId="2" fillId="9" borderId="12" xfId="0" applyNumberFormat="1" applyFont="1" applyFill="1" applyBorder="1" applyAlignment="1">
      <alignment horizontal="center"/>
    </xf>
    <xf numFmtId="11" fontId="2" fillId="9" borderId="4" xfId="0" applyNumberFormat="1" applyFont="1" applyFill="1" applyBorder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16" xfId="0" quotePrefix="1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7" borderId="1" xfId="0" quotePrefix="1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7" borderId="4" xfId="0" applyFont="1" applyFill="1" applyBorder="1"/>
    <xf numFmtId="11" fontId="6" fillId="2" borderId="1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12" xfId="0" quotePrefix="1" applyFont="1" applyFill="1" applyBorder="1" applyAlignment="1">
      <alignment horizontal="center"/>
    </xf>
    <xf numFmtId="0" fontId="6" fillId="7" borderId="1" xfId="0" quotePrefix="1" applyFont="1" applyFill="1" applyBorder="1" applyAlignment="1">
      <alignment horizontal="center"/>
    </xf>
    <xf numFmtId="0" fontId="2" fillId="9" borderId="1" xfId="0" quotePrefix="1" applyFont="1" applyFill="1" applyBorder="1" applyAlignment="1">
      <alignment horizontal="right"/>
    </xf>
    <xf numFmtId="0" fontId="2" fillId="11" borderId="12" xfId="0" quotePrefix="1" applyFont="1" applyFill="1" applyBorder="1" applyAlignment="1">
      <alignment horizontal="right"/>
    </xf>
    <xf numFmtId="0" fontId="2" fillId="9" borderId="12" xfId="0" quotePrefix="1" applyFont="1" applyFill="1" applyBorder="1" applyAlignment="1">
      <alignment horizontal="right"/>
    </xf>
    <xf numFmtId="0" fontId="2" fillId="9" borderId="16" xfId="0" applyFont="1" applyFill="1" applyBorder="1" applyAlignment="1">
      <alignment horizontal="right"/>
    </xf>
    <xf numFmtId="0" fontId="2" fillId="9" borderId="4" xfId="0" quotePrefix="1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2" fillId="9" borderId="12" xfId="0" applyFont="1" applyFill="1" applyBorder="1" applyAlignment="1">
      <alignment horizontal="right"/>
    </xf>
    <xf numFmtId="0" fontId="2" fillId="9" borderId="16" xfId="0" quotePrefix="1" applyFont="1" applyFill="1" applyBorder="1" applyAlignment="1">
      <alignment horizontal="right"/>
    </xf>
    <xf numFmtId="0" fontId="2" fillId="6" borderId="8" xfId="0" applyFont="1" applyFill="1" applyBorder="1" applyAlignment="1">
      <alignment horizontal="center" vertical="center"/>
    </xf>
    <xf numFmtId="0" fontId="2" fillId="2" borderId="16" xfId="0" quotePrefix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" xfId="0" quotePrefix="1" applyFont="1" applyFill="1" applyBorder="1" applyAlignment="1">
      <alignment horizontal="right" vertical="center"/>
    </xf>
    <xf numFmtId="0" fontId="2" fillId="2" borderId="1" xfId="0" quotePrefix="1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2" borderId="16" xfId="0" quotePrefix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1" fontId="2" fillId="2" borderId="12" xfId="0" applyNumberFormat="1" applyFont="1" applyFill="1" applyBorder="1" applyAlignment="1">
      <alignment horizontal="left" vertical="center"/>
    </xf>
    <xf numFmtId="11" fontId="2" fillId="2" borderId="16" xfId="0" applyNumberFormat="1" applyFont="1" applyFill="1" applyBorder="1" applyAlignment="1">
      <alignment horizontal="left"/>
    </xf>
    <xf numFmtId="11" fontId="2" fillId="2" borderId="1" xfId="0" applyNumberFormat="1" applyFont="1" applyFill="1" applyBorder="1" applyAlignment="1">
      <alignment horizontal="left"/>
    </xf>
    <xf numFmtId="0" fontId="6" fillId="7" borderId="33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right"/>
    </xf>
    <xf numFmtId="0" fontId="6" fillId="9" borderId="12" xfId="0" quotePrefix="1" applyFont="1" applyFill="1" applyBorder="1" applyAlignment="1">
      <alignment horizontal="center"/>
    </xf>
    <xf numFmtId="11" fontId="6" fillId="9" borderId="12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2" fontId="2" fillId="10" borderId="18" xfId="0" applyNumberFormat="1" applyFont="1" applyFill="1" applyBorder="1" applyAlignment="1">
      <alignment horizontal="center" vertical="center"/>
    </xf>
    <xf numFmtId="2" fontId="2" fillId="10" borderId="3" xfId="0" applyNumberFormat="1" applyFont="1" applyFill="1" applyBorder="1" applyAlignment="1">
      <alignment horizontal="center" vertical="center"/>
    </xf>
    <xf numFmtId="2" fontId="2" fillId="10" borderId="4" xfId="0" applyNumberFormat="1" applyFont="1" applyFill="1" applyBorder="1" applyAlignment="1">
      <alignment horizontal="center" vertical="center"/>
    </xf>
    <xf numFmtId="2" fontId="2" fillId="10" borderId="19" xfId="0" applyNumberFormat="1" applyFont="1" applyFill="1" applyBorder="1" applyAlignment="1">
      <alignment horizontal="center" vertical="center"/>
    </xf>
    <xf numFmtId="2" fontId="2" fillId="10" borderId="10" xfId="0" applyNumberFormat="1" applyFont="1" applyFill="1" applyBorder="1" applyAlignment="1">
      <alignment horizontal="center" vertical="center"/>
    </xf>
    <xf numFmtId="2" fontId="2" fillId="10" borderId="40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2" fontId="2" fillId="10" borderId="2" xfId="0" applyNumberFormat="1" applyFont="1" applyFill="1" applyBorder="1" applyAlignment="1">
      <alignment horizontal="center" vertical="center"/>
    </xf>
    <xf numFmtId="2" fontId="2" fillId="10" borderId="39" xfId="0" applyNumberFormat="1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7" fillId="2" borderId="20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2" fontId="2" fillId="10" borderId="13" xfId="0" applyNumberFormat="1" applyFont="1" applyFill="1" applyBorder="1" applyAlignment="1">
      <alignment horizontal="center" vertical="center"/>
    </xf>
    <xf numFmtId="2" fontId="2" fillId="11" borderId="10" xfId="0" applyNumberFormat="1" applyFont="1" applyFill="1" applyBorder="1" applyAlignment="1">
      <alignment horizontal="center" vertical="center"/>
    </xf>
    <xf numFmtId="2" fontId="2" fillId="11" borderId="14" xfId="0" applyNumberFormat="1" applyFont="1" applyFill="1" applyBorder="1" applyAlignment="1">
      <alignment horizontal="center" vertical="center"/>
    </xf>
    <xf numFmtId="2" fontId="7" fillId="11" borderId="21" xfId="0" applyNumberFormat="1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2" fontId="2" fillId="9" borderId="18" xfId="0" applyNumberFormat="1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center" vertical="center"/>
    </xf>
    <xf numFmtId="2" fontId="2" fillId="9" borderId="13" xfId="0" applyNumberFormat="1" applyFont="1" applyFill="1" applyBorder="1" applyAlignment="1">
      <alignment horizontal="center" vertical="center"/>
    </xf>
    <xf numFmtId="2" fontId="2" fillId="9" borderId="19" xfId="0" applyNumberFormat="1" applyFont="1" applyFill="1" applyBorder="1" applyAlignment="1">
      <alignment horizontal="center" vertical="center"/>
    </xf>
    <xf numFmtId="2" fontId="2" fillId="9" borderId="10" xfId="0" applyNumberFormat="1" applyFont="1" applyFill="1" applyBorder="1" applyAlignment="1">
      <alignment horizontal="center" vertical="center"/>
    </xf>
    <xf numFmtId="2" fontId="2" fillId="9" borderId="14" xfId="0" applyNumberFormat="1" applyFont="1" applyFill="1" applyBorder="1" applyAlignment="1">
      <alignment horizontal="center" vertical="center"/>
    </xf>
    <xf numFmtId="2" fontId="7" fillId="9" borderId="20" xfId="0" applyNumberFormat="1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2" fontId="2" fillId="10" borderId="14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2" fontId="2" fillId="7" borderId="18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2" fontId="2" fillId="7" borderId="19" xfId="0" applyNumberFormat="1" applyFont="1" applyFill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2" fontId="2" fillId="7" borderId="14" xfId="0" applyNumberFormat="1" applyFont="1" applyFill="1" applyBorder="1" applyAlignment="1">
      <alignment horizontal="center" vertical="center"/>
    </xf>
    <xf numFmtId="2" fontId="7" fillId="7" borderId="23" xfId="0" applyNumberFormat="1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2" fontId="2" fillId="10" borderId="38" xfId="0" applyNumberFormat="1" applyFont="1" applyFill="1" applyBorder="1" applyAlignment="1">
      <alignment horizontal="center" vertical="center"/>
    </xf>
    <xf numFmtId="2" fontId="2" fillId="10" borderId="37" xfId="0" applyNumberFormat="1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2" fontId="2" fillId="8" borderId="18" xfId="0" applyNumberFormat="1" applyFont="1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 vertical="center"/>
    </xf>
    <xf numFmtId="2" fontId="2" fillId="8" borderId="13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2" fontId="2" fillId="7" borderId="13" xfId="0" applyNumberFormat="1" applyFont="1" applyFill="1" applyBorder="1" applyAlignment="1">
      <alignment horizontal="center" vertical="center"/>
    </xf>
    <xf numFmtId="2" fontId="2" fillId="8" borderId="19" xfId="0" applyNumberFormat="1" applyFont="1" applyFill="1" applyBorder="1" applyAlignment="1">
      <alignment horizontal="center" vertical="center"/>
    </xf>
    <xf numFmtId="2" fontId="2" fillId="8" borderId="10" xfId="0" applyNumberFormat="1" applyFont="1" applyFill="1" applyBorder="1" applyAlignment="1">
      <alignment horizontal="center" vertical="center"/>
    </xf>
    <xf numFmtId="2" fontId="2" fillId="8" borderId="14" xfId="0" applyNumberFormat="1" applyFont="1" applyFill="1" applyBorder="1" applyAlignment="1">
      <alignment horizontal="center" vertical="center"/>
    </xf>
    <xf numFmtId="2" fontId="7" fillId="8" borderId="23" xfId="0" applyNumberFormat="1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2" fontId="7" fillId="9" borderId="25" xfId="0" applyNumberFormat="1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2" fontId="2" fillId="11" borderId="3" xfId="0" applyNumberFormat="1" applyFont="1" applyFill="1" applyBorder="1" applyAlignment="1">
      <alignment horizontal="center" vertical="center"/>
    </xf>
    <xf numFmtId="2" fontId="2" fillId="11" borderId="13" xfId="0" applyNumberFormat="1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2" fontId="7" fillId="9" borderId="23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2" fontId="2" fillId="10" borderId="12" xfId="0" applyNumberFormat="1" applyFont="1" applyFill="1" applyBorder="1" applyAlignment="1">
      <alignment horizontal="center" vertical="center"/>
    </xf>
    <xf numFmtId="2" fontId="2" fillId="6" borderId="18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9" xfId="0" applyNumberFormat="1" applyFont="1" applyFill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center" vertical="center"/>
    </xf>
    <xf numFmtId="2" fontId="2" fillId="6" borderId="1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7"/>
  <sheetViews>
    <sheetView topLeftCell="A98" workbookViewId="0">
      <selection activeCell="P40" sqref="P40"/>
    </sheetView>
  </sheetViews>
  <sheetFormatPr defaultRowHeight="14.25" x14ac:dyDescent="0.2"/>
  <cols>
    <col min="1" max="2" width="9.140625" style="2"/>
    <col min="3" max="4" width="12.85546875" style="2" customWidth="1"/>
    <col min="5" max="5" width="9.42578125" style="2" bestFit="1" customWidth="1"/>
    <col min="6" max="6" width="10" style="2" bestFit="1" customWidth="1"/>
    <col min="7" max="8" width="9.28515625" style="2" bestFit="1" customWidth="1"/>
    <col min="9" max="9" width="11.7109375" style="2" customWidth="1"/>
    <col min="10" max="10" width="12.42578125" style="2" customWidth="1"/>
    <col min="11" max="14" width="9.28515625" style="2" bestFit="1" customWidth="1"/>
    <col min="15" max="15" width="19.42578125" style="2" customWidth="1"/>
    <col min="16" max="16384" width="9.140625" style="2"/>
  </cols>
  <sheetData>
    <row r="1" spans="1:15" ht="18" x14ac:dyDescent="0.25">
      <c r="A1" s="1" t="s">
        <v>27</v>
      </c>
    </row>
    <row r="3" spans="1:15" ht="18.75" x14ac:dyDescent="0.2">
      <c r="A3" s="3" t="s">
        <v>29</v>
      </c>
    </row>
    <row r="4" spans="1:15" ht="18" x14ac:dyDescent="0.2">
      <c r="A4" s="3"/>
    </row>
    <row r="5" spans="1:15" ht="15" x14ac:dyDescent="0.2">
      <c r="B5" s="15" t="s">
        <v>28</v>
      </c>
    </row>
    <row r="6" spans="1:15" ht="15" x14ac:dyDescent="0.2">
      <c r="B6" s="15" t="s">
        <v>30</v>
      </c>
    </row>
    <row r="7" spans="1:15" ht="15" x14ac:dyDescent="0.2">
      <c r="B7" s="15" t="s">
        <v>31</v>
      </c>
      <c r="K7" s="78" t="s">
        <v>37</v>
      </c>
      <c r="L7" s="78"/>
      <c r="M7" s="78"/>
      <c r="N7" s="78"/>
    </row>
    <row r="8" spans="1:15" ht="15" x14ac:dyDescent="0.2">
      <c r="B8" s="15" t="s">
        <v>0</v>
      </c>
      <c r="K8" s="78" t="s">
        <v>253</v>
      </c>
      <c r="L8" s="78"/>
      <c r="M8" s="78"/>
      <c r="N8" s="78"/>
    </row>
    <row r="9" spans="1:15" ht="16.5" x14ac:dyDescent="0.3">
      <c r="B9" s="15" t="s">
        <v>1</v>
      </c>
      <c r="K9" s="78" t="s">
        <v>252</v>
      </c>
      <c r="L9" s="78"/>
      <c r="M9" s="78"/>
      <c r="N9" s="78"/>
    </row>
    <row r="10" spans="1:15" ht="15" x14ac:dyDescent="0.2">
      <c r="B10" s="15" t="s">
        <v>32</v>
      </c>
      <c r="K10" s="78"/>
      <c r="L10" s="78"/>
      <c r="M10" s="78"/>
      <c r="N10" s="78"/>
    </row>
    <row r="11" spans="1:15" ht="15" x14ac:dyDescent="0.2">
      <c r="B11" s="15" t="s">
        <v>33</v>
      </c>
      <c r="K11" s="78" t="s">
        <v>38</v>
      </c>
      <c r="L11" s="78"/>
      <c r="M11" s="78"/>
      <c r="N11" s="78"/>
    </row>
    <row r="12" spans="1:15" ht="15" x14ac:dyDescent="0.2">
      <c r="B12" s="15" t="s">
        <v>36</v>
      </c>
      <c r="K12" s="78" t="s">
        <v>39</v>
      </c>
      <c r="L12" s="78"/>
      <c r="M12" s="78"/>
      <c r="N12" s="78"/>
    </row>
    <row r="13" spans="1:15" ht="16.5" x14ac:dyDescent="0.3">
      <c r="B13" s="15" t="s">
        <v>35</v>
      </c>
      <c r="K13" s="78" t="s">
        <v>40</v>
      </c>
      <c r="L13" s="78"/>
      <c r="M13" s="78"/>
      <c r="N13" s="78"/>
    </row>
    <row r="14" spans="1:15" ht="15" x14ac:dyDescent="0.2">
      <c r="B14" s="15" t="s">
        <v>34</v>
      </c>
    </row>
    <row r="15" spans="1:15" ht="15" thickBot="1" x14ac:dyDescent="0.25"/>
    <row r="16" spans="1:15" ht="16.5" thickBot="1" x14ac:dyDescent="0.3">
      <c r="B16" s="328" t="s">
        <v>68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30"/>
    </row>
    <row r="17" spans="2:15" ht="30.75" thickBot="1" x14ac:dyDescent="0.25">
      <c r="B17" s="16" t="s">
        <v>2</v>
      </c>
      <c r="C17" s="17" t="s">
        <v>13</v>
      </c>
      <c r="D17" s="17" t="s">
        <v>20</v>
      </c>
      <c r="E17" s="17" t="s">
        <v>12</v>
      </c>
      <c r="F17" s="17" t="s">
        <v>3</v>
      </c>
      <c r="G17" s="17" t="s">
        <v>4</v>
      </c>
      <c r="H17" s="17" t="s">
        <v>5</v>
      </c>
      <c r="I17" s="17" t="s">
        <v>6</v>
      </c>
      <c r="J17" s="17" t="s">
        <v>7</v>
      </c>
      <c r="K17" s="17" t="s">
        <v>8</v>
      </c>
      <c r="L17" s="17" t="s">
        <v>9</v>
      </c>
      <c r="M17" s="17" t="s">
        <v>10</v>
      </c>
      <c r="N17" s="18" t="s">
        <v>11</v>
      </c>
      <c r="O17" s="77" t="s">
        <v>19</v>
      </c>
    </row>
    <row r="18" spans="2:15" x14ac:dyDescent="0.2">
      <c r="B18" s="25" t="s">
        <v>41</v>
      </c>
      <c r="C18" s="271" t="s">
        <v>14</v>
      </c>
      <c r="D18" s="274" t="s">
        <v>21</v>
      </c>
      <c r="E18" s="271" t="s">
        <v>53</v>
      </c>
      <c r="F18" s="26">
        <f>10^-2</f>
        <v>0.01</v>
      </c>
      <c r="G18" s="27">
        <f>82*4</f>
        <v>328</v>
      </c>
      <c r="H18" s="27">
        <f>110*4</f>
        <v>440</v>
      </c>
      <c r="I18" s="27">
        <f>AVERAGE(G18:H18)</f>
        <v>384</v>
      </c>
      <c r="J18" s="27">
        <f>(1/F18)*I18*10</f>
        <v>384000</v>
      </c>
      <c r="K18" s="28">
        <f>LOG(J18)</f>
        <v>5.5843312243675305</v>
      </c>
      <c r="L18" s="274">
        <f>AVERAGE(J18:J21)</f>
        <v>425000</v>
      </c>
      <c r="M18" s="277">
        <f>LOG(L18)</f>
        <v>5.6283889300503116</v>
      </c>
      <c r="N18" s="279">
        <f>STDEV(K18:K21)</f>
        <v>0.14721745669065933</v>
      </c>
      <c r="O18" s="284">
        <f>M66-M18</f>
        <v>4.2166139471124353E-2</v>
      </c>
    </row>
    <row r="19" spans="2:15" ht="15" customHeight="1" x14ac:dyDescent="0.2">
      <c r="B19" s="29" t="s">
        <v>42</v>
      </c>
      <c r="C19" s="272"/>
      <c r="D19" s="275"/>
      <c r="E19" s="272"/>
      <c r="F19" s="30">
        <f t="shared" ref="F19:F29" si="0">10^-2</f>
        <v>0.01</v>
      </c>
      <c r="G19" s="31">
        <f>61*4</f>
        <v>244</v>
      </c>
      <c r="H19" s="31">
        <f>96*4</f>
        <v>384</v>
      </c>
      <c r="I19" s="31">
        <f t="shared" ref="I19:I74" si="1">AVERAGE(G19:H19)</f>
        <v>314</v>
      </c>
      <c r="J19" s="31">
        <f t="shared" ref="J19:J74" si="2">(1/F19)*I19*10</f>
        <v>314000</v>
      </c>
      <c r="K19" s="32">
        <f t="shared" ref="K19:K74" si="3">LOG(J19)</f>
        <v>5.4969296480732153</v>
      </c>
      <c r="L19" s="275"/>
      <c r="M19" s="278"/>
      <c r="N19" s="280"/>
      <c r="O19" s="285"/>
    </row>
    <row r="20" spans="2:15" ht="15" customHeight="1" x14ac:dyDescent="0.2">
      <c r="B20" s="29" t="s">
        <v>43</v>
      </c>
      <c r="C20" s="272"/>
      <c r="D20" s="275"/>
      <c r="E20" s="272"/>
      <c r="F20" s="30">
        <f t="shared" si="0"/>
        <v>0.01</v>
      </c>
      <c r="G20" s="31">
        <f>129*4</f>
        <v>516</v>
      </c>
      <c r="H20" s="31">
        <f>203*4</f>
        <v>812</v>
      </c>
      <c r="I20" s="31">
        <f t="shared" si="1"/>
        <v>664</v>
      </c>
      <c r="J20" s="31">
        <f t="shared" si="2"/>
        <v>664000</v>
      </c>
      <c r="K20" s="32">
        <f t="shared" si="3"/>
        <v>5.8221680793680175</v>
      </c>
      <c r="L20" s="275"/>
      <c r="M20" s="278"/>
      <c r="N20" s="280"/>
      <c r="O20" s="285"/>
    </row>
    <row r="21" spans="2:15" ht="15.75" customHeight="1" thickBot="1" x14ac:dyDescent="0.25">
      <c r="B21" s="61" t="s">
        <v>44</v>
      </c>
      <c r="C21" s="309"/>
      <c r="D21" s="276"/>
      <c r="E21" s="309"/>
      <c r="F21" s="62">
        <f t="shared" si="0"/>
        <v>0.01</v>
      </c>
      <c r="G21" s="63">
        <f>70*4</f>
        <v>280</v>
      </c>
      <c r="H21" s="63">
        <f>99*4</f>
        <v>396</v>
      </c>
      <c r="I21" s="63">
        <f t="shared" si="1"/>
        <v>338</v>
      </c>
      <c r="J21" s="63">
        <f t="shared" si="2"/>
        <v>338000</v>
      </c>
      <c r="K21" s="64">
        <f t="shared" si="3"/>
        <v>5.5289167002776551</v>
      </c>
      <c r="L21" s="276"/>
      <c r="M21" s="310"/>
      <c r="N21" s="283"/>
      <c r="O21" s="286"/>
    </row>
    <row r="22" spans="2:15" x14ac:dyDescent="0.2">
      <c r="B22" s="25" t="s">
        <v>45</v>
      </c>
      <c r="C22" s="271" t="s">
        <v>14</v>
      </c>
      <c r="D22" s="274" t="s">
        <v>21</v>
      </c>
      <c r="E22" s="271" t="s">
        <v>54</v>
      </c>
      <c r="F22" s="26">
        <f>10^-2</f>
        <v>0.01</v>
      </c>
      <c r="G22" s="27">
        <f>35*4</f>
        <v>140</v>
      </c>
      <c r="H22" s="27">
        <f>26*4</f>
        <v>104</v>
      </c>
      <c r="I22" s="27">
        <f>AVERAGE(G22:H22)</f>
        <v>122</v>
      </c>
      <c r="J22" s="27">
        <f>(1/F22)*I22*10</f>
        <v>122000</v>
      </c>
      <c r="K22" s="28">
        <f>LOG(J22)</f>
        <v>5.0863598306747484</v>
      </c>
      <c r="L22" s="274">
        <f>AVERAGE(J22:J25)</f>
        <v>179000</v>
      </c>
      <c r="M22" s="277">
        <f>LOG(L22)</f>
        <v>5.2528530309798933</v>
      </c>
      <c r="N22" s="279">
        <f>STDEV(K22:K25)</f>
        <v>0.22391915304514243</v>
      </c>
      <c r="O22" s="284">
        <f>M66-M22</f>
        <v>0.41770203854154264</v>
      </c>
    </row>
    <row r="23" spans="2:15" ht="15" customHeight="1" x14ac:dyDescent="0.2">
      <c r="B23" s="29" t="s">
        <v>46</v>
      </c>
      <c r="C23" s="272"/>
      <c r="D23" s="275"/>
      <c r="E23" s="272"/>
      <c r="F23" s="30">
        <f t="shared" si="0"/>
        <v>0.01</v>
      </c>
      <c r="G23" s="31">
        <f>29*4</f>
        <v>116</v>
      </c>
      <c r="H23" s="31">
        <f>19*4</f>
        <v>76</v>
      </c>
      <c r="I23" s="31">
        <f t="shared" ref="I23:I25" si="4">AVERAGE(G23:H23)</f>
        <v>96</v>
      </c>
      <c r="J23" s="31">
        <f t="shared" ref="J23:J25" si="5">(1/F23)*I23*10</f>
        <v>96000</v>
      </c>
      <c r="K23" s="32">
        <f t="shared" ref="K23:K25" si="6">LOG(J23)</f>
        <v>4.982271233039568</v>
      </c>
      <c r="L23" s="275"/>
      <c r="M23" s="278"/>
      <c r="N23" s="280"/>
      <c r="O23" s="285"/>
    </row>
    <row r="24" spans="2:15" ht="15" customHeight="1" x14ac:dyDescent="0.2">
      <c r="B24" s="29" t="s">
        <v>47</v>
      </c>
      <c r="C24" s="272"/>
      <c r="D24" s="275"/>
      <c r="E24" s="272"/>
      <c r="F24" s="30">
        <f t="shared" si="0"/>
        <v>0.01</v>
      </c>
      <c r="G24" s="31">
        <f>81*4</f>
        <v>324</v>
      </c>
      <c r="H24" s="31">
        <f>74*4</f>
        <v>296</v>
      </c>
      <c r="I24" s="31">
        <f t="shared" si="4"/>
        <v>310</v>
      </c>
      <c r="J24" s="31">
        <f t="shared" si="5"/>
        <v>310000</v>
      </c>
      <c r="K24" s="32">
        <f t="shared" si="6"/>
        <v>5.4913616938342731</v>
      </c>
      <c r="L24" s="275"/>
      <c r="M24" s="278"/>
      <c r="N24" s="280"/>
      <c r="O24" s="285"/>
    </row>
    <row r="25" spans="2:15" ht="15.75" customHeight="1" thickBot="1" x14ac:dyDescent="0.25">
      <c r="B25" s="61" t="s">
        <v>48</v>
      </c>
      <c r="C25" s="309"/>
      <c r="D25" s="276"/>
      <c r="E25" s="309"/>
      <c r="F25" s="62">
        <f t="shared" si="0"/>
        <v>0.01</v>
      </c>
      <c r="G25" s="63">
        <f>57*4</f>
        <v>228</v>
      </c>
      <c r="H25" s="63">
        <f>37*4</f>
        <v>148</v>
      </c>
      <c r="I25" s="63">
        <f t="shared" si="4"/>
        <v>188</v>
      </c>
      <c r="J25" s="63">
        <f t="shared" si="5"/>
        <v>188000</v>
      </c>
      <c r="K25" s="64">
        <f t="shared" si="6"/>
        <v>5.2741578492636796</v>
      </c>
      <c r="L25" s="276"/>
      <c r="M25" s="310"/>
      <c r="N25" s="283"/>
      <c r="O25" s="286"/>
    </row>
    <row r="26" spans="2:15" x14ac:dyDescent="0.2">
      <c r="B26" s="25" t="s">
        <v>49</v>
      </c>
      <c r="C26" s="271" t="s">
        <v>14</v>
      </c>
      <c r="D26" s="274" t="s">
        <v>21</v>
      </c>
      <c r="E26" s="271" t="s">
        <v>55</v>
      </c>
      <c r="F26" s="26">
        <f>10^-2</f>
        <v>0.01</v>
      </c>
      <c r="G26" s="27">
        <v>27</v>
      </c>
      <c r="H26" s="27">
        <v>31</v>
      </c>
      <c r="I26" s="27">
        <f>AVERAGE(G26:H26)</f>
        <v>29</v>
      </c>
      <c r="J26" s="27">
        <f>(1/F26)*I26*10</f>
        <v>29000</v>
      </c>
      <c r="K26" s="28">
        <f>LOG(J26)</f>
        <v>4.4623979978989565</v>
      </c>
      <c r="L26" s="274">
        <f>AVERAGE(J26:J29)</f>
        <v>84500</v>
      </c>
      <c r="M26" s="277">
        <f>LOG(L26)</f>
        <v>4.9268567089496926</v>
      </c>
      <c r="N26" s="279">
        <f>STDEV(K26:K29)</f>
        <v>0.46411687542477287</v>
      </c>
      <c r="O26" s="284">
        <f>M66-M26</f>
        <v>0.74369836057174332</v>
      </c>
    </row>
    <row r="27" spans="2:15" ht="15" customHeight="1" x14ac:dyDescent="0.2">
      <c r="B27" s="29" t="s">
        <v>50</v>
      </c>
      <c r="C27" s="272"/>
      <c r="D27" s="275"/>
      <c r="E27" s="272"/>
      <c r="F27" s="30">
        <f t="shared" si="0"/>
        <v>0.01</v>
      </c>
      <c r="G27" s="31">
        <f>67*4</f>
        <v>268</v>
      </c>
      <c r="H27" s="31">
        <f>50*4</f>
        <v>200</v>
      </c>
      <c r="I27" s="31">
        <f t="shared" ref="I27:I29" si="7">AVERAGE(G27:H27)</f>
        <v>234</v>
      </c>
      <c r="J27" s="31">
        <f t="shared" ref="J27:J29" si="8">(1/F27)*I27*10</f>
        <v>234000</v>
      </c>
      <c r="K27" s="32">
        <f t="shared" ref="K27:K29" si="9">LOG(J27)</f>
        <v>5.3692158574101425</v>
      </c>
      <c r="L27" s="275"/>
      <c r="M27" s="278"/>
      <c r="N27" s="280"/>
      <c r="O27" s="285"/>
    </row>
    <row r="28" spans="2:15" ht="15" customHeight="1" x14ac:dyDescent="0.2">
      <c r="B28" s="29" t="s">
        <v>51</v>
      </c>
      <c r="C28" s="272"/>
      <c r="D28" s="275"/>
      <c r="E28" s="272"/>
      <c r="F28" s="30">
        <f t="shared" si="0"/>
        <v>0.01</v>
      </c>
      <c r="G28" s="31">
        <v>46</v>
      </c>
      <c r="H28" s="31">
        <v>62</v>
      </c>
      <c r="I28" s="31">
        <f t="shared" si="7"/>
        <v>54</v>
      </c>
      <c r="J28" s="31">
        <f t="shared" si="8"/>
        <v>54000</v>
      </c>
      <c r="K28" s="32">
        <f t="shared" si="9"/>
        <v>4.7323937598229682</v>
      </c>
      <c r="L28" s="275"/>
      <c r="M28" s="278"/>
      <c r="N28" s="280"/>
      <c r="O28" s="285"/>
    </row>
    <row r="29" spans="2:15" ht="15.75" customHeight="1" thickBot="1" x14ac:dyDescent="0.25">
      <c r="B29" s="61" t="s">
        <v>52</v>
      </c>
      <c r="C29" s="309"/>
      <c r="D29" s="276"/>
      <c r="E29" s="309"/>
      <c r="F29" s="62">
        <f t="shared" si="0"/>
        <v>0.01</v>
      </c>
      <c r="G29" s="63">
        <v>27</v>
      </c>
      <c r="H29" s="63">
        <v>15</v>
      </c>
      <c r="I29" s="63">
        <f t="shared" si="7"/>
        <v>21</v>
      </c>
      <c r="J29" s="63">
        <f t="shared" si="8"/>
        <v>21000</v>
      </c>
      <c r="K29" s="64">
        <f t="shared" si="9"/>
        <v>4.3222192947339195</v>
      </c>
      <c r="L29" s="276"/>
      <c r="M29" s="310"/>
      <c r="N29" s="283"/>
      <c r="O29" s="286"/>
    </row>
    <row r="30" spans="2:15" x14ac:dyDescent="0.2">
      <c r="B30" s="19" t="s">
        <v>56</v>
      </c>
      <c r="C30" s="229" t="s">
        <v>14</v>
      </c>
      <c r="D30" s="226" t="s">
        <v>22</v>
      </c>
      <c r="E30" s="229" t="s">
        <v>53</v>
      </c>
      <c r="F30" s="86">
        <f>10^-1</f>
        <v>0.1</v>
      </c>
      <c r="G30" s="20">
        <v>53</v>
      </c>
      <c r="H30" s="102">
        <v>41</v>
      </c>
      <c r="I30" s="20">
        <f t="shared" si="1"/>
        <v>47</v>
      </c>
      <c r="J30" s="5">
        <f>(1/F30)*I30*10</f>
        <v>4700</v>
      </c>
      <c r="K30" s="21">
        <f t="shared" si="3"/>
        <v>3.6720978579357175</v>
      </c>
      <c r="L30" s="226">
        <f>AVERAGE(J30:J33)</f>
        <v>14050</v>
      </c>
      <c r="M30" s="232">
        <f t="shared" ref="M30" si="10">LOG(L30)</f>
        <v>4.1476763242410986</v>
      </c>
      <c r="N30" s="235">
        <f t="shared" ref="N30" si="11">STDEV(K30:K33)</f>
        <v>0.29197090309783502</v>
      </c>
      <c r="O30" s="287">
        <f>M69-M30</f>
        <v>2.5469288746924699</v>
      </c>
    </row>
    <row r="31" spans="2:15" ht="15" customHeight="1" x14ac:dyDescent="0.2">
      <c r="B31" s="4" t="s">
        <v>57</v>
      </c>
      <c r="C31" s="230"/>
      <c r="D31" s="227"/>
      <c r="E31" s="230"/>
      <c r="F31" s="82">
        <f t="shared" ref="F31:F41" si="12">10^-1</f>
        <v>0.1</v>
      </c>
      <c r="G31" s="5">
        <v>136</v>
      </c>
      <c r="H31" s="94">
        <v>125</v>
      </c>
      <c r="I31" s="5">
        <f t="shared" si="1"/>
        <v>130.5</v>
      </c>
      <c r="J31" s="5">
        <f t="shared" ref="J31:J41" si="13">(1/F31)*I31*10</f>
        <v>13050</v>
      </c>
      <c r="K31" s="6">
        <f t="shared" si="3"/>
        <v>4.1156105116742996</v>
      </c>
      <c r="L31" s="227"/>
      <c r="M31" s="233"/>
      <c r="N31" s="236"/>
      <c r="O31" s="288"/>
    </row>
    <row r="32" spans="2:15" ht="15" customHeight="1" x14ac:dyDescent="0.2">
      <c r="B32" s="4" t="s">
        <v>58</v>
      </c>
      <c r="C32" s="230"/>
      <c r="D32" s="227"/>
      <c r="E32" s="230"/>
      <c r="F32" s="82">
        <f t="shared" si="12"/>
        <v>0.1</v>
      </c>
      <c r="G32" s="5">
        <v>245</v>
      </c>
      <c r="H32" s="94">
        <v>200</v>
      </c>
      <c r="I32" s="5">
        <f t="shared" si="1"/>
        <v>222.5</v>
      </c>
      <c r="J32" s="5">
        <f t="shared" si="13"/>
        <v>22250</v>
      </c>
      <c r="K32" s="6">
        <f t="shared" si="3"/>
        <v>4.3473300153169507</v>
      </c>
      <c r="L32" s="227"/>
      <c r="M32" s="233"/>
      <c r="N32" s="236"/>
      <c r="O32" s="288"/>
    </row>
    <row r="33" spans="2:15" ht="15.75" customHeight="1" thickBot="1" x14ac:dyDescent="0.25">
      <c r="B33" s="22" t="s">
        <v>59</v>
      </c>
      <c r="C33" s="231"/>
      <c r="D33" s="228"/>
      <c r="E33" s="231"/>
      <c r="F33" s="159">
        <f t="shared" si="12"/>
        <v>0.1</v>
      </c>
      <c r="G33" s="23">
        <v>167</v>
      </c>
      <c r="H33" s="95">
        <v>157</v>
      </c>
      <c r="I33" s="23">
        <f t="shared" si="1"/>
        <v>162</v>
      </c>
      <c r="J33" s="23">
        <f t="shared" si="13"/>
        <v>16200</v>
      </c>
      <c r="K33" s="24">
        <f t="shared" si="3"/>
        <v>4.2095150145426308</v>
      </c>
      <c r="L33" s="228"/>
      <c r="M33" s="234"/>
      <c r="N33" s="237"/>
      <c r="O33" s="289"/>
    </row>
    <row r="34" spans="2:15" x14ac:dyDescent="0.2">
      <c r="B34" s="19" t="s">
        <v>60</v>
      </c>
      <c r="C34" s="229" t="s">
        <v>14</v>
      </c>
      <c r="D34" s="226" t="s">
        <v>22</v>
      </c>
      <c r="E34" s="229" t="s">
        <v>54</v>
      </c>
      <c r="F34" s="86">
        <f t="shared" si="12"/>
        <v>0.1</v>
      </c>
      <c r="G34" s="20">
        <v>21</v>
      </c>
      <c r="H34" s="102">
        <v>40</v>
      </c>
      <c r="I34" s="20">
        <f t="shared" ref="I34:I37" si="14">AVERAGE(G34:H34)</f>
        <v>30.5</v>
      </c>
      <c r="J34" s="88">
        <f t="shared" si="13"/>
        <v>3050</v>
      </c>
      <c r="K34" s="21">
        <f t="shared" ref="K34:K37" si="15">LOG(J34)</f>
        <v>3.4842998393467859</v>
      </c>
      <c r="L34" s="226">
        <f>AVERAGE(J34:J37)</f>
        <v>3366.75</v>
      </c>
      <c r="M34" s="232">
        <f t="shared" ref="M34" si="16">LOG(L34)</f>
        <v>3.527210868793353</v>
      </c>
      <c r="N34" s="235">
        <f t="shared" ref="N34" si="17">STDEV(K34:K37)</f>
        <v>0.9120773467152874</v>
      </c>
      <c r="O34" s="287">
        <f>M69-M34</f>
        <v>3.1673943301402154</v>
      </c>
    </row>
    <row r="35" spans="2:15" ht="15" customHeight="1" x14ac:dyDescent="0.2">
      <c r="B35" s="4" t="s">
        <v>61</v>
      </c>
      <c r="C35" s="230"/>
      <c r="D35" s="227"/>
      <c r="E35" s="230"/>
      <c r="F35" s="82">
        <f t="shared" si="12"/>
        <v>0.1</v>
      </c>
      <c r="G35" s="5">
        <v>40</v>
      </c>
      <c r="H35" s="118">
        <v>60</v>
      </c>
      <c r="I35" s="5">
        <f t="shared" si="14"/>
        <v>50</v>
      </c>
      <c r="J35" s="5">
        <f t="shared" si="13"/>
        <v>5000</v>
      </c>
      <c r="K35" s="6">
        <f t="shared" si="15"/>
        <v>3.6989700043360187</v>
      </c>
      <c r="L35" s="227"/>
      <c r="M35" s="233"/>
      <c r="N35" s="236"/>
      <c r="O35" s="288"/>
    </row>
    <row r="36" spans="2:15" ht="15" customHeight="1" x14ac:dyDescent="0.25">
      <c r="B36" s="4" t="s">
        <v>62</v>
      </c>
      <c r="C36" s="230"/>
      <c r="D36" s="227"/>
      <c r="E36" s="230"/>
      <c r="F36" s="161" t="s">
        <v>17</v>
      </c>
      <c r="G36" s="5">
        <v>67</v>
      </c>
      <c r="H36" s="160" t="s">
        <v>18</v>
      </c>
      <c r="I36" s="5">
        <f t="shared" si="14"/>
        <v>67</v>
      </c>
      <c r="J36" s="5">
        <f>I36*1</f>
        <v>67</v>
      </c>
      <c r="K36" s="6">
        <f t="shared" si="15"/>
        <v>1.8260748027008264</v>
      </c>
      <c r="L36" s="227"/>
      <c r="M36" s="233"/>
      <c r="N36" s="236"/>
      <c r="O36" s="288"/>
    </row>
    <row r="37" spans="2:15" ht="15.75" customHeight="1" thickBot="1" x14ac:dyDescent="0.25">
      <c r="B37" s="22" t="s">
        <v>63</v>
      </c>
      <c r="C37" s="231"/>
      <c r="D37" s="228"/>
      <c r="E37" s="231"/>
      <c r="F37" s="159">
        <f t="shared" si="12"/>
        <v>0.1</v>
      </c>
      <c r="G37" s="23">
        <v>58</v>
      </c>
      <c r="H37" s="119">
        <v>49</v>
      </c>
      <c r="I37" s="23">
        <f t="shared" si="14"/>
        <v>53.5</v>
      </c>
      <c r="J37" s="23">
        <f t="shared" si="13"/>
        <v>5350</v>
      </c>
      <c r="K37" s="24">
        <f t="shared" si="15"/>
        <v>3.7283537820212285</v>
      </c>
      <c r="L37" s="228"/>
      <c r="M37" s="234"/>
      <c r="N37" s="237"/>
      <c r="O37" s="289"/>
    </row>
    <row r="38" spans="2:15" x14ac:dyDescent="0.2">
      <c r="B38" s="19" t="s">
        <v>64</v>
      </c>
      <c r="C38" s="229" t="s">
        <v>14</v>
      </c>
      <c r="D38" s="226" t="s">
        <v>22</v>
      </c>
      <c r="E38" s="229" t="s">
        <v>55</v>
      </c>
      <c r="F38" s="86">
        <f t="shared" si="12"/>
        <v>0.1</v>
      </c>
      <c r="G38" s="20">
        <v>1</v>
      </c>
      <c r="H38" s="102">
        <v>1</v>
      </c>
      <c r="I38" s="20">
        <f t="shared" ref="I38:I41" si="18">AVERAGE(G38:H38)</f>
        <v>1</v>
      </c>
      <c r="J38" s="88">
        <f t="shared" si="13"/>
        <v>100</v>
      </c>
      <c r="K38" s="21">
        <f t="shared" ref="K38:K41" si="19">LOG(J38)</f>
        <v>2</v>
      </c>
      <c r="L38" s="226">
        <f>AVERAGE(J38:J41)</f>
        <v>362.5</v>
      </c>
      <c r="M38" s="232">
        <f t="shared" ref="M38" si="20">LOG(L38)</f>
        <v>2.5593080109070123</v>
      </c>
      <c r="N38" s="235">
        <f t="shared" ref="N38" si="21">STDEV(K38:K41)</f>
        <v>0.37342671792726473</v>
      </c>
      <c r="O38" s="287">
        <f>M69-M38</f>
        <v>4.1352971880265557</v>
      </c>
    </row>
    <row r="39" spans="2:15" ht="15" customHeight="1" x14ac:dyDescent="0.2">
      <c r="B39" s="4" t="s">
        <v>65</v>
      </c>
      <c r="C39" s="230"/>
      <c r="D39" s="227"/>
      <c r="E39" s="230"/>
      <c r="F39" s="82">
        <f t="shared" si="12"/>
        <v>0.1</v>
      </c>
      <c r="G39" s="5">
        <v>5</v>
      </c>
      <c r="H39" s="151">
        <v>8</v>
      </c>
      <c r="I39" s="5">
        <f t="shared" si="18"/>
        <v>6.5</v>
      </c>
      <c r="J39" s="5">
        <f t="shared" si="13"/>
        <v>650</v>
      </c>
      <c r="K39" s="6">
        <f t="shared" si="19"/>
        <v>2.8129133566428557</v>
      </c>
      <c r="L39" s="227"/>
      <c r="M39" s="233"/>
      <c r="N39" s="236"/>
      <c r="O39" s="288"/>
    </row>
    <row r="40" spans="2:15" ht="15" customHeight="1" x14ac:dyDescent="0.2">
      <c r="B40" s="4" t="s">
        <v>66</v>
      </c>
      <c r="C40" s="230"/>
      <c r="D40" s="227"/>
      <c r="E40" s="230"/>
      <c r="F40" s="82">
        <f t="shared" si="12"/>
        <v>0.1</v>
      </c>
      <c r="G40" s="5">
        <v>3</v>
      </c>
      <c r="H40" s="151">
        <v>1</v>
      </c>
      <c r="I40" s="5">
        <f t="shared" si="18"/>
        <v>2</v>
      </c>
      <c r="J40" s="5">
        <f t="shared" si="13"/>
        <v>200</v>
      </c>
      <c r="K40" s="6">
        <f t="shared" si="19"/>
        <v>2.3010299956639813</v>
      </c>
      <c r="L40" s="227"/>
      <c r="M40" s="233"/>
      <c r="N40" s="236"/>
      <c r="O40" s="288"/>
    </row>
    <row r="41" spans="2:15" ht="15.75" customHeight="1" thickBot="1" x14ac:dyDescent="0.25">
      <c r="B41" s="22" t="s">
        <v>67</v>
      </c>
      <c r="C41" s="231"/>
      <c r="D41" s="228"/>
      <c r="E41" s="231"/>
      <c r="F41" s="159">
        <f t="shared" si="12"/>
        <v>0.1</v>
      </c>
      <c r="G41" s="23">
        <v>9</v>
      </c>
      <c r="H41" s="152">
        <v>1</v>
      </c>
      <c r="I41" s="23">
        <f t="shared" si="18"/>
        <v>5</v>
      </c>
      <c r="J41" s="23">
        <f t="shared" si="13"/>
        <v>500</v>
      </c>
      <c r="K41" s="24">
        <f t="shared" si="19"/>
        <v>2.6989700043360187</v>
      </c>
      <c r="L41" s="228"/>
      <c r="M41" s="234"/>
      <c r="N41" s="237"/>
      <c r="O41" s="289"/>
    </row>
    <row r="42" spans="2:15" x14ac:dyDescent="0.2">
      <c r="B42" s="33" t="s">
        <v>69</v>
      </c>
      <c r="C42" s="300" t="s">
        <v>14</v>
      </c>
      <c r="D42" s="303" t="s">
        <v>23</v>
      </c>
      <c r="E42" s="300" t="s">
        <v>53</v>
      </c>
      <c r="F42" s="165">
        <f>10^-3</f>
        <v>1E-3</v>
      </c>
      <c r="G42" s="36">
        <f>45*4</f>
        <v>180</v>
      </c>
      <c r="H42" s="36">
        <f>62*4</f>
        <v>248</v>
      </c>
      <c r="I42" s="36">
        <f t="shared" si="1"/>
        <v>214</v>
      </c>
      <c r="J42" s="150">
        <f t="shared" si="2"/>
        <v>2140000</v>
      </c>
      <c r="K42" s="34">
        <f t="shared" si="3"/>
        <v>6.330413773349191</v>
      </c>
      <c r="L42" s="303">
        <f t="shared" ref="L42" si="22">AVERAGE(J42:J45)</f>
        <v>3195000</v>
      </c>
      <c r="M42" s="306">
        <f t="shared" ref="M42" si="23">LOG(L42)</f>
        <v>6.5044708624944185</v>
      </c>
      <c r="N42" s="311">
        <f t="shared" ref="N42" si="24">STDEV(K42:K45)</f>
        <v>0.17077498424740964</v>
      </c>
      <c r="O42" s="314">
        <f>M72-M42</f>
        <v>0.17222274713044783</v>
      </c>
    </row>
    <row r="43" spans="2:15" ht="15" customHeight="1" x14ac:dyDescent="0.2">
      <c r="B43" s="35" t="s">
        <v>70</v>
      </c>
      <c r="C43" s="301"/>
      <c r="D43" s="304"/>
      <c r="E43" s="301"/>
      <c r="F43" s="165">
        <f t="shared" ref="F43:F45" si="25">10^-3</f>
        <v>1E-3</v>
      </c>
      <c r="G43" s="36">
        <f>133*4</f>
        <v>532</v>
      </c>
      <c r="H43" s="36">
        <f>112*4</f>
        <v>448</v>
      </c>
      <c r="I43" s="36">
        <f t="shared" si="1"/>
        <v>490</v>
      </c>
      <c r="J43" s="36">
        <f t="shared" si="2"/>
        <v>4900000</v>
      </c>
      <c r="K43" s="37">
        <f t="shared" si="3"/>
        <v>6.6901960800285138</v>
      </c>
      <c r="L43" s="304"/>
      <c r="M43" s="307"/>
      <c r="N43" s="312"/>
      <c r="O43" s="315"/>
    </row>
    <row r="44" spans="2:15" ht="15" customHeight="1" x14ac:dyDescent="0.2">
      <c r="B44" s="35" t="s">
        <v>71</v>
      </c>
      <c r="C44" s="301"/>
      <c r="D44" s="304"/>
      <c r="E44" s="301"/>
      <c r="F44" s="165">
        <f t="shared" si="25"/>
        <v>1E-3</v>
      </c>
      <c r="G44" s="36">
        <f>80*4</f>
        <v>320</v>
      </c>
      <c r="H44" s="36">
        <f>95*4</f>
        <v>380</v>
      </c>
      <c r="I44" s="36">
        <f t="shared" si="1"/>
        <v>350</v>
      </c>
      <c r="J44" s="36">
        <f t="shared" si="2"/>
        <v>3500000</v>
      </c>
      <c r="K44" s="37">
        <f t="shared" si="3"/>
        <v>6.5440680443502757</v>
      </c>
      <c r="L44" s="304"/>
      <c r="M44" s="307"/>
      <c r="N44" s="312"/>
      <c r="O44" s="315"/>
    </row>
    <row r="45" spans="2:15" ht="15.75" customHeight="1" thickBot="1" x14ac:dyDescent="0.25">
      <c r="B45" s="38" t="s">
        <v>72</v>
      </c>
      <c r="C45" s="302"/>
      <c r="D45" s="305"/>
      <c r="E45" s="302"/>
      <c r="F45" s="166">
        <f t="shared" si="25"/>
        <v>1E-3</v>
      </c>
      <c r="G45" s="39">
        <f>53*4</f>
        <v>212</v>
      </c>
      <c r="H45" s="39">
        <f>59*4</f>
        <v>236</v>
      </c>
      <c r="I45" s="39">
        <f t="shared" si="1"/>
        <v>224</v>
      </c>
      <c r="J45" s="39">
        <f t="shared" si="2"/>
        <v>2240000</v>
      </c>
      <c r="K45" s="40">
        <f t="shared" si="3"/>
        <v>6.3502480183341632</v>
      </c>
      <c r="L45" s="305"/>
      <c r="M45" s="308"/>
      <c r="N45" s="313"/>
      <c r="O45" s="316"/>
    </row>
    <row r="46" spans="2:15" ht="15" x14ac:dyDescent="0.25">
      <c r="B46" s="33" t="s">
        <v>73</v>
      </c>
      <c r="C46" s="300" t="s">
        <v>14</v>
      </c>
      <c r="D46" s="303" t="s">
        <v>23</v>
      </c>
      <c r="E46" s="300" t="s">
        <v>54</v>
      </c>
      <c r="F46" s="167">
        <f>10^-2</f>
        <v>0.01</v>
      </c>
      <c r="G46" s="162">
        <v>300</v>
      </c>
      <c r="H46" s="162">
        <v>300</v>
      </c>
      <c r="I46" s="36">
        <f t="shared" ref="I46:I49" si="26">AVERAGE(G46:H46)</f>
        <v>300</v>
      </c>
      <c r="J46" s="36">
        <f t="shared" ref="J46:J49" si="27">(1/F46)*I46*10</f>
        <v>300000</v>
      </c>
      <c r="K46" s="34">
        <f t="shared" ref="K46:K49" si="28">LOG(J46)</f>
        <v>5.4771212547196626</v>
      </c>
      <c r="L46" s="303">
        <f t="shared" ref="L46" si="29">AVERAGE(J46:J49)</f>
        <v>300000</v>
      </c>
      <c r="M46" s="306">
        <f t="shared" ref="M46" si="30">LOG(L46)</f>
        <v>5.4771212547196626</v>
      </c>
      <c r="N46" s="311">
        <f t="shared" ref="N46" si="31">STDEV(K46:K49)</f>
        <v>0</v>
      </c>
      <c r="O46" s="314">
        <f>M72-M46</f>
        <v>1.1995723549052038</v>
      </c>
    </row>
    <row r="47" spans="2:15" ht="15" customHeight="1" x14ac:dyDescent="0.25">
      <c r="B47" s="35" t="s">
        <v>74</v>
      </c>
      <c r="C47" s="301"/>
      <c r="D47" s="304"/>
      <c r="E47" s="301"/>
      <c r="F47" s="167">
        <f t="shared" ref="F47:F53" si="32">10^-2</f>
        <v>0.01</v>
      </c>
      <c r="G47" s="162">
        <v>300</v>
      </c>
      <c r="H47" s="162">
        <v>300</v>
      </c>
      <c r="I47" s="36">
        <f t="shared" si="26"/>
        <v>300</v>
      </c>
      <c r="J47" s="36">
        <f t="shared" si="27"/>
        <v>300000</v>
      </c>
      <c r="K47" s="37">
        <f t="shared" si="28"/>
        <v>5.4771212547196626</v>
      </c>
      <c r="L47" s="304"/>
      <c r="M47" s="307"/>
      <c r="N47" s="312"/>
      <c r="O47" s="315"/>
    </row>
    <row r="48" spans="2:15" ht="15" customHeight="1" x14ac:dyDescent="0.25">
      <c r="B48" s="35" t="s">
        <v>75</v>
      </c>
      <c r="C48" s="301"/>
      <c r="D48" s="304"/>
      <c r="E48" s="301"/>
      <c r="F48" s="167">
        <f t="shared" si="32"/>
        <v>0.01</v>
      </c>
      <c r="G48" s="162">
        <v>300</v>
      </c>
      <c r="H48" s="162">
        <v>300</v>
      </c>
      <c r="I48" s="36">
        <f t="shared" si="26"/>
        <v>300</v>
      </c>
      <c r="J48" s="36">
        <f t="shared" si="27"/>
        <v>300000</v>
      </c>
      <c r="K48" s="37">
        <f t="shared" si="28"/>
        <v>5.4771212547196626</v>
      </c>
      <c r="L48" s="304"/>
      <c r="M48" s="307"/>
      <c r="N48" s="312"/>
      <c r="O48" s="315"/>
    </row>
    <row r="49" spans="2:15" ht="15.75" customHeight="1" thickBot="1" x14ac:dyDescent="0.3">
      <c r="B49" s="38" t="s">
        <v>76</v>
      </c>
      <c r="C49" s="302"/>
      <c r="D49" s="305"/>
      <c r="E49" s="302"/>
      <c r="F49" s="166">
        <f t="shared" si="32"/>
        <v>0.01</v>
      </c>
      <c r="G49" s="163">
        <v>300</v>
      </c>
      <c r="H49" s="163">
        <v>300</v>
      </c>
      <c r="I49" s="39">
        <f t="shared" si="26"/>
        <v>300</v>
      </c>
      <c r="J49" s="39">
        <f t="shared" si="27"/>
        <v>300000</v>
      </c>
      <c r="K49" s="40">
        <f t="shared" si="28"/>
        <v>5.4771212547196626</v>
      </c>
      <c r="L49" s="305"/>
      <c r="M49" s="308"/>
      <c r="N49" s="313"/>
      <c r="O49" s="316"/>
    </row>
    <row r="50" spans="2:15" x14ac:dyDescent="0.2">
      <c r="B50" s="33" t="s">
        <v>77</v>
      </c>
      <c r="C50" s="300" t="s">
        <v>14</v>
      </c>
      <c r="D50" s="303" t="s">
        <v>23</v>
      </c>
      <c r="E50" s="300" t="s">
        <v>55</v>
      </c>
      <c r="F50" s="167">
        <f>10^-2</f>
        <v>0.01</v>
      </c>
      <c r="G50" s="36">
        <f>86*4</f>
        <v>344</v>
      </c>
      <c r="H50" s="36">
        <f>69*4</f>
        <v>276</v>
      </c>
      <c r="I50" s="36">
        <f t="shared" ref="I50:I53" si="33">AVERAGE(G50:H50)</f>
        <v>310</v>
      </c>
      <c r="J50" s="36">
        <f t="shared" ref="J50:J53" si="34">(1/F50)*I50*10</f>
        <v>310000</v>
      </c>
      <c r="K50" s="34">
        <f t="shared" ref="K50:K53" si="35">LOG(J50)</f>
        <v>5.4913616938342731</v>
      </c>
      <c r="L50" s="303">
        <f t="shared" ref="L50" si="36">AVERAGE(J50:J53)</f>
        <v>308500</v>
      </c>
      <c r="M50" s="306">
        <f t="shared" ref="M50" si="37">LOG(L50)</f>
        <v>5.4892551683692608</v>
      </c>
      <c r="N50" s="311">
        <f t="shared" ref="N50" si="38">STDEV(K50:K53)</f>
        <v>0.12469628114438969</v>
      </c>
      <c r="O50" s="314">
        <f>M72-M50</f>
        <v>1.1874384412556056</v>
      </c>
    </row>
    <row r="51" spans="2:15" ht="15" customHeight="1" x14ac:dyDescent="0.2">
      <c r="B51" s="35" t="s">
        <v>78</v>
      </c>
      <c r="C51" s="301"/>
      <c r="D51" s="304"/>
      <c r="E51" s="301"/>
      <c r="F51" s="167">
        <f t="shared" si="32"/>
        <v>0.01</v>
      </c>
      <c r="G51" s="36">
        <f>53*4</f>
        <v>212</v>
      </c>
      <c r="H51" s="36">
        <f>107*4</f>
        <v>428</v>
      </c>
      <c r="I51" s="36">
        <f t="shared" si="33"/>
        <v>320</v>
      </c>
      <c r="J51" s="36">
        <f t="shared" si="34"/>
        <v>320000</v>
      </c>
      <c r="K51" s="37">
        <f t="shared" si="35"/>
        <v>5.5051499783199063</v>
      </c>
      <c r="L51" s="304"/>
      <c r="M51" s="307"/>
      <c r="N51" s="312"/>
      <c r="O51" s="315"/>
    </row>
    <row r="52" spans="2:15" ht="15" customHeight="1" x14ac:dyDescent="0.2">
      <c r="B52" s="35" t="s">
        <v>79</v>
      </c>
      <c r="C52" s="301"/>
      <c r="D52" s="304"/>
      <c r="E52" s="301"/>
      <c r="F52" s="167">
        <f t="shared" si="32"/>
        <v>0.01</v>
      </c>
      <c r="G52" s="36">
        <f>41*4</f>
        <v>164</v>
      </c>
      <c r="H52" s="36">
        <f>60*4</f>
        <v>240</v>
      </c>
      <c r="I52" s="36">
        <f t="shared" si="33"/>
        <v>202</v>
      </c>
      <c r="J52" s="36">
        <f t="shared" si="34"/>
        <v>202000</v>
      </c>
      <c r="K52" s="37">
        <f t="shared" si="35"/>
        <v>5.3053513694466234</v>
      </c>
      <c r="L52" s="304"/>
      <c r="M52" s="307"/>
      <c r="N52" s="312"/>
      <c r="O52" s="315"/>
    </row>
    <row r="53" spans="2:15" ht="15.75" customHeight="1" thickBot="1" x14ac:dyDescent="0.25">
      <c r="B53" s="38" t="s">
        <v>80</v>
      </c>
      <c r="C53" s="302"/>
      <c r="D53" s="305"/>
      <c r="E53" s="302"/>
      <c r="F53" s="166">
        <f t="shared" si="32"/>
        <v>0.01</v>
      </c>
      <c r="G53" s="39">
        <f>86*4</f>
        <v>344</v>
      </c>
      <c r="H53" s="39">
        <f>115*4</f>
        <v>460</v>
      </c>
      <c r="I53" s="39">
        <f t="shared" si="33"/>
        <v>402</v>
      </c>
      <c r="J53" s="39">
        <f t="shared" si="34"/>
        <v>402000</v>
      </c>
      <c r="K53" s="40">
        <f t="shared" si="35"/>
        <v>5.6042260530844699</v>
      </c>
      <c r="L53" s="305"/>
      <c r="M53" s="308"/>
      <c r="N53" s="313"/>
      <c r="O53" s="316"/>
    </row>
    <row r="54" spans="2:15" x14ac:dyDescent="0.2">
      <c r="B54" s="41" t="s">
        <v>81</v>
      </c>
      <c r="C54" s="247" t="s">
        <v>14</v>
      </c>
      <c r="D54" s="250" t="s">
        <v>24</v>
      </c>
      <c r="E54" s="247" t="s">
        <v>53</v>
      </c>
      <c r="F54" s="164">
        <f>10^-1</f>
        <v>0.1</v>
      </c>
      <c r="G54" s="42">
        <v>18</v>
      </c>
      <c r="H54" s="43">
        <v>12</v>
      </c>
      <c r="I54" s="42">
        <f t="shared" si="1"/>
        <v>15</v>
      </c>
      <c r="J54" s="42">
        <f>(1/F54)*I54*10</f>
        <v>1500</v>
      </c>
      <c r="K54" s="44">
        <f t="shared" si="3"/>
        <v>3.1760912590556813</v>
      </c>
      <c r="L54" s="250">
        <f t="shared" ref="L54" si="39">AVERAGE(J54:J57)</f>
        <v>144375</v>
      </c>
      <c r="M54" s="253">
        <f t="shared" ref="M54" si="40">LOG(L54)</f>
        <v>5.1594919972362199</v>
      </c>
      <c r="N54" s="256">
        <f t="shared" ref="N54" si="41">STDEV(K54:K57)</f>
        <v>1.0554563921029994</v>
      </c>
      <c r="O54" s="331">
        <f>M75-M54</f>
        <v>1.530704082792294</v>
      </c>
    </row>
    <row r="55" spans="2:15" x14ac:dyDescent="0.2">
      <c r="B55" s="45" t="s">
        <v>82</v>
      </c>
      <c r="C55" s="248"/>
      <c r="D55" s="251"/>
      <c r="E55" s="248"/>
      <c r="F55" s="113">
        <f>10^-2</f>
        <v>0.01</v>
      </c>
      <c r="G55" s="46">
        <f>66*4</f>
        <v>264</v>
      </c>
      <c r="H55" s="47">
        <f>42*4</f>
        <v>168</v>
      </c>
      <c r="I55" s="46">
        <f t="shared" si="1"/>
        <v>216</v>
      </c>
      <c r="J55" s="46">
        <f t="shared" ref="J55:J65" si="42">(1/F55)*I55*10</f>
        <v>216000</v>
      </c>
      <c r="K55" s="48">
        <f t="shared" si="3"/>
        <v>5.3344537511509307</v>
      </c>
      <c r="L55" s="251"/>
      <c r="M55" s="254"/>
      <c r="N55" s="257"/>
      <c r="O55" s="321"/>
    </row>
    <row r="56" spans="2:15" x14ac:dyDescent="0.2">
      <c r="B56" s="45" t="s">
        <v>83</v>
      </c>
      <c r="C56" s="248"/>
      <c r="D56" s="251"/>
      <c r="E56" s="248"/>
      <c r="F56" s="113">
        <f>10^-2</f>
        <v>0.01</v>
      </c>
      <c r="G56" s="46">
        <v>53</v>
      </c>
      <c r="H56" s="47">
        <v>55</v>
      </c>
      <c r="I56" s="46">
        <f t="shared" si="1"/>
        <v>54</v>
      </c>
      <c r="J56" s="46">
        <f t="shared" si="42"/>
        <v>54000</v>
      </c>
      <c r="K56" s="48">
        <f t="shared" si="3"/>
        <v>4.7323937598229682</v>
      </c>
      <c r="L56" s="251"/>
      <c r="M56" s="254"/>
      <c r="N56" s="257"/>
      <c r="O56" s="321"/>
    </row>
    <row r="57" spans="2:15" ht="15" thickBot="1" x14ac:dyDescent="0.25">
      <c r="B57" s="124" t="s">
        <v>84</v>
      </c>
      <c r="C57" s="249"/>
      <c r="D57" s="252"/>
      <c r="E57" s="249"/>
      <c r="F57" s="168">
        <f>10^-2</f>
        <v>0.01</v>
      </c>
      <c r="G57" s="49">
        <f>75*4</f>
        <v>300</v>
      </c>
      <c r="H57" s="50">
        <f>78*4</f>
        <v>312</v>
      </c>
      <c r="I57" s="49">
        <f t="shared" si="1"/>
        <v>306</v>
      </c>
      <c r="J57" s="49">
        <f t="shared" si="42"/>
        <v>306000</v>
      </c>
      <c r="K57" s="51">
        <f t="shared" si="3"/>
        <v>5.4857214264815797</v>
      </c>
      <c r="L57" s="252"/>
      <c r="M57" s="255"/>
      <c r="N57" s="258"/>
      <c r="O57" s="322"/>
    </row>
    <row r="58" spans="2:15" x14ac:dyDescent="0.2">
      <c r="B58" s="157" t="s">
        <v>85</v>
      </c>
      <c r="C58" s="247" t="s">
        <v>14</v>
      </c>
      <c r="D58" s="250" t="s">
        <v>24</v>
      </c>
      <c r="E58" s="247" t="s">
        <v>54</v>
      </c>
      <c r="F58" s="164">
        <f>10^-1</f>
        <v>0.1</v>
      </c>
      <c r="G58" s="121">
        <v>24</v>
      </c>
      <c r="H58" s="122">
        <v>18</v>
      </c>
      <c r="I58" s="121">
        <f t="shared" ref="I58:I61" si="43">AVERAGE(G58:H58)</f>
        <v>21</v>
      </c>
      <c r="J58" s="121">
        <f t="shared" si="42"/>
        <v>2100</v>
      </c>
      <c r="K58" s="123">
        <f t="shared" ref="K58:K61" si="44">LOG(J58)</f>
        <v>3.3222192947339191</v>
      </c>
      <c r="L58" s="250">
        <f t="shared" ref="L58" si="45">AVERAGE(J58:J61)</f>
        <v>85275</v>
      </c>
      <c r="M58" s="253">
        <f t="shared" ref="M58" si="46">LOG(L58)</f>
        <v>4.9308217280794349</v>
      </c>
      <c r="N58" s="256">
        <f>STDEV(K58:K61)</f>
        <v>0.91715161682297563</v>
      </c>
      <c r="O58" s="320">
        <f>M75-M58</f>
        <v>1.759374351949079</v>
      </c>
    </row>
    <row r="59" spans="2:15" x14ac:dyDescent="0.2">
      <c r="B59" s="96" t="s">
        <v>86</v>
      </c>
      <c r="C59" s="248"/>
      <c r="D59" s="251"/>
      <c r="E59" s="248"/>
      <c r="F59" s="113">
        <f>10^-2</f>
        <v>0.01</v>
      </c>
      <c r="G59" s="46">
        <v>121</v>
      </c>
      <c r="H59" s="47">
        <v>145</v>
      </c>
      <c r="I59" s="46">
        <f t="shared" si="43"/>
        <v>133</v>
      </c>
      <c r="J59" s="46">
        <f t="shared" si="42"/>
        <v>133000</v>
      </c>
      <c r="K59" s="48">
        <f t="shared" si="44"/>
        <v>5.1238516409670858</v>
      </c>
      <c r="L59" s="251"/>
      <c r="M59" s="254"/>
      <c r="N59" s="257"/>
      <c r="O59" s="321"/>
    </row>
    <row r="60" spans="2:15" x14ac:dyDescent="0.2">
      <c r="B60" s="96" t="s">
        <v>87</v>
      </c>
      <c r="C60" s="248"/>
      <c r="D60" s="251"/>
      <c r="E60" s="248"/>
      <c r="F60" s="113">
        <f>10^-2</f>
        <v>0.01</v>
      </c>
      <c r="G60" s="46">
        <v>17</v>
      </c>
      <c r="H60" s="47">
        <v>10</v>
      </c>
      <c r="I60" s="46">
        <f t="shared" si="43"/>
        <v>13.5</v>
      </c>
      <c r="J60" s="46">
        <f t="shared" si="42"/>
        <v>13500</v>
      </c>
      <c r="K60" s="48">
        <f t="shared" si="44"/>
        <v>4.1303337684950066</v>
      </c>
      <c r="L60" s="251"/>
      <c r="M60" s="254"/>
      <c r="N60" s="257"/>
      <c r="O60" s="321"/>
    </row>
    <row r="61" spans="2:15" ht="15" thickBot="1" x14ac:dyDescent="0.25">
      <c r="B61" s="124" t="s">
        <v>88</v>
      </c>
      <c r="C61" s="249"/>
      <c r="D61" s="252"/>
      <c r="E61" s="249"/>
      <c r="F61" s="168">
        <f>10^-2</f>
        <v>0.01</v>
      </c>
      <c r="G61" s="49">
        <v>190</v>
      </c>
      <c r="H61" s="50">
        <v>195</v>
      </c>
      <c r="I61" s="49">
        <f t="shared" si="43"/>
        <v>192.5</v>
      </c>
      <c r="J61" s="49">
        <f t="shared" si="42"/>
        <v>192500</v>
      </c>
      <c r="K61" s="51">
        <f t="shared" si="44"/>
        <v>5.2844307338445198</v>
      </c>
      <c r="L61" s="252"/>
      <c r="M61" s="255"/>
      <c r="N61" s="258"/>
      <c r="O61" s="322"/>
    </row>
    <row r="62" spans="2:15" x14ac:dyDescent="0.2">
      <c r="B62" s="120" t="s">
        <v>89</v>
      </c>
      <c r="C62" s="290" t="s">
        <v>14</v>
      </c>
      <c r="D62" s="251" t="s">
        <v>24</v>
      </c>
      <c r="E62" s="247" t="s">
        <v>55</v>
      </c>
      <c r="F62" s="169">
        <f>10^-1</f>
        <v>0.1</v>
      </c>
      <c r="G62" s="121">
        <v>174</v>
      </c>
      <c r="H62" s="122">
        <v>125</v>
      </c>
      <c r="I62" s="121">
        <f t="shared" ref="I62:I65" si="47">AVERAGE(G62:H62)</f>
        <v>149.5</v>
      </c>
      <c r="J62" s="121">
        <f t="shared" si="42"/>
        <v>14950</v>
      </c>
      <c r="K62" s="123">
        <f t="shared" ref="K62:K65" si="48">LOG(J62)</f>
        <v>4.1746411926604488</v>
      </c>
      <c r="L62" s="250">
        <f t="shared" ref="L62" si="49">AVERAGE(J62:J65)</f>
        <v>16587.5</v>
      </c>
      <c r="M62" s="253">
        <f t="shared" ref="M62" si="50">LOG(L62)</f>
        <v>4.2197809358724916</v>
      </c>
      <c r="N62" s="256">
        <f>STDEV(K62:K65)</f>
        <v>0.58621581031365477</v>
      </c>
      <c r="O62" s="320">
        <f>M75-M62</f>
        <v>2.4704151441560223</v>
      </c>
    </row>
    <row r="63" spans="2:15" x14ac:dyDescent="0.2">
      <c r="B63" s="96" t="s">
        <v>90</v>
      </c>
      <c r="C63" s="248"/>
      <c r="D63" s="251"/>
      <c r="E63" s="248"/>
      <c r="F63" s="113">
        <f>10^-1</f>
        <v>0.1</v>
      </c>
      <c r="G63" s="46">
        <f>80*4</f>
        <v>320</v>
      </c>
      <c r="H63" s="47">
        <f>112*4</f>
        <v>448</v>
      </c>
      <c r="I63" s="46">
        <f t="shared" si="47"/>
        <v>384</v>
      </c>
      <c r="J63" s="46">
        <f t="shared" si="42"/>
        <v>38400</v>
      </c>
      <c r="K63" s="48">
        <f t="shared" si="48"/>
        <v>4.5843312243675305</v>
      </c>
      <c r="L63" s="251"/>
      <c r="M63" s="254"/>
      <c r="N63" s="257"/>
      <c r="O63" s="321"/>
    </row>
    <row r="64" spans="2:15" x14ac:dyDescent="0.2">
      <c r="B64" s="96" t="s">
        <v>91</v>
      </c>
      <c r="C64" s="248"/>
      <c r="D64" s="251"/>
      <c r="E64" s="248"/>
      <c r="F64" s="113">
        <f>10^-1</f>
        <v>0.1</v>
      </c>
      <c r="G64" s="46">
        <v>136</v>
      </c>
      <c r="H64" s="47">
        <v>93</v>
      </c>
      <c r="I64" s="46">
        <f t="shared" si="47"/>
        <v>114.5</v>
      </c>
      <c r="J64" s="46">
        <f t="shared" si="42"/>
        <v>11450</v>
      </c>
      <c r="K64" s="48">
        <f t="shared" si="48"/>
        <v>4.0588054866759071</v>
      </c>
      <c r="L64" s="251"/>
      <c r="M64" s="254"/>
      <c r="N64" s="257"/>
      <c r="O64" s="321"/>
    </row>
    <row r="65" spans="2:15" ht="15" thickBot="1" x14ac:dyDescent="0.25">
      <c r="B65" s="96" t="s">
        <v>92</v>
      </c>
      <c r="C65" s="291"/>
      <c r="D65" s="251"/>
      <c r="E65" s="249"/>
      <c r="F65" s="168">
        <f>10^-1</f>
        <v>0.1</v>
      </c>
      <c r="G65" s="97">
        <v>20</v>
      </c>
      <c r="H65" s="98">
        <v>11</v>
      </c>
      <c r="I65" s="97">
        <f t="shared" si="47"/>
        <v>15.5</v>
      </c>
      <c r="J65" s="97">
        <f t="shared" si="42"/>
        <v>1550</v>
      </c>
      <c r="K65" s="99">
        <f t="shared" si="48"/>
        <v>3.1903316981702914</v>
      </c>
      <c r="L65" s="252"/>
      <c r="M65" s="255"/>
      <c r="N65" s="258"/>
      <c r="O65" s="322"/>
    </row>
    <row r="66" spans="2:15" ht="15" customHeight="1" x14ac:dyDescent="0.2">
      <c r="B66" s="52" t="s">
        <v>93</v>
      </c>
      <c r="C66" s="262" t="s">
        <v>16</v>
      </c>
      <c r="D66" s="270" t="s">
        <v>21</v>
      </c>
      <c r="E66" s="133" t="s">
        <v>53</v>
      </c>
      <c r="F66" s="126">
        <f>10^-3</f>
        <v>1E-3</v>
      </c>
      <c r="G66" s="53">
        <v>34</v>
      </c>
      <c r="H66" s="53">
        <v>23</v>
      </c>
      <c r="I66" s="53">
        <f t="shared" si="1"/>
        <v>28.5</v>
      </c>
      <c r="J66" s="53">
        <f t="shared" si="2"/>
        <v>285000</v>
      </c>
      <c r="K66" s="54">
        <f t="shared" si="3"/>
        <v>5.4548448600085102</v>
      </c>
      <c r="L66" s="221">
        <f>AVERAGE(J66:J68)</f>
        <v>468333.33333333331</v>
      </c>
      <c r="M66" s="210">
        <f>LOG(L66)</f>
        <v>5.670555069521436</v>
      </c>
      <c r="N66" s="213">
        <f>STDEV(K66:K68)</f>
        <v>0.17278935569501122</v>
      </c>
      <c r="O66" s="317"/>
    </row>
    <row r="67" spans="2:15" ht="15" customHeight="1" x14ac:dyDescent="0.2">
      <c r="B67" s="125" t="s">
        <v>94</v>
      </c>
      <c r="C67" s="263"/>
      <c r="D67" s="268"/>
      <c r="E67" s="132" t="s">
        <v>54</v>
      </c>
      <c r="F67" s="126">
        <f>10^-3</f>
        <v>1E-3</v>
      </c>
      <c r="G67" s="127">
        <v>51</v>
      </c>
      <c r="H67" s="127">
        <v>51</v>
      </c>
      <c r="I67" s="127">
        <f t="shared" si="1"/>
        <v>51</v>
      </c>
      <c r="J67" s="127">
        <f t="shared" si="2"/>
        <v>510000</v>
      </c>
      <c r="K67" s="128">
        <f t="shared" si="3"/>
        <v>5.7075701760979367</v>
      </c>
      <c r="L67" s="217"/>
      <c r="M67" s="211"/>
      <c r="N67" s="214"/>
      <c r="O67" s="318"/>
    </row>
    <row r="68" spans="2:15" ht="15" customHeight="1" x14ac:dyDescent="0.2">
      <c r="B68" s="125" t="s">
        <v>95</v>
      </c>
      <c r="C68" s="263"/>
      <c r="D68" s="263"/>
      <c r="E68" s="153" t="s">
        <v>55</v>
      </c>
      <c r="F68" s="126">
        <f>10^-3</f>
        <v>1E-3</v>
      </c>
      <c r="G68" s="127">
        <v>39</v>
      </c>
      <c r="H68" s="127">
        <v>83</v>
      </c>
      <c r="I68" s="57">
        <f t="shared" si="1"/>
        <v>61</v>
      </c>
      <c r="J68" s="57">
        <f t="shared" si="2"/>
        <v>610000</v>
      </c>
      <c r="K68" s="58">
        <f t="shared" si="3"/>
        <v>5.7853298350107671</v>
      </c>
      <c r="L68" s="218"/>
      <c r="M68" s="212"/>
      <c r="N68" s="215"/>
      <c r="O68" s="318"/>
    </row>
    <row r="69" spans="2:15" ht="15" customHeight="1" x14ac:dyDescent="0.2">
      <c r="B69" s="55" t="s">
        <v>96</v>
      </c>
      <c r="C69" s="264"/>
      <c r="D69" s="265" t="s">
        <v>22</v>
      </c>
      <c r="E69" s="154" t="s">
        <v>53</v>
      </c>
      <c r="F69" s="56">
        <f t="shared" ref="F69:F77" si="51">10^-4</f>
        <v>1E-4</v>
      </c>
      <c r="G69" s="57">
        <v>69</v>
      </c>
      <c r="H69" s="57">
        <v>70</v>
      </c>
      <c r="I69" s="57">
        <f t="shared" si="1"/>
        <v>69.5</v>
      </c>
      <c r="J69" s="57">
        <f t="shared" si="2"/>
        <v>6950000</v>
      </c>
      <c r="K69" s="58">
        <f t="shared" si="3"/>
        <v>6.8419848045901137</v>
      </c>
      <c r="L69" s="216">
        <f>AVERAGE(J69:J71)</f>
        <v>4950000</v>
      </c>
      <c r="M69" s="219">
        <f t="shared" ref="M69" si="52">LOG(L69)</f>
        <v>6.6946051989335684</v>
      </c>
      <c r="N69" s="220">
        <f>STDEV(K69:K71)</f>
        <v>0.14218096942753639</v>
      </c>
      <c r="O69" s="318"/>
    </row>
    <row r="70" spans="2:15" ht="15" customHeight="1" x14ac:dyDescent="0.2">
      <c r="B70" s="55" t="s">
        <v>97</v>
      </c>
      <c r="C70" s="264"/>
      <c r="D70" s="268"/>
      <c r="E70" s="153" t="s">
        <v>54</v>
      </c>
      <c r="F70" s="56">
        <f t="shared" si="51"/>
        <v>1E-4</v>
      </c>
      <c r="G70" s="57">
        <v>31</v>
      </c>
      <c r="H70" s="57">
        <v>50</v>
      </c>
      <c r="I70" s="57">
        <f t="shared" si="1"/>
        <v>40.5</v>
      </c>
      <c r="J70" s="57">
        <f t="shared" si="2"/>
        <v>4050000</v>
      </c>
      <c r="K70" s="58">
        <f t="shared" si="3"/>
        <v>6.6074550232146683</v>
      </c>
      <c r="L70" s="217"/>
      <c r="M70" s="211"/>
      <c r="N70" s="214"/>
      <c r="O70" s="318"/>
    </row>
    <row r="71" spans="2:15" ht="15" customHeight="1" x14ac:dyDescent="0.2">
      <c r="B71" s="55" t="s">
        <v>98</v>
      </c>
      <c r="C71" s="264"/>
      <c r="D71" s="263"/>
      <c r="E71" s="153" t="s">
        <v>55</v>
      </c>
      <c r="F71" s="56">
        <f t="shared" si="51"/>
        <v>1E-4</v>
      </c>
      <c r="G71" s="57">
        <v>36</v>
      </c>
      <c r="H71" s="57">
        <v>41</v>
      </c>
      <c r="I71" s="57">
        <f t="shared" si="1"/>
        <v>38.5</v>
      </c>
      <c r="J71" s="57">
        <f t="shared" si="2"/>
        <v>3850000</v>
      </c>
      <c r="K71" s="58">
        <f t="shared" si="3"/>
        <v>6.585460729508501</v>
      </c>
      <c r="L71" s="218"/>
      <c r="M71" s="212"/>
      <c r="N71" s="215"/>
      <c r="O71" s="318"/>
    </row>
    <row r="72" spans="2:15" ht="15" customHeight="1" x14ac:dyDescent="0.2">
      <c r="B72" s="55" t="s">
        <v>99</v>
      </c>
      <c r="C72" s="264"/>
      <c r="D72" s="265" t="s">
        <v>23</v>
      </c>
      <c r="E72" s="154" t="s">
        <v>53</v>
      </c>
      <c r="F72" s="56">
        <f t="shared" si="51"/>
        <v>1E-4</v>
      </c>
      <c r="G72" s="57">
        <v>38</v>
      </c>
      <c r="H72" s="57">
        <v>40</v>
      </c>
      <c r="I72" s="57">
        <f t="shared" si="1"/>
        <v>39</v>
      </c>
      <c r="J72" s="57">
        <f t="shared" si="2"/>
        <v>3900000</v>
      </c>
      <c r="K72" s="58">
        <f t="shared" si="3"/>
        <v>6.5910646070264995</v>
      </c>
      <c r="L72" s="216">
        <f>AVERAGE(J72:J74)</f>
        <v>4750000</v>
      </c>
      <c r="M72" s="219">
        <f t="shared" ref="M72" si="53">LOG(L72)</f>
        <v>6.6766936096248664</v>
      </c>
      <c r="N72" s="220">
        <f>STDEV(K72:K74)</f>
        <v>0.10928280681927022</v>
      </c>
      <c r="O72" s="318"/>
    </row>
    <row r="73" spans="2:15" ht="15" customHeight="1" x14ac:dyDescent="0.2">
      <c r="B73" s="55" t="s">
        <v>100</v>
      </c>
      <c r="C73" s="265"/>
      <c r="D73" s="268"/>
      <c r="E73" s="153" t="s">
        <v>54</v>
      </c>
      <c r="F73" s="56">
        <f t="shared" si="51"/>
        <v>1E-4</v>
      </c>
      <c r="G73" s="130">
        <v>32</v>
      </c>
      <c r="H73" s="130">
        <v>51</v>
      </c>
      <c r="I73" s="57">
        <f t="shared" si="1"/>
        <v>41.5</v>
      </c>
      <c r="J73" s="57">
        <f t="shared" si="2"/>
        <v>4150000</v>
      </c>
      <c r="K73" s="58">
        <f t="shared" si="3"/>
        <v>6.6180480967120925</v>
      </c>
      <c r="L73" s="217"/>
      <c r="M73" s="211"/>
      <c r="N73" s="214"/>
      <c r="O73" s="318"/>
    </row>
    <row r="74" spans="2:15" ht="15" customHeight="1" x14ac:dyDescent="0.2">
      <c r="B74" s="55" t="s">
        <v>101</v>
      </c>
      <c r="C74" s="265"/>
      <c r="D74" s="263"/>
      <c r="E74" s="153" t="s">
        <v>55</v>
      </c>
      <c r="F74" s="56">
        <f t="shared" si="51"/>
        <v>1E-4</v>
      </c>
      <c r="G74" s="130">
        <v>58</v>
      </c>
      <c r="H74" s="130">
        <v>66</v>
      </c>
      <c r="I74" s="57">
        <f t="shared" si="1"/>
        <v>62</v>
      </c>
      <c r="J74" s="57">
        <f t="shared" si="2"/>
        <v>6200000</v>
      </c>
      <c r="K74" s="58">
        <f t="shared" si="3"/>
        <v>6.7923916894982534</v>
      </c>
      <c r="L74" s="218"/>
      <c r="M74" s="212"/>
      <c r="N74" s="215"/>
      <c r="O74" s="318"/>
    </row>
    <row r="75" spans="2:15" ht="15" customHeight="1" x14ac:dyDescent="0.2">
      <c r="B75" s="129" t="s">
        <v>102</v>
      </c>
      <c r="C75" s="265"/>
      <c r="D75" s="265" t="s">
        <v>24</v>
      </c>
      <c r="E75" s="154" t="s">
        <v>53</v>
      </c>
      <c r="F75" s="56">
        <f t="shared" si="51"/>
        <v>1E-4</v>
      </c>
      <c r="G75" s="57">
        <v>40</v>
      </c>
      <c r="H75" s="57">
        <v>49</v>
      </c>
      <c r="I75" s="57">
        <f>AVERAGE(G75:H75)</f>
        <v>44.5</v>
      </c>
      <c r="J75" s="57">
        <f>(1/F75)*I75*10</f>
        <v>4450000</v>
      </c>
      <c r="K75" s="58">
        <f>LOG(J75)</f>
        <v>6.648360010980932</v>
      </c>
      <c r="L75" s="296">
        <f>AVERAGE(J75:J77)</f>
        <v>4900000</v>
      </c>
      <c r="M75" s="332">
        <f t="shared" ref="M75" si="54">LOG(L75)</f>
        <v>6.6901960800285138</v>
      </c>
      <c r="N75" s="298">
        <f>STDEV(K75:K77)</f>
        <v>0.13095139258106997</v>
      </c>
      <c r="O75" s="318"/>
    </row>
    <row r="76" spans="2:15" ht="15" customHeight="1" x14ac:dyDescent="0.2">
      <c r="B76" s="129" t="s">
        <v>103</v>
      </c>
      <c r="C76" s="265"/>
      <c r="D76" s="268"/>
      <c r="E76" s="153" t="s">
        <v>54</v>
      </c>
      <c r="F76" s="56">
        <f t="shared" si="51"/>
        <v>1E-4</v>
      </c>
      <c r="G76" s="57">
        <v>33</v>
      </c>
      <c r="H76" s="57">
        <v>40</v>
      </c>
      <c r="I76" s="57">
        <f>AVERAGE(G76:H76)</f>
        <v>36.5</v>
      </c>
      <c r="J76" s="57">
        <f>(1/F76)*I76*10</f>
        <v>3650000</v>
      </c>
      <c r="K76" s="58">
        <f>LOG(J76)</f>
        <v>6.5622928644564746</v>
      </c>
      <c r="L76" s="216"/>
      <c r="M76" s="219"/>
      <c r="N76" s="220"/>
      <c r="O76" s="318"/>
    </row>
    <row r="77" spans="2:15" ht="15.75" customHeight="1" thickBot="1" x14ac:dyDescent="0.25">
      <c r="B77" s="59" t="s">
        <v>104</v>
      </c>
      <c r="C77" s="266"/>
      <c r="D77" s="269"/>
      <c r="E77" s="153" t="s">
        <v>55</v>
      </c>
      <c r="F77" s="56">
        <f t="shared" si="51"/>
        <v>1E-4</v>
      </c>
      <c r="G77" s="134">
        <v>49</v>
      </c>
      <c r="H77" s="134">
        <v>83</v>
      </c>
      <c r="I77" s="134">
        <f>AVERAGE(G77:H77)</f>
        <v>66</v>
      </c>
      <c r="J77" s="134">
        <f>(1/F77)*I77*10</f>
        <v>6600000</v>
      </c>
      <c r="K77" s="135">
        <f>LOG(J77)</f>
        <v>6.8195439355418683</v>
      </c>
      <c r="L77" s="297"/>
      <c r="M77" s="333"/>
      <c r="N77" s="299"/>
      <c r="O77" s="319"/>
    </row>
    <row r="78" spans="2:15" ht="6.75" customHeight="1" x14ac:dyDescent="0.2"/>
    <row r="79" spans="2:15" ht="6.75" customHeight="1" thickBot="1" x14ac:dyDescent="0.25"/>
    <row r="80" spans="2:15" ht="16.5" thickBot="1" x14ac:dyDescent="0.3">
      <c r="B80" s="325" t="s">
        <v>105</v>
      </c>
      <c r="C80" s="326"/>
      <c r="D80" s="326"/>
      <c r="E80" s="326"/>
      <c r="F80" s="326"/>
      <c r="G80" s="326"/>
      <c r="H80" s="326"/>
      <c r="I80" s="326"/>
      <c r="J80" s="326"/>
      <c r="K80" s="326"/>
      <c r="L80" s="326"/>
      <c r="M80" s="326"/>
      <c r="N80" s="326"/>
      <c r="O80" s="327"/>
    </row>
    <row r="81" spans="2:15" ht="30.75" thickBot="1" x14ac:dyDescent="0.25">
      <c r="B81" s="65" t="s">
        <v>2</v>
      </c>
      <c r="C81" s="66" t="s">
        <v>13</v>
      </c>
      <c r="D81" s="17" t="s">
        <v>20</v>
      </c>
      <c r="E81" s="66" t="s">
        <v>12</v>
      </c>
      <c r="F81" s="66" t="s">
        <v>3</v>
      </c>
      <c r="G81" s="66" t="s">
        <v>4</v>
      </c>
      <c r="H81" s="66" t="s">
        <v>5</v>
      </c>
      <c r="I81" s="66" t="s">
        <v>6</v>
      </c>
      <c r="J81" s="66" t="s">
        <v>7</v>
      </c>
      <c r="K81" s="66" t="s">
        <v>8</v>
      </c>
      <c r="L81" s="66" t="s">
        <v>9</v>
      </c>
      <c r="M81" s="66" t="s">
        <v>10</v>
      </c>
      <c r="N81" s="67" t="s">
        <v>11</v>
      </c>
      <c r="O81" s="68" t="s">
        <v>19</v>
      </c>
    </row>
    <row r="82" spans="2:15" x14ac:dyDescent="0.2">
      <c r="B82" s="72" t="s">
        <v>106</v>
      </c>
      <c r="C82" s="271" t="s">
        <v>14</v>
      </c>
      <c r="D82" s="274" t="s">
        <v>21</v>
      </c>
      <c r="E82" s="271" t="s">
        <v>53</v>
      </c>
      <c r="F82" s="26">
        <f>10^-2</f>
        <v>0.01</v>
      </c>
      <c r="G82" s="27">
        <v>268</v>
      </c>
      <c r="H82" s="27">
        <v>292</v>
      </c>
      <c r="I82" s="27">
        <f>AVERAGE(G82:H82)</f>
        <v>280</v>
      </c>
      <c r="J82" s="27">
        <f>(1/F82)*I82*10</f>
        <v>280000</v>
      </c>
      <c r="K82" s="28">
        <f>LOG(J82)</f>
        <v>5.4471580313422194</v>
      </c>
      <c r="L82" s="274">
        <f>AVERAGE(J82:J85)</f>
        <v>268250</v>
      </c>
      <c r="M82" s="277">
        <f>LOG(L82)</f>
        <v>5.428539730637989</v>
      </c>
      <c r="N82" s="279">
        <f>STDEV(K82:K85)</f>
        <v>1.9465057688136805E-2</v>
      </c>
      <c r="O82" s="284">
        <f>M130-M82</f>
        <v>0.81861488424313755</v>
      </c>
    </row>
    <row r="83" spans="2:15" x14ac:dyDescent="0.2">
      <c r="B83" s="69" t="s">
        <v>107</v>
      </c>
      <c r="C83" s="272"/>
      <c r="D83" s="275"/>
      <c r="E83" s="272"/>
      <c r="F83" s="30">
        <f t="shared" ref="F83:F89" si="55">10^-2</f>
        <v>0.01</v>
      </c>
      <c r="G83" s="31">
        <v>290</v>
      </c>
      <c r="H83" s="31">
        <v>264</v>
      </c>
      <c r="I83" s="31">
        <f t="shared" ref="I83:I141" si="56">AVERAGE(G83:H83)</f>
        <v>277</v>
      </c>
      <c r="J83" s="31">
        <f t="shared" ref="J83:J109" si="57">(1/F83)*I83*10</f>
        <v>277000</v>
      </c>
      <c r="K83" s="32">
        <f t="shared" ref="K83:K141" si="58">LOG(J83)</f>
        <v>5.4424797690644482</v>
      </c>
      <c r="L83" s="275"/>
      <c r="M83" s="278"/>
      <c r="N83" s="280"/>
      <c r="O83" s="285"/>
    </row>
    <row r="84" spans="2:15" x14ac:dyDescent="0.2">
      <c r="B84" s="69" t="s">
        <v>108</v>
      </c>
      <c r="C84" s="272"/>
      <c r="D84" s="275"/>
      <c r="E84" s="272"/>
      <c r="F84" s="30">
        <f t="shared" si="55"/>
        <v>0.01</v>
      </c>
      <c r="G84" s="31">
        <v>240</v>
      </c>
      <c r="H84" s="31">
        <v>280</v>
      </c>
      <c r="I84" s="31">
        <f t="shared" si="56"/>
        <v>260</v>
      </c>
      <c r="J84" s="31">
        <f t="shared" si="57"/>
        <v>260000</v>
      </c>
      <c r="K84" s="32">
        <f t="shared" si="58"/>
        <v>5.4149733479708182</v>
      </c>
      <c r="L84" s="275"/>
      <c r="M84" s="278"/>
      <c r="N84" s="280"/>
      <c r="O84" s="285"/>
    </row>
    <row r="85" spans="2:15" ht="15" thickBot="1" x14ac:dyDescent="0.25">
      <c r="B85" s="83" t="s">
        <v>109</v>
      </c>
      <c r="C85" s="273"/>
      <c r="D85" s="276"/>
      <c r="E85" s="273"/>
      <c r="F85" s="30">
        <f t="shared" si="55"/>
        <v>0.01</v>
      </c>
      <c r="G85" s="84">
        <v>244</v>
      </c>
      <c r="H85" s="84">
        <v>268</v>
      </c>
      <c r="I85" s="84">
        <f t="shared" si="56"/>
        <v>256</v>
      </c>
      <c r="J85" s="84">
        <f t="shared" si="57"/>
        <v>256000</v>
      </c>
      <c r="K85" s="85">
        <f t="shared" si="58"/>
        <v>5.4082399653118491</v>
      </c>
      <c r="L85" s="275"/>
      <c r="M85" s="278"/>
      <c r="N85" s="280"/>
      <c r="O85" s="285"/>
    </row>
    <row r="86" spans="2:15" x14ac:dyDescent="0.2">
      <c r="B86" s="72" t="s">
        <v>110</v>
      </c>
      <c r="C86" s="271" t="s">
        <v>14</v>
      </c>
      <c r="D86" s="274" t="s">
        <v>21</v>
      </c>
      <c r="E86" s="271" t="s">
        <v>54</v>
      </c>
      <c r="F86" s="26">
        <f>10^-2</f>
        <v>0.01</v>
      </c>
      <c r="G86" s="170">
        <v>360</v>
      </c>
      <c r="H86" s="171">
        <v>522</v>
      </c>
      <c r="I86" s="27">
        <f>AVERAGE(G86:H86)</f>
        <v>441</v>
      </c>
      <c r="J86" s="27">
        <f>(1/F86)*I86*10</f>
        <v>441000</v>
      </c>
      <c r="K86" s="28">
        <f>LOG(J86)</f>
        <v>5.6444385894678382</v>
      </c>
      <c r="L86" s="274">
        <f>AVERAGE(J86:J89)</f>
        <v>229500</v>
      </c>
      <c r="M86" s="277">
        <f>LOG(L86)</f>
        <v>5.3607826898732798</v>
      </c>
      <c r="N86" s="279">
        <f>STDEV(K86:K89)</f>
        <v>0.2278837690487194</v>
      </c>
      <c r="O86" s="284">
        <f>M130-M86</f>
        <v>0.88637192500784678</v>
      </c>
    </row>
    <row r="87" spans="2:15" x14ac:dyDescent="0.2">
      <c r="B87" s="69" t="s">
        <v>111</v>
      </c>
      <c r="C87" s="272"/>
      <c r="D87" s="275"/>
      <c r="E87" s="272"/>
      <c r="F87" s="30">
        <f t="shared" si="55"/>
        <v>0.01</v>
      </c>
      <c r="G87" s="172">
        <v>175</v>
      </c>
      <c r="H87" s="173">
        <v>119</v>
      </c>
      <c r="I87" s="31">
        <f t="shared" ref="I87:I89" si="59">AVERAGE(G87:H87)</f>
        <v>147</v>
      </c>
      <c r="J87" s="31">
        <f t="shared" si="57"/>
        <v>147000</v>
      </c>
      <c r="K87" s="32">
        <f t="shared" ref="K87:K89" si="60">LOG(J87)</f>
        <v>5.1673173347481764</v>
      </c>
      <c r="L87" s="275"/>
      <c r="M87" s="278"/>
      <c r="N87" s="280"/>
      <c r="O87" s="285"/>
    </row>
    <row r="88" spans="2:15" x14ac:dyDescent="0.2">
      <c r="B88" s="69" t="s">
        <v>112</v>
      </c>
      <c r="C88" s="272"/>
      <c r="D88" s="275"/>
      <c r="E88" s="272"/>
      <c r="F88" s="30">
        <f t="shared" si="55"/>
        <v>0.01</v>
      </c>
      <c r="G88" s="172">
        <v>181</v>
      </c>
      <c r="H88" s="172">
        <v>188</v>
      </c>
      <c r="I88" s="31">
        <f t="shared" si="59"/>
        <v>184.5</v>
      </c>
      <c r="J88" s="31">
        <f t="shared" si="57"/>
        <v>184500</v>
      </c>
      <c r="K88" s="32">
        <f t="shared" si="60"/>
        <v>5.2659963704950794</v>
      </c>
      <c r="L88" s="275"/>
      <c r="M88" s="278"/>
      <c r="N88" s="280"/>
      <c r="O88" s="285"/>
    </row>
    <row r="89" spans="2:15" ht="15" thickBot="1" x14ac:dyDescent="0.25">
      <c r="B89" s="83" t="s">
        <v>113</v>
      </c>
      <c r="C89" s="273"/>
      <c r="D89" s="276"/>
      <c r="E89" s="273"/>
      <c r="F89" s="62">
        <f t="shared" si="55"/>
        <v>0.01</v>
      </c>
      <c r="G89" s="174">
        <v>140</v>
      </c>
      <c r="H89" s="174">
        <v>151</v>
      </c>
      <c r="I89" s="84">
        <f t="shared" si="59"/>
        <v>145.5</v>
      </c>
      <c r="J89" s="63">
        <f t="shared" si="57"/>
        <v>145500</v>
      </c>
      <c r="K89" s="85">
        <f t="shared" si="60"/>
        <v>5.1628629933219257</v>
      </c>
      <c r="L89" s="275"/>
      <c r="M89" s="278"/>
      <c r="N89" s="280"/>
      <c r="O89" s="285"/>
    </row>
    <row r="90" spans="2:15" x14ac:dyDescent="0.2">
      <c r="B90" s="72" t="s">
        <v>114</v>
      </c>
      <c r="C90" s="271" t="s">
        <v>14</v>
      </c>
      <c r="D90" s="274" t="s">
        <v>21</v>
      </c>
      <c r="E90" s="271" t="s">
        <v>55</v>
      </c>
      <c r="F90" s="158">
        <f t="shared" ref="F90:F93" si="61">10^-1</f>
        <v>0.1</v>
      </c>
      <c r="G90" s="170">
        <v>38</v>
      </c>
      <c r="H90" s="171">
        <v>70</v>
      </c>
      <c r="I90" s="27">
        <f>AVERAGE(G90:H90)</f>
        <v>54</v>
      </c>
      <c r="J90" s="175">
        <f t="shared" ref="J90:J93" si="62">(1/F90)*I90*10</f>
        <v>5400</v>
      </c>
      <c r="K90" s="28">
        <f>LOG(J90)</f>
        <v>3.7323937598229686</v>
      </c>
      <c r="L90" s="274">
        <f>AVERAGE(J90:J93)</f>
        <v>8525</v>
      </c>
      <c r="M90" s="277">
        <f>LOG(L90)</f>
        <v>3.9306943876645355</v>
      </c>
      <c r="N90" s="279">
        <f>STDEV(K90:K93)</f>
        <v>0.12973958032200136</v>
      </c>
      <c r="O90" s="284">
        <f>M130-M90</f>
        <v>2.3164602272165911</v>
      </c>
    </row>
    <row r="91" spans="2:15" x14ac:dyDescent="0.2">
      <c r="B91" s="69" t="s">
        <v>115</v>
      </c>
      <c r="C91" s="272"/>
      <c r="D91" s="275"/>
      <c r="E91" s="272"/>
      <c r="F91" s="30">
        <f t="shared" si="61"/>
        <v>0.1</v>
      </c>
      <c r="G91" s="172">
        <v>115</v>
      </c>
      <c r="H91" s="173">
        <v>95</v>
      </c>
      <c r="I91" s="31">
        <f t="shared" ref="I91:I93" si="63">AVERAGE(G91:H91)</f>
        <v>105</v>
      </c>
      <c r="J91" s="31">
        <f t="shared" si="62"/>
        <v>10500</v>
      </c>
      <c r="K91" s="32">
        <f t="shared" ref="K91:K93" si="64">LOG(J91)</f>
        <v>4.0211892990699383</v>
      </c>
      <c r="L91" s="275"/>
      <c r="M91" s="278"/>
      <c r="N91" s="280"/>
      <c r="O91" s="285"/>
    </row>
    <row r="92" spans="2:15" x14ac:dyDescent="0.2">
      <c r="B92" s="69" t="s">
        <v>116</v>
      </c>
      <c r="C92" s="272"/>
      <c r="D92" s="275"/>
      <c r="E92" s="272"/>
      <c r="F92" s="30">
        <f t="shared" si="61"/>
        <v>0.1</v>
      </c>
      <c r="G92" s="172">
        <v>54</v>
      </c>
      <c r="H92" s="172">
        <v>114</v>
      </c>
      <c r="I92" s="31">
        <f t="shared" si="63"/>
        <v>84</v>
      </c>
      <c r="J92" s="31">
        <f t="shared" si="62"/>
        <v>8400</v>
      </c>
      <c r="K92" s="32">
        <f t="shared" si="64"/>
        <v>3.9242792860618816</v>
      </c>
      <c r="L92" s="275"/>
      <c r="M92" s="278"/>
      <c r="N92" s="280"/>
      <c r="O92" s="285"/>
    </row>
    <row r="93" spans="2:15" ht="15" thickBot="1" x14ac:dyDescent="0.25">
      <c r="B93" s="83" t="s">
        <v>117</v>
      </c>
      <c r="C93" s="273"/>
      <c r="D93" s="276"/>
      <c r="E93" s="273"/>
      <c r="F93" s="30">
        <f t="shared" si="61"/>
        <v>0.1</v>
      </c>
      <c r="G93" s="174">
        <v>105</v>
      </c>
      <c r="H93" s="174">
        <v>91</v>
      </c>
      <c r="I93" s="84">
        <f t="shared" si="63"/>
        <v>98</v>
      </c>
      <c r="J93" s="84">
        <f t="shared" si="62"/>
        <v>9800</v>
      </c>
      <c r="K93" s="85">
        <f t="shared" si="64"/>
        <v>3.9912260756924947</v>
      </c>
      <c r="L93" s="275"/>
      <c r="M93" s="278"/>
      <c r="N93" s="280"/>
      <c r="O93" s="285"/>
    </row>
    <row r="94" spans="2:15" x14ac:dyDescent="0.2">
      <c r="B94" s="73" t="s">
        <v>118</v>
      </c>
      <c r="C94" s="229" t="s">
        <v>14</v>
      </c>
      <c r="D94" s="226" t="s">
        <v>22</v>
      </c>
      <c r="E94" s="223" t="s">
        <v>53</v>
      </c>
      <c r="F94" s="86">
        <f t="shared" ref="F94:F117" si="65">10^-1</f>
        <v>0.1</v>
      </c>
      <c r="G94" s="79">
        <v>1</v>
      </c>
      <c r="H94" s="20">
        <v>0</v>
      </c>
      <c r="I94" s="20">
        <f t="shared" si="56"/>
        <v>0.5</v>
      </c>
      <c r="J94" s="20">
        <f t="shared" si="57"/>
        <v>50</v>
      </c>
      <c r="K94" s="21">
        <f t="shared" si="58"/>
        <v>1.6989700043360187</v>
      </c>
      <c r="L94" s="226">
        <f>AVERAGE(J94:J97)</f>
        <v>112.5</v>
      </c>
      <c r="M94" s="232">
        <f t="shared" ref="M94" si="66">LOG(L94)</f>
        <v>2.0511525224473814</v>
      </c>
      <c r="N94" s="235">
        <f t="shared" ref="N94" si="67">STDEV(K94:K97)</f>
        <v>0.38907562519182232</v>
      </c>
      <c r="O94" s="238">
        <f>M133-M94</f>
        <v>4.7257906757472936</v>
      </c>
    </row>
    <row r="95" spans="2:15" x14ac:dyDescent="0.2">
      <c r="B95" s="70" t="s">
        <v>119</v>
      </c>
      <c r="C95" s="230"/>
      <c r="D95" s="227"/>
      <c r="E95" s="224"/>
      <c r="F95" s="82">
        <f t="shared" si="65"/>
        <v>0.1</v>
      </c>
      <c r="G95" s="80">
        <v>1</v>
      </c>
      <c r="H95" s="5">
        <v>0</v>
      </c>
      <c r="I95" s="5">
        <f t="shared" si="56"/>
        <v>0.5</v>
      </c>
      <c r="J95" s="5">
        <f t="shared" si="57"/>
        <v>50</v>
      </c>
      <c r="K95" s="6">
        <f t="shared" si="58"/>
        <v>1.6989700043360187</v>
      </c>
      <c r="L95" s="227"/>
      <c r="M95" s="233"/>
      <c r="N95" s="236"/>
      <c r="O95" s="239"/>
    </row>
    <row r="96" spans="2:15" x14ac:dyDescent="0.2">
      <c r="B96" s="70" t="s">
        <v>120</v>
      </c>
      <c r="C96" s="230"/>
      <c r="D96" s="227"/>
      <c r="E96" s="224"/>
      <c r="F96" s="82">
        <f t="shared" si="65"/>
        <v>0.1</v>
      </c>
      <c r="G96" s="80">
        <v>2</v>
      </c>
      <c r="H96" s="88">
        <v>4</v>
      </c>
      <c r="I96" s="88">
        <f t="shared" si="56"/>
        <v>3</v>
      </c>
      <c r="J96" s="88">
        <f t="shared" si="57"/>
        <v>300</v>
      </c>
      <c r="K96" s="6">
        <f t="shared" si="58"/>
        <v>2.4771212547196626</v>
      </c>
      <c r="L96" s="227"/>
      <c r="M96" s="233"/>
      <c r="N96" s="236"/>
      <c r="O96" s="239"/>
    </row>
    <row r="97" spans="2:15" ht="15" thickBot="1" x14ac:dyDescent="0.25">
      <c r="B97" s="74" t="s">
        <v>121</v>
      </c>
      <c r="C97" s="231"/>
      <c r="D97" s="228"/>
      <c r="E97" s="225"/>
      <c r="F97" s="87">
        <f t="shared" si="65"/>
        <v>0.1</v>
      </c>
      <c r="G97" s="81">
        <v>0</v>
      </c>
      <c r="H97" s="23">
        <v>1</v>
      </c>
      <c r="I97" s="23">
        <f t="shared" si="56"/>
        <v>0.5</v>
      </c>
      <c r="J97" s="23">
        <f t="shared" si="57"/>
        <v>50</v>
      </c>
      <c r="K97" s="24">
        <f t="shared" si="58"/>
        <v>1.6989700043360187</v>
      </c>
      <c r="L97" s="228"/>
      <c r="M97" s="234"/>
      <c r="N97" s="237"/>
      <c r="O97" s="240"/>
    </row>
    <row r="98" spans="2:15" ht="15" x14ac:dyDescent="0.25">
      <c r="B98" s="73" t="s">
        <v>122</v>
      </c>
      <c r="C98" s="229" t="s">
        <v>14</v>
      </c>
      <c r="D98" s="226" t="s">
        <v>22</v>
      </c>
      <c r="E98" s="223" t="s">
        <v>54</v>
      </c>
      <c r="F98" s="100" t="s">
        <v>17</v>
      </c>
      <c r="G98" s="79">
        <v>58</v>
      </c>
      <c r="H98" s="177" t="s">
        <v>18</v>
      </c>
      <c r="I98" s="20">
        <f t="shared" ref="I98:I101" si="68">AVERAGE(G98:H98)</f>
        <v>58</v>
      </c>
      <c r="J98" s="20">
        <f>I98*1</f>
        <v>58</v>
      </c>
      <c r="K98" s="21">
        <f t="shared" ref="K98:K101" si="69">LOG(J98)</f>
        <v>1.7634279935629373</v>
      </c>
      <c r="L98" s="226">
        <f>AVERAGE(J98:J101)</f>
        <v>703</v>
      </c>
      <c r="M98" s="232">
        <f t="shared" ref="M98" si="70">LOG(L98)</f>
        <v>2.8469553250198238</v>
      </c>
      <c r="N98" s="235">
        <f t="shared" ref="N98" si="71">STDEV(K98:K101)</f>
        <v>0.72193160972831205</v>
      </c>
      <c r="O98" s="238">
        <f>M133-M98</f>
        <v>3.9299878731748512</v>
      </c>
    </row>
    <row r="99" spans="2:15" ht="15" x14ac:dyDescent="0.25">
      <c r="B99" s="70" t="s">
        <v>123</v>
      </c>
      <c r="C99" s="230"/>
      <c r="D99" s="227"/>
      <c r="E99" s="224"/>
      <c r="F99" s="101" t="s">
        <v>17</v>
      </c>
      <c r="G99" s="80">
        <v>130</v>
      </c>
      <c r="H99" s="177" t="s">
        <v>18</v>
      </c>
      <c r="I99" s="5">
        <f t="shared" si="68"/>
        <v>130</v>
      </c>
      <c r="J99" s="5">
        <f t="shared" ref="J99:J100" si="72">I99*1</f>
        <v>130</v>
      </c>
      <c r="K99" s="6">
        <f t="shared" si="69"/>
        <v>2.1139433523068369</v>
      </c>
      <c r="L99" s="227"/>
      <c r="M99" s="233"/>
      <c r="N99" s="236"/>
      <c r="O99" s="239"/>
    </row>
    <row r="100" spans="2:15" ht="15" x14ac:dyDescent="0.25">
      <c r="B100" s="70" t="s">
        <v>124</v>
      </c>
      <c r="C100" s="230"/>
      <c r="D100" s="227"/>
      <c r="E100" s="224"/>
      <c r="F100" s="101" t="s">
        <v>17</v>
      </c>
      <c r="G100" s="80">
        <v>124</v>
      </c>
      <c r="H100" s="177" t="s">
        <v>18</v>
      </c>
      <c r="I100" s="88">
        <f t="shared" si="68"/>
        <v>124</v>
      </c>
      <c r="J100" s="88">
        <f t="shared" si="72"/>
        <v>124</v>
      </c>
      <c r="K100" s="6">
        <f t="shared" si="69"/>
        <v>2.0934216851622351</v>
      </c>
      <c r="L100" s="227"/>
      <c r="M100" s="233"/>
      <c r="N100" s="236"/>
      <c r="O100" s="239"/>
    </row>
    <row r="101" spans="2:15" ht="15" thickBot="1" x14ac:dyDescent="0.25">
      <c r="B101" s="74" t="s">
        <v>125</v>
      </c>
      <c r="C101" s="231"/>
      <c r="D101" s="228"/>
      <c r="E101" s="225"/>
      <c r="F101" s="87">
        <f t="shared" si="65"/>
        <v>0.1</v>
      </c>
      <c r="G101" s="81">
        <v>30</v>
      </c>
      <c r="H101" s="139">
        <v>20</v>
      </c>
      <c r="I101" s="23">
        <f t="shared" si="68"/>
        <v>25</v>
      </c>
      <c r="J101" s="23">
        <f>(1/F101)*I101*10</f>
        <v>2500</v>
      </c>
      <c r="K101" s="24">
        <f t="shared" si="69"/>
        <v>3.3979400086720375</v>
      </c>
      <c r="L101" s="228"/>
      <c r="M101" s="234"/>
      <c r="N101" s="237"/>
      <c r="O101" s="240"/>
    </row>
    <row r="102" spans="2:15" ht="15" x14ac:dyDescent="0.25">
      <c r="B102" s="73" t="s">
        <v>126</v>
      </c>
      <c r="C102" s="229" t="s">
        <v>14</v>
      </c>
      <c r="D102" s="226" t="s">
        <v>22</v>
      </c>
      <c r="E102" s="223" t="s">
        <v>55</v>
      </c>
      <c r="F102" s="100" t="s">
        <v>17</v>
      </c>
      <c r="G102" s="79">
        <v>0</v>
      </c>
      <c r="H102" s="136"/>
      <c r="I102" s="20">
        <f t="shared" ref="I102:I105" si="73">AVERAGE(G102:H102)</f>
        <v>0</v>
      </c>
      <c r="J102" s="20">
        <v>1</v>
      </c>
      <c r="K102" s="21">
        <f t="shared" ref="K102:K105" si="74">LOG(J102)</f>
        <v>0</v>
      </c>
      <c r="L102" s="226">
        <f>AVERAGE(J102:J105)</f>
        <v>11.25</v>
      </c>
      <c r="M102" s="232">
        <f t="shared" ref="M102" si="75">LOG(L102)</f>
        <v>1.0511525224473812</v>
      </c>
      <c r="N102" s="235">
        <f t="shared" ref="N102" si="76">STDEV(K102:K105)</f>
        <v>0.75911248567189704</v>
      </c>
      <c r="O102" s="238">
        <f>M133-M102</f>
        <v>5.7257906757472936</v>
      </c>
    </row>
    <row r="103" spans="2:15" ht="15" x14ac:dyDescent="0.25">
      <c r="B103" s="70" t="s">
        <v>127</v>
      </c>
      <c r="C103" s="230"/>
      <c r="D103" s="227"/>
      <c r="E103" s="224"/>
      <c r="F103" s="101" t="s">
        <v>17</v>
      </c>
      <c r="G103" s="80">
        <v>0</v>
      </c>
      <c r="H103" s="137"/>
      <c r="I103" s="5">
        <f t="shared" si="73"/>
        <v>0</v>
      </c>
      <c r="J103" s="5">
        <v>1</v>
      </c>
      <c r="K103" s="6">
        <f t="shared" si="74"/>
        <v>0</v>
      </c>
      <c r="L103" s="227"/>
      <c r="M103" s="233"/>
      <c r="N103" s="236"/>
      <c r="O103" s="239"/>
    </row>
    <row r="104" spans="2:15" ht="15" x14ac:dyDescent="0.25">
      <c r="B104" s="70" t="s">
        <v>128</v>
      </c>
      <c r="C104" s="230"/>
      <c r="D104" s="227"/>
      <c r="E104" s="224"/>
      <c r="F104" s="101" t="s">
        <v>17</v>
      </c>
      <c r="G104" s="80">
        <v>11</v>
      </c>
      <c r="H104" s="138"/>
      <c r="I104" s="88">
        <f t="shared" si="73"/>
        <v>11</v>
      </c>
      <c r="J104" s="88">
        <f t="shared" ref="J104:J105" si="77">I104*1</f>
        <v>11</v>
      </c>
      <c r="K104" s="6">
        <f t="shared" si="74"/>
        <v>1.0413926851582251</v>
      </c>
      <c r="L104" s="227"/>
      <c r="M104" s="233"/>
      <c r="N104" s="236"/>
      <c r="O104" s="239"/>
    </row>
    <row r="105" spans="2:15" ht="15.75" thickBot="1" x14ac:dyDescent="0.25">
      <c r="B105" s="74" t="s">
        <v>129</v>
      </c>
      <c r="C105" s="231"/>
      <c r="D105" s="228"/>
      <c r="E105" s="225"/>
      <c r="F105" s="176" t="s">
        <v>17</v>
      </c>
      <c r="G105" s="81">
        <v>32</v>
      </c>
      <c r="H105" s="139"/>
      <c r="I105" s="23">
        <f t="shared" si="73"/>
        <v>32</v>
      </c>
      <c r="J105" s="23">
        <f t="shared" si="77"/>
        <v>32</v>
      </c>
      <c r="K105" s="24">
        <f t="shared" si="74"/>
        <v>1.505149978319906</v>
      </c>
      <c r="L105" s="228"/>
      <c r="M105" s="234"/>
      <c r="N105" s="237"/>
      <c r="O105" s="240"/>
    </row>
    <row r="106" spans="2:15" x14ac:dyDescent="0.2">
      <c r="B106" s="103" t="s">
        <v>130</v>
      </c>
      <c r="C106" s="292" t="s">
        <v>14</v>
      </c>
      <c r="D106" s="295" t="s">
        <v>23</v>
      </c>
      <c r="E106" s="292" t="s">
        <v>53</v>
      </c>
      <c r="F106" s="104">
        <f>10^-3</f>
        <v>1E-3</v>
      </c>
      <c r="G106" s="105">
        <v>92</v>
      </c>
      <c r="H106" s="105">
        <v>138</v>
      </c>
      <c r="I106" s="105">
        <f t="shared" si="56"/>
        <v>115</v>
      </c>
      <c r="J106" s="105">
        <f t="shared" si="57"/>
        <v>1150000</v>
      </c>
      <c r="K106" s="106">
        <f t="shared" si="58"/>
        <v>6.0606978403536118</v>
      </c>
      <c r="L106" s="281">
        <f t="shared" ref="L106" si="78">AVERAGE(J106:J109)</f>
        <v>1207500</v>
      </c>
      <c r="M106" s="323">
        <f t="shared" ref="M106" si="79">LOG(L106)</f>
        <v>6.0818871394235501</v>
      </c>
      <c r="N106" s="242">
        <f t="shared" ref="N106" si="80">STDEV(K106:K109)</f>
        <v>6.4143870340382811E-2</v>
      </c>
      <c r="O106" s="244">
        <f>M136-M106</f>
        <v>0.58400640611088228</v>
      </c>
    </row>
    <row r="107" spans="2:15" x14ac:dyDescent="0.2">
      <c r="B107" s="103" t="s">
        <v>131</v>
      </c>
      <c r="C107" s="293"/>
      <c r="D107" s="281"/>
      <c r="E107" s="293"/>
      <c r="F107" s="107">
        <f t="shared" ref="F107:F109" si="81">10^-3</f>
        <v>1E-3</v>
      </c>
      <c r="G107" s="108">
        <v>96</v>
      </c>
      <c r="H107" s="108">
        <v>102</v>
      </c>
      <c r="I107" s="108">
        <f t="shared" si="56"/>
        <v>99</v>
      </c>
      <c r="J107" s="108">
        <f t="shared" si="57"/>
        <v>990000</v>
      </c>
      <c r="K107" s="109">
        <f t="shared" si="58"/>
        <v>5.9956351945975497</v>
      </c>
      <c r="L107" s="281"/>
      <c r="M107" s="323"/>
      <c r="N107" s="242"/>
      <c r="O107" s="245"/>
    </row>
    <row r="108" spans="2:15" x14ac:dyDescent="0.2">
      <c r="B108" s="103" t="s">
        <v>132</v>
      </c>
      <c r="C108" s="293"/>
      <c r="D108" s="281"/>
      <c r="E108" s="293"/>
      <c r="F108" s="107">
        <f t="shared" si="81"/>
        <v>1E-3</v>
      </c>
      <c r="G108" s="108">
        <v>112</v>
      </c>
      <c r="H108" s="108">
        <v>152</v>
      </c>
      <c r="I108" s="108">
        <f t="shared" si="56"/>
        <v>132</v>
      </c>
      <c r="J108" s="108">
        <f t="shared" si="57"/>
        <v>1320000</v>
      </c>
      <c r="K108" s="109">
        <f t="shared" si="58"/>
        <v>6.1205739312058496</v>
      </c>
      <c r="L108" s="281"/>
      <c r="M108" s="323"/>
      <c r="N108" s="242"/>
      <c r="O108" s="245"/>
    </row>
    <row r="109" spans="2:15" ht="15" thickBot="1" x14ac:dyDescent="0.25">
      <c r="B109" s="140" t="s">
        <v>133</v>
      </c>
      <c r="C109" s="294"/>
      <c r="D109" s="282"/>
      <c r="E109" s="294"/>
      <c r="F109" s="110">
        <f t="shared" si="81"/>
        <v>1E-3</v>
      </c>
      <c r="G109" s="111">
        <v>132</v>
      </c>
      <c r="H109" s="111">
        <v>142</v>
      </c>
      <c r="I109" s="111">
        <f t="shared" si="56"/>
        <v>137</v>
      </c>
      <c r="J109" s="111">
        <f t="shared" si="57"/>
        <v>1370000</v>
      </c>
      <c r="K109" s="112">
        <f t="shared" si="58"/>
        <v>6.1367205671564067</v>
      </c>
      <c r="L109" s="282"/>
      <c r="M109" s="324"/>
      <c r="N109" s="243"/>
      <c r="O109" s="246"/>
    </row>
    <row r="110" spans="2:15" ht="15" x14ac:dyDescent="0.25">
      <c r="B110" s="103" t="s">
        <v>134</v>
      </c>
      <c r="C110" s="292" t="s">
        <v>14</v>
      </c>
      <c r="D110" s="295" t="s">
        <v>23</v>
      </c>
      <c r="E110" s="292" t="s">
        <v>54</v>
      </c>
      <c r="F110" s="104">
        <f>10^-2</f>
        <v>0.01</v>
      </c>
      <c r="G110" s="105">
        <v>398</v>
      </c>
      <c r="H110" s="178">
        <v>300</v>
      </c>
      <c r="I110" s="105">
        <f t="shared" ref="I110:I113" si="82">AVERAGE(G110:H110)</f>
        <v>349</v>
      </c>
      <c r="J110" s="105">
        <f t="shared" ref="J110:J113" si="83">(1/F110)*I110*10</f>
        <v>349000</v>
      </c>
      <c r="K110" s="106">
        <f t="shared" ref="K110:K113" si="84">LOG(J110)</f>
        <v>5.5428254269591797</v>
      </c>
      <c r="L110" s="281">
        <f t="shared" ref="L110" si="85">AVERAGE(J110:J113)</f>
        <v>314750</v>
      </c>
      <c r="M110" s="323">
        <f t="shared" ref="M110" si="86">LOG(L110)</f>
        <v>5.4979657387799001</v>
      </c>
      <c r="N110" s="242">
        <f t="shared" ref="N110" si="87">STDEV(K110:K113)</f>
        <v>3.1209203422048595E-2</v>
      </c>
      <c r="O110" s="244">
        <f>M136-M110</f>
        <v>1.1679278067545322</v>
      </c>
    </row>
    <row r="111" spans="2:15" ht="15" x14ac:dyDescent="0.25">
      <c r="B111" s="103" t="s">
        <v>135</v>
      </c>
      <c r="C111" s="293"/>
      <c r="D111" s="281"/>
      <c r="E111" s="293"/>
      <c r="F111" s="104">
        <f t="shared" ref="F111:F113" si="88">10^-2</f>
        <v>0.01</v>
      </c>
      <c r="G111" s="162">
        <v>300</v>
      </c>
      <c r="H111" s="162">
        <v>300</v>
      </c>
      <c r="I111" s="108">
        <f t="shared" si="82"/>
        <v>300</v>
      </c>
      <c r="J111" s="108">
        <f t="shared" si="83"/>
        <v>300000</v>
      </c>
      <c r="K111" s="109">
        <f t="shared" si="84"/>
        <v>5.4771212547196626</v>
      </c>
      <c r="L111" s="281"/>
      <c r="M111" s="323"/>
      <c r="N111" s="242"/>
      <c r="O111" s="245"/>
    </row>
    <row r="112" spans="2:15" ht="15" x14ac:dyDescent="0.25">
      <c r="B112" s="103" t="s">
        <v>136</v>
      </c>
      <c r="C112" s="293"/>
      <c r="D112" s="281"/>
      <c r="E112" s="293"/>
      <c r="F112" s="104">
        <f t="shared" si="88"/>
        <v>0.01</v>
      </c>
      <c r="G112" s="162">
        <v>300</v>
      </c>
      <c r="H112" s="162">
        <v>300</v>
      </c>
      <c r="I112" s="108">
        <f t="shared" si="82"/>
        <v>300</v>
      </c>
      <c r="J112" s="108">
        <f t="shared" si="83"/>
        <v>300000</v>
      </c>
      <c r="K112" s="109">
        <f t="shared" si="84"/>
        <v>5.4771212547196626</v>
      </c>
      <c r="L112" s="281"/>
      <c r="M112" s="323"/>
      <c r="N112" s="242"/>
      <c r="O112" s="245"/>
    </row>
    <row r="113" spans="2:15" ht="15.75" thickBot="1" x14ac:dyDescent="0.3">
      <c r="B113" s="140" t="s">
        <v>137</v>
      </c>
      <c r="C113" s="294"/>
      <c r="D113" s="282"/>
      <c r="E113" s="294"/>
      <c r="F113" s="110">
        <f t="shared" si="88"/>
        <v>0.01</v>
      </c>
      <c r="G113" s="111">
        <v>320</v>
      </c>
      <c r="H113" s="179">
        <v>300</v>
      </c>
      <c r="I113" s="111">
        <f t="shared" si="82"/>
        <v>310</v>
      </c>
      <c r="J113" s="111">
        <f t="shared" si="83"/>
        <v>310000</v>
      </c>
      <c r="K113" s="112">
        <f t="shared" si="84"/>
        <v>5.4913616938342731</v>
      </c>
      <c r="L113" s="282"/>
      <c r="M113" s="324"/>
      <c r="N113" s="243"/>
      <c r="O113" s="246"/>
    </row>
    <row r="114" spans="2:15" x14ac:dyDescent="0.2">
      <c r="B114" s="103" t="s">
        <v>138</v>
      </c>
      <c r="C114" s="292" t="s">
        <v>14</v>
      </c>
      <c r="D114" s="295" t="s">
        <v>23</v>
      </c>
      <c r="E114" s="292" t="s">
        <v>55</v>
      </c>
      <c r="F114" s="104">
        <f t="shared" si="65"/>
        <v>0.1</v>
      </c>
      <c r="G114" s="105">
        <v>120</v>
      </c>
      <c r="H114" s="105">
        <v>58</v>
      </c>
      <c r="I114" s="105">
        <f t="shared" ref="I114:I117" si="89">AVERAGE(G114:H114)</f>
        <v>89</v>
      </c>
      <c r="J114" s="105">
        <f t="shared" ref="J114:J119" si="90">(1/F114)*I114*10</f>
        <v>8900</v>
      </c>
      <c r="K114" s="106">
        <f t="shared" ref="K114:K117" si="91">LOG(J114)</f>
        <v>3.9493900066449128</v>
      </c>
      <c r="L114" s="281">
        <f t="shared" ref="L114" si="92">AVERAGE(J114:J117)</f>
        <v>10312.5</v>
      </c>
      <c r="M114" s="323">
        <f t="shared" ref="M114" si="93">LOG(L114)</f>
        <v>4.0133639615579817</v>
      </c>
      <c r="N114" s="242">
        <f t="shared" ref="N114" si="94">STDEV(K114:K117)</f>
        <v>9.0065943124136141E-2</v>
      </c>
      <c r="O114" s="244">
        <f>M136-M114</f>
        <v>2.6525295839764507</v>
      </c>
    </row>
    <row r="115" spans="2:15" x14ac:dyDescent="0.2">
      <c r="B115" s="103" t="s">
        <v>139</v>
      </c>
      <c r="C115" s="293"/>
      <c r="D115" s="281"/>
      <c r="E115" s="293"/>
      <c r="F115" s="107">
        <f t="shared" si="65"/>
        <v>0.1</v>
      </c>
      <c r="G115" s="108">
        <v>110</v>
      </c>
      <c r="H115" s="108">
        <v>90</v>
      </c>
      <c r="I115" s="108">
        <f t="shared" si="89"/>
        <v>100</v>
      </c>
      <c r="J115" s="108">
        <f t="shared" si="90"/>
        <v>10000</v>
      </c>
      <c r="K115" s="109">
        <f t="shared" si="91"/>
        <v>4</v>
      </c>
      <c r="L115" s="281"/>
      <c r="M115" s="323"/>
      <c r="N115" s="242"/>
      <c r="O115" s="245"/>
    </row>
    <row r="116" spans="2:15" x14ac:dyDescent="0.2">
      <c r="B116" s="103" t="s">
        <v>140</v>
      </c>
      <c r="C116" s="293"/>
      <c r="D116" s="281"/>
      <c r="E116" s="293"/>
      <c r="F116" s="107">
        <f t="shared" si="65"/>
        <v>0.1</v>
      </c>
      <c r="G116" s="108">
        <v>123</v>
      </c>
      <c r="H116" s="108">
        <v>150</v>
      </c>
      <c r="I116" s="108">
        <f t="shared" si="89"/>
        <v>136.5</v>
      </c>
      <c r="J116" s="108">
        <f t="shared" si="90"/>
        <v>13650</v>
      </c>
      <c r="K116" s="109">
        <f t="shared" si="91"/>
        <v>4.1351326513767752</v>
      </c>
      <c r="L116" s="281"/>
      <c r="M116" s="323"/>
      <c r="N116" s="242"/>
      <c r="O116" s="245"/>
    </row>
    <row r="117" spans="2:15" ht="15" thickBot="1" x14ac:dyDescent="0.25">
      <c r="B117" s="103" t="s">
        <v>141</v>
      </c>
      <c r="C117" s="294"/>
      <c r="D117" s="282"/>
      <c r="E117" s="294"/>
      <c r="F117" s="110">
        <f t="shared" si="65"/>
        <v>0.1</v>
      </c>
      <c r="G117" s="111">
        <v>74</v>
      </c>
      <c r="H117" s="182">
        <v>100</v>
      </c>
      <c r="I117" s="111">
        <f t="shared" si="89"/>
        <v>87</v>
      </c>
      <c r="J117" s="108">
        <f t="shared" si="90"/>
        <v>8700</v>
      </c>
      <c r="K117" s="112">
        <f t="shared" si="91"/>
        <v>3.9395192526186187</v>
      </c>
      <c r="L117" s="282"/>
      <c r="M117" s="324"/>
      <c r="N117" s="243"/>
      <c r="O117" s="246"/>
    </row>
    <row r="118" spans="2:15" x14ac:dyDescent="0.2">
      <c r="B118" s="75" t="s">
        <v>142</v>
      </c>
      <c r="C118" s="247" t="s">
        <v>14</v>
      </c>
      <c r="D118" s="250" t="s">
        <v>24</v>
      </c>
      <c r="E118" s="247" t="s">
        <v>53</v>
      </c>
      <c r="F118" s="169">
        <f t="shared" ref="F118:F119" si="95">1*10^-2</f>
        <v>0.01</v>
      </c>
      <c r="G118" s="42">
        <v>164</v>
      </c>
      <c r="H118" s="181">
        <v>198</v>
      </c>
      <c r="I118" s="42">
        <f t="shared" si="56"/>
        <v>181</v>
      </c>
      <c r="J118" s="46">
        <f t="shared" si="90"/>
        <v>181000</v>
      </c>
      <c r="K118" s="44">
        <f t="shared" si="58"/>
        <v>5.2576785748691846</v>
      </c>
      <c r="L118" s="250">
        <f t="shared" ref="L118" si="96">AVERAGE(J118:J121)</f>
        <v>181750</v>
      </c>
      <c r="M118" s="253">
        <f t="shared" ref="M118" si="97">LOG(L118)</f>
        <v>5.2594744195310756</v>
      </c>
      <c r="N118" s="256">
        <f t="shared" ref="N118" si="98">STDEV(K118:K121)</f>
        <v>5.3799448957874758E-2</v>
      </c>
      <c r="O118" s="259">
        <f>M139-M118</f>
        <v>1.1953704404774346</v>
      </c>
    </row>
    <row r="119" spans="2:15" x14ac:dyDescent="0.2">
      <c r="B119" s="71" t="s">
        <v>143</v>
      </c>
      <c r="C119" s="248"/>
      <c r="D119" s="251"/>
      <c r="E119" s="248"/>
      <c r="F119" s="113">
        <f t="shared" si="95"/>
        <v>0.01</v>
      </c>
      <c r="G119" s="46">
        <v>220</v>
      </c>
      <c r="H119" s="181">
        <v>192</v>
      </c>
      <c r="I119" s="46">
        <f t="shared" si="56"/>
        <v>206</v>
      </c>
      <c r="J119" s="46">
        <f t="shared" si="90"/>
        <v>206000</v>
      </c>
      <c r="K119" s="48">
        <f t="shared" si="58"/>
        <v>5.3138672203691533</v>
      </c>
      <c r="L119" s="251"/>
      <c r="M119" s="254"/>
      <c r="N119" s="257"/>
      <c r="O119" s="260"/>
    </row>
    <row r="120" spans="2:15" x14ac:dyDescent="0.2">
      <c r="B120" s="71" t="s">
        <v>25</v>
      </c>
      <c r="C120" s="248"/>
      <c r="D120" s="251"/>
      <c r="E120" s="248"/>
      <c r="F120" s="113">
        <f>1*10^-2</f>
        <v>0.01</v>
      </c>
      <c r="G120" s="46">
        <v>198</v>
      </c>
      <c r="H120" s="181">
        <v>108</v>
      </c>
      <c r="I120" s="46">
        <f t="shared" si="56"/>
        <v>153</v>
      </c>
      <c r="J120" s="46">
        <f>(1/F120)*I120*10</f>
        <v>153000</v>
      </c>
      <c r="K120" s="48">
        <f t="shared" si="58"/>
        <v>5.1846914308175984</v>
      </c>
      <c r="L120" s="251"/>
      <c r="M120" s="254"/>
      <c r="N120" s="257"/>
      <c r="O120" s="260"/>
    </row>
    <row r="121" spans="2:15" ht="15" thickBot="1" x14ac:dyDescent="0.25">
      <c r="B121" s="76" t="s">
        <v>26</v>
      </c>
      <c r="C121" s="249"/>
      <c r="D121" s="251"/>
      <c r="E121" s="249"/>
      <c r="F121" s="168">
        <f>1*10^-2</f>
        <v>0.01</v>
      </c>
      <c r="G121" s="49">
        <v>192</v>
      </c>
      <c r="H121" s="183">
        <v>182</v>
      </c>
      <c r="I121" s="49">
        <f t="shared" si="56"/>
        <v>187</v>
      </c>
      <c r="J121" s="49">
        <f>(1/F121)*I121*10</f>
        <v>187000</v>
      </c>
      <c r="K121" s="51">
        <f t="shared" si="58"/>
        <v>5.2718416065364986</v>
      </c>
      <c r="L121" s="252"/>
      <c r="M121" s="255"/>
      <c r="N121" s="258"/>
      <c r="O121" s="261"/>
    </row>
    <row r="122" spans="2:15" x14ac:dyDescent="0.2">
      <c r="B122" s="75" t="s">
        <v>144</v>
      </c>
      <c r="C122" s="247" t="s">
        <v>14</v>
      </c>
      <c r="D122" s="250" t="s">
        <v>24</v>
      </c>
      <c r="E122" s="247" t="s">
        <v>54</v>
      </c>
      <c r="F122" s="169">
        <f>1*10^-1</f>
        <v>0.1</v>
      </c>
      <c r="G122" s="42">
        <v>171</v>
      </c>
      <c r="H122" s="181">
        <v>151</v>
      </c>
      <c r="I122" s="42">
        <f t="shared" ref="I122:I125" si="99">AVERAGE(G122:H122)</f>
        <v>161</v>
      </c>
      <c r="J122" s="121">
        <f t="shared" ref="J122:J127" si="100">(1/F122)*I122*10</f>
        <v>16100</v>
      </c>
      <c r="K122" s="44">
        <f t="shared" ref="K122:K125" si="101">LOG(J122)</f>
        <v>4.20682587603185</v>
      </c>
      <c r="L122" s="250">
        <f t="shared" ref="L122" si="102">AVERAGE(J122:J125)</f>
        <v>101275</v>
      </c>
      <c r="M122" s="253">
        <f t="shared" ref="M122" si="103">LOG(L122)</f>
        <v>5.005502251855626</v>
      </c>
      <c r="N122" s="256">
        <f t="shared" ref="N122" si="104">STDEV(K122:K125)</f>
        <v>0.5101523539074172</v>
      </c>
      <c r="O122" s="259">
        <f>M139-M122</f>
        <v>1.4493426081528842</v>
      </c>
    </row>
    <row r="123" spans="2:15" x14ac:dyDescent="0.2">
      <c r="B123" s="71" t="s">
        <v>145</v>
      </c>
      <c r="C123" s="248"/>
      <c r="D123" s="251"/>
      <c r="E123" s="248"/>
      <c r="F123" s="113">
        <f t="shared" ref="F123" si="105">1*10^-2</f>
        <v>0.01</v>
      </c>
      <c r="G123" s="46">
        <v>43</v>
      </c>
      <c r="H123" s="181">
        <v>37</v>
      </c>
      <c r="I123" s="46">
        <f t="shared" si="99"/>
        <v>40</v>
      </c>
      <c r="J123" s="46">
        <f t="shared" si="100"/>
        <v>40000</v>
      </c>
      <c r="K123" s="48">
        <f t="shared" si="101"/>
        <v>4.6020599913279625</v>
      </c>
      <c r="L123" s="251"/>
      <c r="M123" s="254"/>
      <c r="N123" s="257"/>
      <c r="O123" s="260"/>
    </row>
    <row r="124" spans="2:15" ht="15" x14ac:dyDescent="0.25">
      <c r="B124" s="71" t="s">
        <v>146</v>
      </c>
      <c r="C124" s="248"/>
      <c r="D124" s="251"/>
      <c r="E124" s="248"/>
      <c r="F124" s="113">
        <f>1*10^-2</f>
        <v>0.01</v>
      </c>
      <c r="G124" s="46">
        <v>140</v>
      </c>
      <c r="H124" s="180">
        <v>300</v>
      </c>
      <c r="I124" s="46">
        <f t="shared" si="99"/>
        <v>220</v>
      </c>
      <c r="J124" s="46">
        <f>(1/F124)*I124*10</f>
        <v>220000</v>
      </c>
      <c r="K124" s="48">
        <f t="shared" si="101"/>
        <v>5.3424226808222066</v>
      </c>
      <c r="L124" s="251"/>
      <c r="M124" s="254"/>
      <c r="N124" s="257"/>
      <c r="O124" s="260"/>
    </row>
    <row r="125" spans="2:15" ht="15" thickBot="1" x14ac:dyDescent="0.25">
      <c r="B125" s="76" t="s">
        <v>147</v>
      </c>
      <c r="C125" s="249"/>
      <c r="D125" s="251"/>
      <c r="E125" s="249"/>
      <c r="F125" s="168">
        <f>1*10^-2</f>
        <v>0.01</v>
      </c>
      <c r="G125" s="49">
        <v>151</v>
      </c>
      <c r="H125" s="183">
        <v>107</v>
      </c>
      <c r="I125" s="49">
        <f t="shared" si="99"/>
        <v>129</v>
      </c>
      <c r="J125" s="49">
        <f>(1/F125)*I125*10</f>
        <v>129000</v>
      </c>
      <c r="K125" s="51">
        <f t="shared" si="101"/>
        <v>5.1105897102992488</v>
      </c>
      <c r="L125" s="252"/>
      <c r="M125" s="255"/>
      <c r="N125" s="258"/>
      <c r="O125" s="261"/>
    </row>
    <row r="126" spans="2:15" x14ac:dyDescent="0.2">
      <c r="B126" s="75" t="s">
        <v>148</v>
      </c>
      <c r="C126" s="247" t="s">
        <v>14</v>
      </c>
      <c r="D126" s="250" t="s">
        <v>24</v>
      </c>
      <c r="E126" s="247" t="s">
        <v>55</v>
      </c>
      <c r="F126" s="169">
        <f>1*10^-1</f>
        <v>0.1</v>
      </c>
      <c r="G126" s="184">
        <v>49</v>
      </c>
      <c r="H126" s="185">
        <v>26</v>
      </c>
      <c r="I126" s="121">
        <f t="shared" ref="I126:I129" si="106">AVERAGE(G126:H126)</f>
        <v>37.5</v>
      </c>
      <c r="J126" s="121">
        <f t="shared" si="100"/>
        <v>3750</v>
      </c>
      <c r="K126" s="44">
        <f t="shared" ref="K126:K129" si="107">LOG(J126)</f>
        <v>3.5740312677277188</v>
      </c>
      <c r="L126" s="250">
        <f t="shared" ref="L126" si="108">AVERAGE(J126:J129)</f>
        <v>4875</v>
      </c>
      <c r="M126" s="253">
        <f t="shared" ref="M126" si="109">LOG(L126)</f>
        <v>3.6879746200345558</v>
      </c>
      <c r="N126" s="256">
        <f t="shared" ref="N126" si="110">STDEV(K126:K129)</f>
        <v>1.0541257268906017</v>
      </c>
      <c r="O126" s="259">
        <f>M139-M126</f>
        <v>2.7668702399739544</v>
      </c>
    </row>
    <row r="127" spans="2:15" x14ac:dyDescent="0.2">
      <c r="B127" s="71" t="s">
        <v>149</v>
      </c>
      <c r="C127" s="248"/>
      <c r="D127" s="251"/>
      <c r="E127" s="248"/>
      <c r="F127" s="169">
        <f t="shared" ref="F127:F129" si="111">1*10^-1</f>
        <v>0.1</v>
      </c>
      <c r="G127" s="186">
        <v>67</v>
      </c>
      <c r="H127" s="181">
        <v>56</v>
      </c>
      <c r="I127" s="46">
        <f t="shared" si="106"/>
        <v>61.5</v>
      </c>
      <c r="J127" s="46">
        <f t="shared" si="100"/>
        <v>6150</v>
      </c>
      <c r="K127" s="48">
        <f t="shared" si="107"/>
        <v>3.7888751157754168</v>
      </c>
      <c r="L127" s="251"/>
      <c r="M127" s="254"/>
      <c r="N127" s="257"/>
      <c r="O127" s="260"/>
    </row>
    <row r="128" spans="2:15" x14ac:dyDescent="0.2">
      <c r="B128" s="71" t="s">
        <v>150</v>
      </c>
      <c r="C128" s="248"/>
      <c r="D128" s="251"/>
      <c r="E128" s="248"/>
      <c r="F128" s="169">
        <f t="shared" si="111"/>
        <v>0.1</v>
      </c>
      <c r="G128" s="186">
        <v>125</v>
      </c>
      <c r="H128" s="181">
        <v>66</v>
      </c>
      <c r="I128" s="46">
        <f t="shared" si="106"/>
        <v>95.5</v>
      </c>
      <c r="J128" s="46">
        <f>(1/F128)*I128*10</f>
        <v>9550</v>
      </c>
      <c r="K128" s="48">
        <f t="shared" si="107"/>
        <v>3.9800033715837464</v>
      </c>
      <c r="L128" s="251"/>
      <c r="M128" s="254"/>
      <c r="N128" s="257"/>
      <c r="O128" s="260"/>
    </row>
    <row r="129" spans="2:15" ht="15" thickBot="1" x14ac:dyDescent="0.25">
      <c r="B129" s="76" t="s">
        <v>151</v>
      </c>
      <c r="C129" s="249"/>
      <c r="D129" s="251"/>
      <c r="E129" s="249"/>
      <c r="F129" s="168">
        <f t="shared" si="111"/>
        <v>0.1</v>
      </c>
      <c r="G129" s="187">
        <v>1</v>
      </c>
      <c r="H129" s="181">
        <v>0</v>
      </c>
      <c r="I129" s="49">
        <f t="shared" si="106"/>
        <v>0.5</v>
      </c>
      <c r="J129" s="46">
        <f>(1/F129)*I129*10</f>
        <v>50</v>
      </c>
      <c r="K129" s="51">
        <f t="shared" si="107"/>
        <v>1.6989700043360187</v>
      </c>
      <c r="L129" s="252"/>
      <c r="M129" s="255"/>
      <c r="N129" s="258"/>
      <c r="O129" s="261"/>
    </row>
    <row r="130" spans="2:15" ht="15" customHeight="1" x14ac:dyDescent="0.2">
      <c r="B130" s="52" t="s">
        <v>152</v>
      </c>
      <c r="C130" s="262" t="s">
        <v>16</v>
      </c>
      <c r="D130" s="270" t="s">
        <v>21</v>
      </c>
      <c r="E130" s="133" t="s">
        <v>53</v>
      </c>
      <c r="F130" s="126">
        <f t="shared" ref="F130:F132" si="112">10^-4</f>
        <v>1E-4</v>
      </c>
      <c r="G130" s="53">
        <v>20</v>
      </c>
      <c r="H130" s="53">
        <v>29</v>
      </c>
      <c r="I130" s="53">
        <f t="shared" si="56"/>
        <v>24.5</v>
      </c>
      <c r="J130" s="53">
        <f t="shared" ref="J130:J141" si="113">(1/F130)*I130*10</f>
        <v>2450000</v>
      </c>
      <c r="K130" s="54">
        <f t="shared" si="58"/>
        <v>6.3891660843645326</v>
      </c>
      <c r="L130" s="221">
        <f>AVERAGE(J130:J132)</f>
        <v>1766666.6666666667</v>
      </c>
      <c r="M130" s="210">
        <f>LOG(L130)</f>
        <v>6.2471546148811266</v>
      </c>
      <c r="N130" s="213">
        <f>STDEV(K130:K132)</f>
        <v>0.15529165761727834</v>
      </c>
      <c r="O130" s="317"/>
    </row>
    <row r="131" spans="2:15" ht="15" customHeight="1" x14ac:dyDescent="0.2">
      <c r="B131" s="125" t="s">
        <v>153</v>
      </c>
      <c r="C131" s="263"/>
      <c r="D131" s="268"/>
      <c r="E131" s="132" t="s">
        <v>54</v>
      </c>
      <c r="F131" s="56">
        <f t="shared" si="112"/>
        <v>1E-4</v>
      </c>
      <c r="G131" s="127">
        <v>18</v>
      </c>
      <c r="H131" s="127">
        <v>15</v>
      </c>
      <c r="I131" s="127">
        <f t="shared" si="56"/>
        <v>16.5</v>
      </c>
      <c r="J131" s="127">
        <f t="shared" si="113"/>
        <v>1650000</v>
      </c>
      <c r="K131" s="128">
        <f t="shared" si="58"/>
        <v>6.2174839442139067</v>
      </c>
      <c r="L131" s="217"/>
      <c r="M131" s="211"/>
      <c r="N131" s="214"/>
      <c r="O131" s="318"/>
    </row>
    <row r="132" spans="2:15" ht="15" customHeight="1" x14ac:dyDescent="0.2">
      <c r="B132" s="125" t="s">
        <v>154</v>
      </c>
      <c r="C132" s="263"/>
      <c r="D132" s="263"/>
      <c r="E132" s="153" t="s">
        <v>55</v>
      </c>
      <c r="F132" s="56">
        <f t="shared" si="112"/>
        <v>1E-4</v>
      </c>
      <c r="G132" s="127">
        <v>12</v>
      </c>
      <c r="H132" s="127">
        <v>12</v>
      </c>
      <c r="I132" s="127">
        <f t="shared" ref="I132" si="114">AVERAGE(G132:H132)</f>
        <v>12</v>
      </c>
      <c r="J132" s="127">
        <f t="shared" ref="J132" si="115">(1/F132)*I132*10</f>
        <v>1200000</v>
      </c>
      <c r="K132" s="128">
        <f t="shared" ref="K132" si="116">LOG(J132)</f>
        <v>6.0791812460476251</v>
      </c>
      <c r="L132" s="218"/>
      <c r="M132" s="212"/>
      <c r="N132" s="215"/>
      <c r="O132" s="318"/>
    </row>
    <row r="133" spans="2:15" ht="15" customHeight="1" x14ac:dyDescent="0.2">
      <c r="B133" s="55" t="s">
        <v>155</v>
      </c>
      <c r="C133" s="264"/>
      <c r="D133" s="265" t="s">
        <v>22</v>
      </c>
      <c r="E133" s="154" t="s">
        <v>53</v>
      </c>
      <c r="F133" s="56">
        <f t="shared" ref="F133:F141" si="117">10^-4</f>
        <v>1E-4</v>
      </c>
      <c r="G133" s="57">
        <v>65</v>
      </c>
      <c r="H133" s="57">
        <v>61</v>
      </c>
      <c r="I133" s="57">
        <f t="shared" si="56"/>
        <v>63</v>
      </c>
      <c r="J133" s="57">
        <f t="shared" si="113"/>
        <v>6300000</v>
      </c>
      <c r="K133" s="58">
        <f t="shared" si="58"/>
        <v>6.7993405494535821</v>
      </c>
      <c r="L133" s="216">
        <f>AVERAGE(J133:J135)</f>
        <v>5983333.333333333</v>
      </c>
      <c r="M133" s="219">
        <f t="shared" ref="M133" si="118">LOG(L133)</f>
        <v>6.7769431981946751</v>
      </c>
      <c r="N133" s="220">
        <f>STDEV(K133:K135)</f>
        <v>2.0455667023847397E-2</v>
      </c>
      <c r="O133" s="318"/>
    </row>
    <row r="134" spans="2:15" ht="15" customHeight="1" x14ac:dyDescent="0.2">
      <c r="B134" s="55" t="s">
        <v>156</v>
      </c>
      <c r="C134" s="264"/>
      <c r="D134" s="268"/>
      <c r="E134" s="153" t="s">
        <v>54</v>
      </c>
      <c r="F134" s="56">
        <f t="shared" si="117"/>
        <v>1E-4</v>
      </c>
      <c r="G134" s="57">
        <v>66</v>
      </c>
      <c r="H134" s="57">
        <v>49</v>
      </c>
      <c r="I134" s="57">
        <f t="shared" si="56"/>
        <v>57.5</v>
      </c>
      <c r="J134" s="57">
        <f t="shared" si="113"/>
        <v>5750000</v>
      </c>
      <c r="K134" s="58">
        <f t="shared" si="58"/>
        <v>6.7596678446896306</v>
      </c>
      <c r="L134" s="217"/>
      <c r="M134" s="211"/>
      <c r="N134" s="214"/>
      <c r="O134" s="318"/>
    </row>
    <row r="135" spans="2:15" ht="15" customHeight="1" x14ac:dyDescent="0.2">
      <c r="B135" s="55" t="s">
        <v>157</v>
      </c>
      <c r="C135" s="264"/>
      <c r="D135" s="263"/>
      <c r="E135" s="153" t="s">
        <v>55</v>
      </c>
      <c r="F135" s="56">
        <f t="shared" si="117"/>
        <v>1E-4</v>
      </c>
      <c r="G135" s="57">
        <v>58</v>
      </c>
      <c r="H135" s="57">
        <v>60</v>
      </c>
      <c r="I135" s="57">
        <f t="shared" si="56"/>
        <v>59</v>
      </c>
      <c r="J135" s="57">
        <f t="shared" si="113"/>
        <v>5900000</v>
      </c>
      <c r="K135" s="58">
        <f t="shared" si="58"/>
        <v>6.7708520116421438</v>
      </c>
      <c r="L135" s="218"/>
      <c r="M135" s="212"/>
      <c r="N135" s="215"/>
      <c r="O135" s="318"/>
    </row>
    <row r="136" spans="2:15" ht="15" customHeight="1" x14ac:dyDescent="0.2">
      <c r="B136" s="55" t="s">
        <v>158</v>
      </c>
      <c r="C136" s="264"/>
      <c r="D136" s="265" t="s">
        <v>23</v>
      </c>
      <c r="E136" s="154" t="s">
        <v>53</v>
      </c>
      <c r="F136" s="56">
        <f t="shared" si="117"/>
        <v>1E-4</v>
      </c>
      <c r="G136" s="57">
        <v>40</v>
      </c>
      <c r="H136" s="57">
        <v>50</v>
      </c>
      <c r="I136" s="57">
        <f t="shared" si="56"/>
        <v>45</v>
      </c>
      <c r="J136" s="57">
        <f t="shared" si="113"/>
        <v>4500000</v>
      </c>
      <c r="K136" s="58">
        <f t="shared" si="58"/>
        <v>6.653212513775344</v>
      </c>
      <c r="L136" s="216">
        <f>AVERAGE(J136:J138)</f>
        <v>4633333.333333333</v>
      </c>
      <c r="M136" s="219">
        <f t="shared" ref="M136" si="119">LOG(L136)</f>
        <v>6.6658935455344324</v>
      </c>
      <c r="N136" s="220">
        <f>STDEV(K136:K138)</f>
        <v>0.10363394904813771</v>
      </c>
      <c r="O136" s="318"/>
    </row>
    <row r="137" spans="2:15" ht="15" customHeight="1" x14ac:dyDescent="0.2">
      <c r="B137" s="55" t="s">
        <v>159</v>
      </c>
      <c r="C137" s="265"/>
      <c r="D137" s="268"/>
      <c r="E137" s="153" t="s">
        <v>54</v>
      </c>
      <c r="F137" s="56">
        <f t="shared" si="117"/>
        <v>1E-4</v>
      </c>
      <c r="G137" s="130">
        <v>32</v>
      </c>
      <c r="H137" s="130">
        <v>40</v>
      </c>
      <c r="I137" s="130">
        <f t="shared" si="56"/>
        <v>36</v>
      </c>
      <c r="J137" s="130">
        <f t="shared" si="113"/>
        <v>3600000</v>
      </c>
      <c r="K137" s="131">
        <f t="shared" si="58"/>
        <v>6.5563025007672868</v>
      </c>
      <c r="L137" s="217"/>
      <c r="M137" s="211"/>
      <c r="N137" s="214"/>
      <c r="O137" s="318"/>
    </row>
    <row r="138" spans="2:15" ht="15" customHeight="1" x14ac:dyDescent="0.2">
      <c r="B138" s="55" t="s">
        <v>160</v>
      </c>
      <c r="C138" s="265"/>
      <c r="D138" s="263"/>
      <c r="E138" s="153" t="s">
        <v>55</v>
      </c>
      <c r="F138" s="56">
        <f t="shared" si="117"/>
        <v>1E-4</v>
      </c>
      <c r="G138" s="130">
        <v>50</v>
      </c>
      <c r="H138" s="130">
        <v>66</v>
      </c>
      <c r="I138" s="130">
        <f t="shared" si="56"/>
        <v>58</v>
      </c>
      <c r="J138" s="130">
        <f t="shared" si="113"/>
        <v>5800000</v>
      </c>
      <c r="K138" s="131">
        <f t="shared" si="58"/>
        <v>6.7634279935629369</v>
      </c>
      <c r="L138" s="218"/>
      <c r="M138" s="212"/>
      <c r="N138" s="215"/>
      <c r="O138" s="318"/>
    </row>
    <row r="139" spans="2:15" ht="15" customHeight="1" x14ac:dyDescent="0.2">
      <c r="B139" s="129" t="s">
        <v>161</v>
      </c>
      <c r="C139" s="265"/>
      <c r="D139" s="268" t="s">
        <v>24</v>
      </c>
      <c r="E139" s="154" t="s">
        <v>53</v>
      </c>
      <c r="F139" s="56">
        <f t="shared" si="117"/>
        <v>1E-4</v>
      </c>
      <c r="G139" s="130">
        <v>19</v>
      </c>
      <c r="H139" s="130">
        <v>20</v>
      </c>
      <c r="I139" s="130">
        <f t="shared" si="56"/>
        <v>19.5</v>
      </c>
      <c r="J139" s="130">
        <f t="shared" si="113"/>
        <v>1950000</v>
      </c>
      <c r="K139" s="131">
        <f t="shared" si="58"/>
        <v>6.2900346113625183</v>
      </c>
      <c r="L139" s="216">
        <f>AVERAGE(J139:J141)</f>
        <v>2850000</v>
      </c>
      <c r="M139" s="219">
        <f>LOG(L139)</f>
        <v>6.4548448600085102</v>
      </c>
      <c r="N139" s="220">
        <f>STDEV(K139:K141)</f>
        <v>0.13312709678853207</v>
      </c>
      <c r="O139" s="318"/>
    </row>
    <row r="140" spans="2:15" ht="15" customHeight="1" x14ac:dyDescent="0.2">
      <c r="B140" s="129" t="s">
        <v>162</v>
      </c>
      <c r="C140" s="265"/>
      <c r="D140" s="268"/>
      <c r="E140" s="153" t="s">
        <v>54</v>
      </c>
      <c r="F140" s="56">
        <f t="shared" si="117"/>
        <v>1E-4</v>
      </c>
      <c r="G140" s="57">
        <v>29</v>
      </c>
      <c r="H140" s="57">
        <v>34</v>
      </c>
      <c r="I140" s="57">
        <f t="shared" ref="I140" si="120">AVERAGE(G140:H140)</f>
        <v>31.5</v>
      </c>
      <c r="J140" s="57">
        <f t="shared" ref="J140" si="121">(1/F140)*I140*10</f>
        <v>3150000</v>
      </c>
      <c r="K140" s="58">
        <f t="shared" ref="K140" si="122">LOG(J140)</f>
        <v>6.4983105537896009</v>
      </c>
      <c r="L140" s="217"/>
      <c r="M140" s="211"/>
      <c r="N140" s="214"/>
      <c r="O140" s="318"/>
    </row>
    <row r="141" spans="2:15" ht="15.75" customHeight="1" thickBot="1" x14ac:dyDescent="0.25">
      <c r="B141" s="59" t="s">
        <v>163</v>
      </c>
      <c r="C141" s="266"/>
      <c r="D141" s="269"/>
      <c r="E141" s="153" t="s">
        <v>55</v>
      </c>
      <c r="F141" s="60">
        <f t="shared" si="117"/>
        <v>1E-4</v>
      </c>
      <c r="G141" s="134">
        <v>38</v>
      </c>
      <c r="H141" s="134">
        <v>31</v>
      </c>
      <c r="I141" s="134">
        <f t="shared" si="56"/>
        <v>34.5</v>
      </c>
      <c r="J141" s="134">
        <f t="shared" si="113"/>
        <v>3450000</v>
      </c>
      <c r="K141" s="135">
        <f t="shared" si="58"/>
        <v>6.5378190950732744</v>
      </c>
      <c r="L141" s="222"/>
      <c r="M141" s="241"/>
      <c r="N141" s="267"/>
      <c r="O141" s="319"/>
    </row>
    <row r="143" spans="2:15" ht="15" thickBot="1" x14ac:dyDescent="0.25"/>
    <row r="144" spans="2:15" ht="16.5" thickBot="1" x14ac:dyDescent="0.3">
      <c r="B144" s="340" t="s">
        <v>15</v>
      </c>
      <c r="C144" s="341"/>
      <c r="D144" s="341"/>
      <c r="E144" s="341"/>
      <c r="F144" s="341"/>
      <c r="G144" s="341"/>
      <c r="H144" s="341"/>
      <c r="I144" s="341"/>
      <c r="J144" s="341"/>
      <c r="K144" s="341"/>
      <c r="L144" s="341"/>
      <c r="M144" s="342"/>
    </row>
    <row r="145" spans="2:13" ht="30.75" thickBot="1" x14ac:dyDescent="0.25">
      <c r="B145" s="89" t="s">
        <v>2</v>
      </c>
      <c r="C145" s="66" t="s">
        <v>12</v>
      </c>
      <c r="D145" s="17" t="s">
        <v>20</v>
      </c>
      <c r="E145" s="90" t="s">
        <v>3</v>
      </c>
      <c r="F145" s="90" t="s">
        <v>4</v>
      </c>
      <c r="G145" s="90" t="s">
        <v>5</v>
      </c>
      <c r="H145" s="90" t="s">
        <v>6</v>
      </c>
      <c r="I145" s="90" t="s">
        <v>7</v>
      </c>
      <c r="J145" s="90" t="s">
        <v>8</v>
      </c>
      <c r="K145" s="90" t="s">
        <v>9</v>
      </c>
      <c r="L145" s="90" t="s">
        <v>10</v>
      </c>
      <c r="M145" s="91" t="s">
        <v>11</v>
      </c>
    </row>
    <row r="146" spans="2:13" x14ac:dyDescent="0.2">
      <c r="B146" s="117" t="s">
        <v>164</v>
      </c>
      <c r="C146" s="142" t="s">
        <v>53</v>
      </c>
      <c r="D146" s="205" t="s">
        <v>21</v>
      </c>
      <c r="E146" s="114">
        <f>10^-1</f>
        <v>0.1</v>
      </c>
      <c r="F146" s="92">
        <v>0</v>
      </c>
      <c r="G146" s="43">
        <v>0</v>
      </c>
      <c r="H146" s="92">
        <v>1</v>
      </c>
      <c r="I146" s="92">
        <f>(1/E146)*H146*1</f>
        <v>10</v>
      </c>
      <c r="J146" s="93">
        <f t="shared" ref="J146:J157" si="123">LOG(I146)</f>
        <v>1</v>
      </c>
      <c r="K146" s="205">
        <f>AVERAGE(I146:I157)</f>
        <v>10</v>
      </c>
      <c r="L146" s="334">
        <f>LOG(K146)</f>
        <v>1</v>
      </c>
      <c r="M146" s="337">
        <f t="shared" ref="M146" si="124">STDEV(J146:J157)</f>
        <v>0</v>
      </c>
    </row>
    <row r="147" spans="2:13" x14ac:dyDescent="0.2">
      <c r="B147" s="141" t="s">
        <v>165</v>
      </c>
      <c r="C147" s="8" t="s">
        <v>54</v>
      </c>
      <c r="D147" s="206"/>
      <c r="E147" s="143">
        <f>10^-1</f>
        <v>0.1</v>
      </c>
      <c r="F147" s="144">
        <v>0</v>
      </c>
      <c r="G147" s="122">
        <v>0</v>
      </c>
      <c r="H147" s="144">
        <v>1</v>
      </c>
      <c r="I147" s="144">
        <f t="shared" ref="I147:I157" si="125">(1/E147)*H147*1</f>
        <v>10</v>
      </c>
      <c r="J147" s="145">
        <f t="shared" si="123"/>
        <v>1</v>
      </c>
      <c r="K147" s="206"/>
      <c r="L147" s="335"/>
      <c r="M147" s="338"/>
    </row>
    <row r="148" spans="2:13" x14ac:dyDescent="0.2">
      <c r="B148" s="141" t="s">
        <v>166</v>
      </c>
      <c r="C148" s="8" t="s">
        <v>55</v>
      </c>
      <c r="D148" s="207"/>
      <c r="E148" s="143">
        <f>10^-1</f>
        <v>0.1</v>
      </c>
      <c r="F148" s="144">
        <v>0</v>
      </c>
      <c r="G148" s="122">
        <v>0</v>
      </c>
      <c r="H148" s="144">
        <v>1</v>
      </c>
      <c r="I148" s="144">
        <f t="shared" ref="I148" si="126">(1/E148)*H148*1</f>
        <v>10</v>
      </c>
      <c r="J148" s="145">
        <f t="shared" ref="J148" si="127">LOG(I148)</f>
        <v>1</v>
      </c>
      <c r="K148" s="206"/>
      <c r="L148" s="335"/>
      <c r="M148" s="338"/>
    </row>
    <row r="149" spans="2:13" x14ac:dyDescent="0.2">
      <c r="B149" s="7" t="s">
        <v>167</v>
      </c>
      <c r="C149" s="142" t="s">
        <v>53</v>
      </c>
      <c r="D149" s="208" t="s">
        <v>22</v>
      </c>
      <c r="E149" s="115">
        <f t="shared" ref="E149:E157" si="128">10^-1</f>
        <v>0.1</v>
      </c>
      <c r="F149" s="9">
        <v>0</v>
      </c>
      <c r="G149" s="47">
        <v>0</v>
      </c>
      <c r="H149" s="9">
        <v>1</v>
      </c>
      <c r="I149" s="9">
        <f t="shared" si="125"/>
        <v>10</v>
      </c>
      <c r="J149" s="10">
        <f t="shared" si="123"/>
        <v>1</v>
      </c>
      <c r="K149" s="206"/>
      <c r="L149" s="335"/>
      <c r="M149" s="338"/>
    </row>
    <row r="150" spans="2:13" x14ac:dyDescent="0.2">
      <c r="B150" s="7" t="s">
        <v>168</v>
      </c>
      <c r="C150" s="8" t="s">
        <v>54</v>
      </c>
      <c r="D150" s="206"/>
      <c r="E150" s="115">
        <f t="shared" si="128"/>
        <v>0.1</v>
      </c>
      <c r="F150" s="9">
        <v>0</v>
      </c>
      <c r="G150" s="47">
        <v>0</v>
      </c>
      <c r="H150" s="9">
        <v>1</v>
      </c>
      <c r="I150" s="9">
        <f t="shared" si="125"/>
        <v>10</v>
      </c>
      <c r="J150" s="10">
        <f t="shared" si="123"/>
        <v>1</v>
      </c>
      <c r="K150" s="206"/>
      <c r="L150" s="335"/>
      <c r="M150" s="338"/>
    </row>
    <row r="151" spans="2:13" x14ac:dyDescent="0.2">
      <c r="B151" s="7" t="s">
        <v>169</v>
      </c>
      <c r="C151" s="8" t="s">
        <v>55</v>
      </c>
      <c r="D151" s="207"/>
      <c r="E151" s="143">
        <f>10^-1</f>
        <v>0.1</v>
      </c>
      <c r="F151" s="9">
        <v>0</v>
      </c>
      <c r="G151" s="47">
        <v>0</v>
      </c>
      <c r="H151" s="9">
        <v>1</v>
      </c>
      <c r="I151" s="9">
        <f t="shared" si="125"/>
        <v>10</v>
      </c>
      <c r="J151" s="10">
        <f t="shared" si="123"/>
        <v>1</v>
      </c>
      <c r="K151" s="206"/>
      <c r="L151" s="335"/>
      <c r="M151" s="338"/>
    </row>
    <row r="152" spans="2:13" x14ac:dyDescent="0.2">
      <c r="B152" s="7" t="s">
        <v>170</v>
      </c>
      <c r="C152" s="142" t="s">
        <v>53</v>
      </c>
      <c r="D152" s="208" t="s">
        <v>23</v>
      </c>
      <c r="E152" s="115">
        <f t="shared" si="128"/>
        <v>0.1</v>
      </c>
      <c r="F152" s="9">
        <v>0</v>
      </c>
      <c r="G152" s="47">
        <v>0</v>
      </c>
      <c r="H152" s="9">
        <v>1</v>
      </c>
      <c r="I152" s="9">
        <f t="shared" si="125"/>
        <v>10</v>
      </c>
      <c r="J152" s="10">
        <f t="shared" si="123"/>
        <v>1</v>
      </c>
      <c r="K152" s="206"/>
      <c r="L152" s="335"/>
      <c r="M152" s="338"/>
    </row>
    <row r="153" spans="2:13" x14ac:dyDescent="0.2">
      <c r="B153" s="7" t="s">
        <v>171</v>
      </c>
      <c r="C153" s="8" t="s">
        <v>54</v>
      </c>
      <c r="D153" s="206"/>
      <c r="E153" s="147">
        <f t="shared" si="128"/>
        <v>0.1</v>
      </c>
      <c r="F153" s="148">
        <v>0</v>
      </c>
      <c r="G153" s="98">
        <v>0</v>
      </c>
      <c r="H153" s="148">
        <v>1</v>
      </c>
      <c r="I153" s="148">
        <f t="shared" si="125"/>
        <v>10</v>
      </c>
      <c r="J153" s="149">
        <f t="shared" si="123"/>
        <v>1</v>
      </c>
      <c r="K153" s="206"/>
      <c r="L153" s="335"/>
      <c r="M153" s="338"/>
    </row>
    <row r="154" spans="2:13" x14ac:dyDescent="0.2">
      <c r="B154" s="7" t="s">
        <v>172</v>
      </c>
      <c r="C154" s="8" t="s">
        <v>55</v>
      </c>
      <c r="D154" s="207"/>
      <c r="E154" s="143">
        <f>10^-1</f>
        <v>0.1</v>
      </c>
      <c r="F154" s="148">
        <v>0</v>
      </c>
      <c r="G154" s="98">
        <v>0</v>
      </c>
      <c r="H154" s="148">
        <v>1</v>
      </c>
      <c r="I154" s="148">
        <f t="shared" si="125"/>
        <v>10</v>
      </c>
      <c r="J154" s="149">
        <f t="shared" si="123"/>
        <v>1</v>
      </c>
      <c r="K154" s="206"/>
      <c r="L154" s="335"/>
      <c r="M154" s="338"/>
    </row>
    <row r="155" spans="2:13" x14ac:dyDescent="0.2">
      <c r="B155" s="146" t="s">
        <v>173</v>
      </c>
      <c r="C155" s="142" t="s">
        <v>53</v>
      </c>
      <c r="D155" s="206" t="s">
        <v>24</v>
      </c>
      <c r="E155" s="143">
        <f>10^-1</f>
        <v>0.1</v>
      </c>
      <c r="F155" s="148">
        <v>0</v>
      </c>
      <c r="G155" s="98">
        <v>0</v>
      </c>
      <c r="H155" s="148">
        <v>1</v>
      </c>
      <c r="I155" s="148">
        <f t="shared" si="125"/>
        <v>10</v>
      </c>
      <c r="J155" s="149">
        <f t="shared" si="123"/>
        <v>1</v>
      </c>
      <c r="K155" s="206"/>
      <c r="L155" s="335"/>
      <c r="M155" s="338"/>
    </row>
    <row r="156" spans="2:13" ht="15" customHeight="1" x14ac:dyDescent="0.2">
      <c r="B156" s="146" t="s">
        <v>174</v>
      </c>
      <c r="C156" s="8" t="s">
        <v>54</v>
      </c>
      <c r="D156" s="206"/>
      <c r="E156" s="147">
        <f t="shared" si="128"/>
        <v>0.1</v>
      </c>
      <c r="F156" s="148">
        <v>0</v>
      </c>
      <c r="G156" s="98">
        <v>0</v>
      </c>
      <c r="H156" s="148">
        <v>1</v>
      </c>
      <c r="I156" s="148">
        <f t="shared" si="125"/>
        <v>10</v>
      </c>
      <c r="J156" s="149">
        <f t="shared" si="123"/>
        <v>1</v>
      </c>
      <c r="K156" s="206"/>
      <c r="L156" s="335"/>
      <c r="M156" s="338"/>
    </row>
    <row r="157" spans="2:13" ht="15.75" customHeight="1" thickBot="1" x14ac:dyDescent="0.25">
      <c r="B157" s="11" t="s">
        <v>175</v>
      </c>
      <c r="C157" s="12" t="s">
        <v>55</v>
      </c>
      <c r="D157" s="209"/>
      <c r="E157" s="116">
        <f t="shared" si="128"/>
        <v>0.1</v>
      </c>
      <c r="F157" s="13">
        <v>0</v>
      </c>
      <c r="G157" s="50">
        <v>0</v>
      </c>
      <c r="H157" s="13">
        <v>1</v>
      </c>
      <c r="I157" s="13">
        <f t="shared" si="125"/>
        <v>10</v>
      </c>
      <c r="J157" s="14">
        <f t="shared" si="123"/>
        <v>1</v>
      </c>
      <c r="K157" s="209"/>
      <c r="L157" s="336"/>
      <c r="M157" s="339"/>
    </row>
  </sheetData>
  <mergeCells count="214">
    <mergeCell ref="K146:K157"/>
    <mergeCell ref="L146:L157"/>
    <mergeCell ref="M146:M157"/>
    <mergeCell ref="O106:O109"/>
    <mergeCell ref="O118:O121"/>
    <mergeCell ref="L118:L121"/>
    <mergeCell ref="M118:M121"/>
    <mergeCell ref="N118:N121"/>
    <mergeCell ref="O130:O141"/>
    <mergeCell ref="M110:M113"/>
    <mergeCell ref="N110:N113"/>
    <mergeCell ref="O110:O113"/>
    <mergeCell ref="L114:L117"/>
    <mergeCell ref="M114:M117"/>
    <mergeCell ref="B144:M144"/>
    <mergeCell ref="C106:C109"/>
    <mergeCell ref="C118:C121"/>
    <mergeCell ref="E118:E121"/>
    <mergeCell ref="C122:C125"/>
    <mergeCell ref="L122:L125"/>
    <mergeCell ref="M122:M125"/>
    <mergeCell ref="N122:N125"/>
    <mergeCell ref="D118:D121"/>
    <mergeCell ref="D122:D125"/>
    <mergeCell ref="O54:O57"/>
    <mergeCell ref="O82:O85"/>
    <mergeCell ref="L54:L57"/>
    <mergeCell ref="O94:O97"/>
    <mergeCell ref="N54:N57"/>
    <mergeCell ref="N82:N85"/>
    <mergeCell ref="L94:L97"/>
    <mergeCell ref="M94:M97"/>
    <mergeCell ref="N94:N97"/>
    <mergeCell ref="M75:M77"/>
    <mergeCell ref="O62:O65"/>
    <mergeCell ref="N90:N93"/>
    <mergeCell ref="O90:O93"/>
    <mergeCell ref="O86:O89"/>
    <mergeCell ref="B16:O16"/>
    <mergeCell ref="C42:C45"/>
    <mergeCell ref="E42:E45"/>
    <mergeCell ref="M42:M45"/>
    <mergeCell ref="N30:N33"/>
    <mergeCell ref="N42:N45"/>
    <mergeCell ref="C18:C21"/>
    <mergeCell ref="C30:C33"/>
    <mergeCell ref="E18:E21"/>
    <mergeCell ref="E30:E33"/>
    <mergeCell ref="O18:O21"/>
    <mergeCell ref="O30:O33"/>
    <mergeCell ref="O42:O45"/>
    <mergeCell ref="M30:M33"/>
    <mergeCell ref="L18:L21"/>
    <mergeCell ref="N18:N21"/>
    <mergeCell ref="D18:D21"/>
    <mergeCell ref="D30:D33"/>
    <mergeCell ref="D42:D45"/>
    <mergeCell ref="L30:L33"/>
    <mergeCell ref="L42:L45"/>
    <mergeCell ref="M18:M21"/>
    <mergeCell ref="N22:N25"/>
    <mergeCell ref="O22:O25"/>
    <mergeCell ref="N46:N49"/>
    <mergeCell ref="O46:O49"/>
    <mergeCell ref="D94:D97"/>
    <mergeCell ref="D106:D109"/>
    <mergeCell ref="O66:O77"/>
    <mergeCell ref="O98:O101"/>
    <mergeCell ref="N58:N61"/>
    <mergeCell ref="O58:O61"/>
    <mergeCell ref="D54:D57"/>
    <mergeCell ref="E106:E109"/>
    <mergeCell ref="L106:L109"/>
    <mergeCell ref="M106:M109"/>
    <mergeCell ref="N106:N109"/>
    <mergeCell ref="N50:N53"/>
    <mergeCell ref="O50:O53"/>
    <mergeCell ref="E94:E97"/>
    <mergeCell ref="E82:E85"/>
    <mergeCell ref="M54:M57"/>
    <mergeCell ref="L82:L85"/>
    <mergeCell ref="M82:M85"/>
    <mergeCell ref="B80:O80"/>
    <mergeCell ref="C54:C57"/>
    <mergeCell ref="E54:E57"/>
    <mergeCell ref="C66:C77"/>
    <mergeCell ref="C22:C25"/>
    <mergeCell ref="D22:D25"/>
    <mergeCell ref="E22:E25"/>
    <mergeCell ref="L22:L25"/>
    <mergeCell ref="M22:M25"/>
    <mergeCell ref="C26:C29"/>
    <mergeCell ref="D26:D29"/>
    <mergeCell ref="E26:E29"/>
    <mergeCell ref="L26:L29"/>
    <mergeCell ref="M26:M29"/>
    <mergeCell ref="C58:C61"/>
    <mergeCell ref="D58:D61"/>
    <mergeCell ref="E58:E61"/>
    <mergeCell ref="L58:L61"/>
    <mergeCell ref="M58:M61"/>
    <mergeCell ref="C46:C49"/>
    <mergeCell ref="D46:D49"/>
    <mergeCell ref="E46:E49"/>
    <mergeCell ref="L46:L49"/>
    <mergeCell ref="M46:M49"/>
    <mergeCell ref="C50:C53"/>
    <mergeCell ref="D50:D53"/>
    <mergeCell ref="E50:E53"/>
    <mergeCell ref="L50:L53"/>
    <mergeCell ref="M50:M53"/>
    <mergeCell ref="M62:M65"/>
    <mergeCell ref="N62:N65"/>
    <mergeCell ref="E122:E125"/>
    <mergeCell ref="C110:C113"/>
    <mergeCell ref="D110:D113"/>
    <mergeCell ref="E110:E113"/>
    <mergeCell ref="C114:C117"/>
    <mergeCell ref="D114:D117"/>
    <mergeCell ref="E114:E117"/>
    <mergeCell ref="D75:D77"/>
    <mergeCell ref="L75:L77"/>
    <mergeCell ref="D82:D85"/>
    <mergeCell ref="N75:N77"/>
    <mergeCell ref="C82:C85"/>
    <mergeCell ref="N86:N89"/>
    <mergeCell ref="C94:C97"/>
    <mergeCell ref="D136:D138"/>
    <mergeCell ref="L110:L113"/>
    <mergeCell ref="N26:N29"/>
    <mergeCell ref="O26:O29"/>
    <mergeCell ref="C38:C41"/>
    <mergeCell ref="D38:D41"/>
    <mergeCell ref="E38:E41"/>
    <mergeCell ref="L38:L41"/>
    <mergeCell ref="M38:M41"/>
    <mergeCell ref="N38:N41"/>
    <mergeCell ref="O38:O41"/>
    <mergeCell ref="C34:C37"/>
    <mergeCell ref="D34:D37"/>
    <mergeCell ref="E34:E37"/>
    <mergeCell ref="L34:L37"/>
    <mergeCell ref="M34:M37"/>
    <mergeCell ref="N34:N37"/>
    <mergeCell ref="O34:O37"/>
    <mergeCell ref="C62:C65"/>
    <mergeCell ref="D62:D65"/>
    <mergeCell ref="E62:E65"/>
    <mergeCell ref="L62:L65"/>
    <mergeCell ref="D72:D74"/>
    <mergeCell ref="D69:D71"/>
    <mergeCell ref="D66:D68"/>
    <mergeCell ref="L66:L68"/>
    <mergeCell ref="C90:C93"/>
    <mergeCell ref="D90:D93"/>
    <mergeCell ref="E90:E93"/>
    <mergeCell ref="L90:L93"/>
    <mergeCell ref="M90:M93"/>
    <mergeCell ref="C86:C89"/>
    <mergeCell ref="D86:D89"/>
    <mergeCell ref="E86:E89"/>
    <mergeCell ref="L86:L89"/>
    <mergeCell ref="M86:M89"/>
    <mergeCell ref="M139:M141"/>
    <mergeCell ref="N114:N117"/>
    <mergeCell ref="O114:O117"/>
    <mergeCell ref="C126:C129"/>
    <mergeCell ref="D126:D129"/>
    <mergeCell ref="E126:E129"/>
    <mergeCell ref="L126:L129"/>
    <mergeCell ref="M126:M129"/>
    <mergeCell ref="N126:N129"/>
    <mergeCell ref="O126:O129"/>
    <mergeCell ref="C130:C141"/>
    <mergeCell ref="O122:O125"/>
    <mergeCell ref="N139:N141"/>
    <mergeCell ref="D139:D141"/>
    <mergeCell ref="D130:D132"/>
    <mergeCell ref="D133:D135"/>
    <mergeCell ref="C102:C105"/>
    <mergeCell ref="D102:D105"/>
    <mergeCell ref="E102:E105"/>
    <mergeCell ref="L102:L105"/>
    <mergeCell ref="M102:M105"/>
    <mergeCell ref="N102:N105"/>
    <mergeCell ref="O102:O105"/>
    <mergeCell ref="C98:C101"/>
    <mergeCell ref="D98:D101"/>
    <mergeCell ref="M98:M101"/>
    <mergeCell ref="N98:N101"/>
    <mergeCell ref="D146:D148"/>
    <mergeCell ref="D149:D151"/>
    <mergeCell ref="D152:D154"/>
    <mergeCell ref="D155:D157"/>
    <mergeCell ref="M66:M68"/>
    <mergeCell ref="N66:N68"/>
    <mergeCell ref="L69:L71"/>
    <mergeCell ref="M69:M71"/>
    <mergeCell ref="N69:N71"/>
    <mergeCell ref="L72:L74"/>
    <mergeCell ref="M72:M74"/>
    <mergeCell ref="N72:N74"/>
    <mergeCell ref="L130:L132"/>
    <mergeCell ref="M130:M132"/>
    <mergeCell ref="N130:N132"/>
    <mergeCell ref="L133:L135"/>
    <mergeCell ref="M133:M135"/>
    <mergeCell ref="N133:N135"/>
    <mergeCell ref="L136:L138"/>
    <mergeCell ref="M136:M138"/>
    <mergeCell ref="N136:N138"/>
    <mergeCell ref="L139:L141"/>
    <mergeCell ref="E98:E101"/>
    <mergeCell ref="L98:L101"/>
  </mergeCells>
  <pageMargins left="0.7" right="0.7" top="0.75" bottom="0.75" header="0.3" footer="0.3"/>
  <pageSetup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1"/>
  <sheetViews>
    <sheetView tabSelected="1" topLeftCell="A57" workbookViewId="0">
      <selection activeCell="O72" sqref="O72:O75"/>
    </sheetView>
  </sheetViews>
  <sheetFormatPr defaultRowHeight="14.25" x14ac:dyDescent="0.2"/>
  <cols>
    <col min="1" max="2" width="9.140625" style="2"/>
    <col min="3" max="4" width="12.85546875" style="2" customWidth="1"/>
    <col min="5" max="5" width="9.42578125" style="2" bestFit="1" customWidth="1"/>
    <col min="6" max="6" width="10" style="2" bestFit="1" customWidth="1"/>
    <col min="7" max="8" width="9.28515625" style="2" bestFit="1" customWidth="1"/>
    <col min="9" max="9" width="11.7109375" style="2" customWidth="1"/>
    <col min="10" max="10" width="12.42578125" style="2" customWidth="1"/>
    <col min="11" max="14" width="9.28515625" style="2" bestFit="1" customWidth="1"/>
    <col min="15" max="15" width="19.42578125" style="2" customWidth="1"/>
    <col min="16" max="16384" width="9.140625" style="2"/>
  </cols>
  <sheetData>
    <row r="1" spans="1:15" ht="18" x14ac:dyDescent="0.25">
      <c r="A1" s="1" t="s">
        <v>176</v>
      </c>
    </row>
    <row r="3" spans="1:15" ht="18.75" x14ac:dyDescent="0.2">
      <c r="A3" s="3" t="s">
        <v>29</v>
      </c>
    </row>
    <row r="4" spans="1:15" ht="18" x14ac:dyDescent="0.2">
      <c r="A4" s="3"/>
    </row>
    <row r="5" spans="1:15" ht="15" x14ac:dyDescent="0.2">
      <c r="B5" s="15" t="s">
        <v>177</v>
      </c>
    </row>
    <row r="6" spans="1:15" ht="15" x14ac:dyDescent="0.2">
      <c r="B6" s="15" t="s">
        <v>178</v>
      </c>
    </row>
    <row r="7" spans="1:15" ht="15" x14ac:dyDescent="0.2">
      <c r="B7" s="15" t="s">
        <v>179</v>
      </c>
      <c r="K7" s="78" t="s">
        <v>37</v>
      </c>
      <c r="L7" s="78"/>
      <c r="M7" s="78"/>
      <c r="N7" s="78"/>
    </row>
    <row r="8" spans="1:15" ht="15" x14ac:dyDescent="0.2">
      <c r="B8" s="15" t="s">
        <v>180</v>
      </c>
      <c r="K8" s="78" t="s">
        <v>249</v>
      </c>
      <c r="L8" s="78"/>
      <c r="M8" s="78"/>
      <c r="N8" s="78"/>
    </row>
    <row r="9" spans="1:15" ht="16.5" x14ac:dyDescent="0.3">
      <c r="B9" s="15" t="s">
        <v>1</v>
      </c>
      <c r="K9" s="78" t="s">
        <v>248</v>
      </c>
      <c r="L9" s="78"/>
      <c r="M9" s="78"/>
      <c r="N9" s="78"/>
    </row>
    <row r="10" spans="1:15" ht="15" x14ac:dyDescent="0.2">
      <c r="B10" s="15" t="s">
        <v>32</v>
      </c>
      <c r="K10" s="78"/>
      <c r="L10" s="78"/>
      <c r="M10" s="78"/>
      <c r="N10" s="78"/>
    </row>
    <row r="11" spans="1:15" ht="15" x14ac:dyDescent="0.2">
      <c r="B11" s="15" t="s">
        <v>33</v>
      </c>
      <c r="K11" s="78" t="s">
        <v>38</v>
      </c>
      <c r="L11" s="78"/>
      <c r="M11" s="78"/>
      <c r="N11" s="78"/>
    </row>
    <row r="12" spans="1:15" ht="15" x14ac:dyDescent="0.2">
      <c r="B12" s="15" t="s">
        <v>181</v>
      </c>
      <c r="K12" s="78" t="s">
        <v>251</v>
      </c>
      <c r="L12" s="78"/>
      <c r="M12" s="78"/>
      <c r="N12" s="78"/>
    </row>
    <row r="13" spans="1:15" ht="16.5" x14ac:dyDescent="0.3">
      <c r="B13" s="15" t="s">
        <v>182</v>
      </c>
      <c r="K13" s="78" t="s">
        <v>250</v>
      </c>
      <c r="L13" s="78"/>
      <c r="M13" s="78"/>
      <c r="N13" s="78"/>
    </row>
    <row r="14" spans="1:15" ht="15" x14ac:dyDescent="0.2">
      <c r="B14" s="15" t="s">
        <v>183</v>
      </c>
    </row>
    <row r="15" spans="1:15" ht="15" thickBot="1" x14ac:dyDescent="0.25"/>
    <row r="16" spans="1:15" ht="16.5" thickBot="1" x14ac:dyDescent="0.3">
      <c r="B16" s="328" t="s">
        <v>68</v>
      </c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30"/>
    </row>
    <row r="17" spans="2:15" ht="30.75" thickBot="1" x14ac:dyDescent="0.25">
      <c r="B17" s="16" t="s">
        <v>2</v>
      </c>
      <c r="C17" s="17" t="s">
        <v>13</v>
      </c>
      <c r="D17" s="17" t="s">
        <v>20</v>
      </c>
      <c r="E17" s="17" t="s">
        <v>12</v>
      </c>
      <c r="F17" s="17" t="s">
        <v>3</v>
      </c>
      <c r="G17" s="17" t="s">
        <v>4</v>
      </c>
      <c r="H17" s="17" t="s">
        <v>5</v>
      </c>
      <c r="I17" s="17" t="s">
        <v>6</v>
      </c>
      <c r="J17" s="66" t="s">
        <v>7</v>
      </c>
      <c r="K17" s="17" t="s">
        <v>8</v>
      </c>
      <c r="L17" s="17" t="s">
        <v>9</v>
      </c>
      <c r="M17" s="17" t="s">
        <v>10</v>
      </c>
      <c r="N17" s="18" t="s">
        <v>11</v>
      </c>
      <c r="O17" s="77" t="s">
        <v>19</v>
      </c>
    </row>
    <row r="18" spans="2:15" x14ac:dyDescent="0.2">
      <c r="B18" s="19" t="s">
        <v>185</v>
      </c>
      <c r="C18" s="229" t="s">
        <v>14</v>
      </c>
      <c r="D18" s="226" t="s">
        <v>22</v>
      </c>
      <c r="E18" s="229" t="s">
        <v>53</v>
      </c>
      <c r="F18" s="86">
        <f>10^-1</f>
        <v>0.1</v>
      </c>
      <c r="G18" s="20">
        <v>53</v>
      </c>
      <c r="H18" s="190">
        <v>37</v>
      </c>
      <c r="I18" s="20">
        <f t="shared" ref="I18:I44" si="0">AVERAGE(G18:H18)</f>
        <v>45</v>
      </c>
      <c r="J18" s="88">
        <f>(1/F18)*I18*10</f>
        <v>4500</v>
      </c>
      <c r="K18" s="21">
        <f t="shared" ref="K18:K44" si="1">LOG(J18)</f>
        <v>3.6532125137753435</v>
      </c>
      <c r="L18" s="226">
        <f>AVERAGE(J18:J21)</f>
        <v>4500.25</v>
      </c>
      <c r="M18" s="232">
        <f t="shared" ref="M18" si="2">LOG(L18)</f>
        <v>3.6532366405763779</v>
      </c>
      <c r="N18" s="235">
        <f t="shared" ref="N18" si="3">STDEV(K18:K21)</f>
        <v>1.8859657889029893</v>
      </c>
      <c r="O18" s="287">
        <f>M42-M18</f>
        <v>3.482425961423695</v>
      </c>
    </row>
    <row r="19" spans="2:15" ht="15" customHeight="1" x14ac:dyDescent="0.2">
      <c r="B19" s="4" t="s">
        <v>186</v>
      </c>
      <c r="C19" s="230"/>
      <c r="D19" s="227"/>
      <c r="E19" s="230"/>
      <c r="F19" s="82">
        <f t="shared" ref="F19:F29" si="4">10^-1</f>
        <v>0.1</v>
      </c>
      <c r="G19" s="5">
        <v>65</v>
      </c>
      <c r="H19" s="191">
        <v>92</v>
      </c>
      <c r="I19" s="5">
        <f t="shared" si="0"/>
        <v>78.5</v>
      </c>
      <c r="J19" s="5">
        <f t="shared" ref="J19:J29" si="5">(1/F19)*I19*10</f>
        <v>7850</v>
      </c>
      <c r="K19" s="6">
        <f t="shared" si="1"/>
        <v>3.8948696567452528</v>
      </c>
      <c r="L19" s="227"/>
      <c r="M19" s="233"/>
      <c r="N19" s="236"/>
      <c r="O19" s="288"/>
    </row>
    <row r="20" spans="2:15" ht="15" customHeight="1" x14ac:dyDescent="0.2">
      <c r="B20" s="4" t="s">
        <v>187</v>
      </c>
      <c r="C20" s="230"/>
      <c r="D20" s="227"/>
      <c r="E20" s="230"/>
      <c r="F20" s="82">
        <f t="shared" si="4"/>
        <v>0.1</v>
      </c>
      <c r="G20" s="5">
        <v>59</v>
      </c>
      <c r="H20" s="191">
        <v>54</v>
      </c>
      <c r="I20" s="5">
        <f t="shared" si="0"/>
        <v>56.5</v>
      </c>
      <c r="J20" s="5">
        <f t="shared" si="5"/>
        <v>5650</v>
      </c>
      <c r="K20" s="6">
        <f t="shared" si="1"/>
        <v>3.7520484478194387</v>
      </c>
      <c r="L20" s="227"/>
      <c r="M20" s="233"/>
      <c r="N20" s="236"/>
      <c r="O20" s="288"/>
    </row>
    <row r="21" spans="2:15" ht="15.75" customHeight="1" thickBot="1" x14ac:dyDescent="0.25">
      <c r="B21" s="22" t="s">
        <v>188</v>
      </c>
      <c r="C21" s="231"/>
      <c r="D21" s="228"/>
      <c r="E21" s="231"/>
      <c r="F21" s="159">
        <f t="shared" si="4"/>
        <v>0.1</v>
      </c>
      <c r="G21" s="23">
        <v>0</v>
      </c>
      <c r="H21" s="192">
        <v>0</v>
      </c>
      <c r="I21" s="23">
        <f t="shared" si="0"/>
        <v>0</v>
      </c>
      <c r="J21" s="23">
        <v>1</v>
      </c>
      <c r="K21" s="24">
        <f t="shared" si="1"/>
        <v>0</v>
      </c>
      <c r="L21" s="228"/>
      <c r="M21" s="234"/>
      <c r="N21" s="237"/>
      <c r="O21" s="289"/>
    </row>
    <row r="22" spans="2:15" x14ac:dyDescent="0.2">
      <c r="B22" s="19" t="s">
        <v>189</v>
      </c>
      <c r="C22" s="229" t="s">
        <v>14</v>
      </c>
      <c r="D22" s="226" t="s">
        <v>22</v>
      </c>
      <c r="E22" s="229" t="s">
        <v>54</v>
      </c>
      <c r="F22" s="86">
        <f t="shared" si="4"/>
        <v>0.1</v>
      </c>
      <c r="G22" s="20">
        <v>8</v>
      </c>
      <c r="H22" s="190">
        <v>4</v>
      </c>
      <c r="I22" s="20">
        <f t="shared" si="0"/>
        <v>6</v>
      </c>
      <c r="J22" s="88">
        <f t="shared" si="5"/>
        <v>600</v>
      </c>
      <c r="K22" s="21">
        <f t="shared" si="1"/>
        <v>2.7781512503836434</v>
      </c>
      <c r="L22" s="226">
        <f>AVERAGE(J22:J25)</f>
        <v>3000</v>
      </c>
      <c r="M22" s="232">
        <f t="shared" ref="M22" si="6">LOG(L22)</f>
        <v>3.4771212547196626</v>
      </c>
      <c r="N22" s="235">
        <f t="shared" ref="N22" si="7">STDEV(K22:K25)</f>
        <v>0.41048937083064269</v>
      </c>
      <c r="O22" s="287">
        <f>M42-M22</f>
        <v>3.6585413472804102</v>
      </c>
    </row>
    <row r="23" spans="2:15" ht="15" customHeight="1" x14ac:dyDescent="0.2">
      <c r="B23" s="4" t="s">
        <v>190</v>
      </c>
      <c r="C23" s="230"/>
      <c r="D23" s="227"/>
      <c r="E23" s="230"/>
      <c r="F23" s="82">
        <f t="shared" si="4"/>
        <v>0.1</v>
      </c>
      <c r="G23" s="5">
        <v>38</v>
      </c>
      <c r="H23" s="191">
        <v>28</v>
      </c>
      <c r="I23" s="5">
        <f t="shared" si="0"/>
        <v>33</v>
      </c>
      <c r="J23" s="5">
        <f t="shared" si="5"/>
        <v>3300</v>
      </c>
      <c r="K23" s="6">
        <f t="shared" si="1"/>
        <v>3.5185139398778875</v>
      </c>
      <c r="L23" s="227"/>
      <c r="M23" s="233"/>
      <c r="N23" s="236"/>
      <c r="O23" s="288"/>
    </row>
    <row r="24" spans="2:15" ht="15" customHeight="1" x14ac:dyDescent="0.2">
      <c r="B24" s="4" t="s">
        <v>191</v>
      </c>
      <c r="C24" s="230"/>
      <c r="D24" s="227"/>
      <c r="E24" s="230"/>
      <c r="F24" s="82">
        <f t="shared" si="4"/>
        <v>0.1</v>
      </c>
      <c r="G24" s="5">
        <v>26</v>
      </c>
      <c r="H24" s="193">
        <v>29</v>
      </c>
      <c r="I24" s="5">
        <f t="shared" si="0"/>
        <v>27.5</v>
      </c>
      <c r="J24" s="5">
        <f t="shared" si="5"/>
        <v>2750</v>
      </c>
      <c r="K24" s="6">
        <f t="shared" si="1"/>
        <v>3.4393326938302629</v>
      </c>
      <c r="L24" s="227"/>
      <c r="M24" s="233"/>
      <c r="N24" s="236"/>
      <c r="O24" s="288"/>
    </row>
    <row r="25" spans="2:15" ht="15.75" customHeight="1" thickBot="1" x14ac:dyDescent="0.25">
      <c r="B25" s="22" t="s">
        <v>192</v>
      </c>
      <c r="C25" s="231"/>
      <c r="D25" s="228"/>
      <c r="E25" s="231"/>
      <c r="F25" s="159">
        <f t="shared" si="4"/>
        <v>0.1</v>
      </c>
      <c r="G25" s="23">
        <v>58</v>
      </c>
      <c r="H25" s="192">
        <v>49</v>
      </c>
      <c r="I25" s="23">
        <f t="shared" si="0"/>
        <v>53.5</v>
      </c>
      <c r="J25" s="23">
        <f t="shared" si="5"/>
        <v>5350</v>
      </c>
      <c r="K25" s="24">
        <f t="shared" si="1"/>
        <v>3.7283537820212285</v>
      </c>
      <c r="L25" s="228"/>
      <c r="M25" s="234"/>
      <c r="N25" s="237"/>
      <c r="O25" s="289"/>
    </row>
    <row r="26" spans="2:15" x14ac:dyDescent="0.2">
      <c r="B26" s="19" t="s">
        <v>193</v>
      </c>
      <c r="C26" s="229" t="s">
        <v>14</v>
      </c>
      <c r="D26" s="226" t="s">
        <v>22</v>
      </c>
      <c r="E26" s="229" t="s">
        <v>55</v>
      </c>
      <c r="F26" s="86">
        <f t="shared" si="4"/>
        <v>0.1</v>
      </c>
      <c r="G26" s="20">
        <v>27</v>
      </c>
      <c r="H26" s="190">
        <v>26</v>
      </c>
      <c r="I26" s="20">
        <f t="shared" si="0"/>
        <v>26.5</v>
      </c>
      <c r="J26" s="88">
        <f t="shared" si="5"/>
        <v>2650</v>
      </c>
      <c r="K26" s="21">
        <f t="shared" si="1"/>
        <v>3.4232458739368079</v>
      </c>
      <c r="L26" s="226">
        <f>AVERAGE(J26:J29)</f>
        <v>2675</v>
      </c>
      <c r="M26" s="232">
        <f t="shared" ref="M26" si="8">LOG(L26)</f>
        <v>3.4273237863572472</v>
      </c>
      <c r="N26" s="235">
        <f t="shared" ref="N26" si="9">STDEV(K26:K29)</f>
        <v>3.6964975041645261E-2</v>
      </c>
      <c r="O26" s="287">
        <f>M42-M26</f>
        <v>3.7083388156428256</v>
      </c>
    </row>
    <row r="27" spans="2:15" ht="15" customHeight="1" x14ac:dyDescent="0.2">
      <c r="B27" s="4" t="s">
        <v>194</v>
      </c>
      <c r="C27" s="230"/>
      <c r="D27" s="227"/>
      <c r="E27" s="230"/>
      <c r="F27" s="82">
        <f t="shared" si="4"/>
        <v>0.1</v>
      </c>
      <c r="G27" s="5">
        <v>21</v>
      </c>
      <c r="H27" s="191">
        <v>28</v>
      </c>
      <c r="I27" s="5">
        <f t="shared" si="0"/>
        <v>24.5</v>
      </c>
      <c r="J27" s="5">
        <f t="shared" si="5"/>
        <v>2450</v>
      </c>
      <c r="K27" s="6">
        <f t="shared" si="1"/>
        <v>3.3891660843645326</v>
      </c>
      <c r="L27" s="227"/>
      <c r="M27" s="233"/>
      <c r="N27" s="236"/>
      <c r="O27" s="288"/>
    </row>
    <row r="28" spans="2:15" ht="15" customHeight="1" x14ac:dyDescent="0.2">
      <c r="B28" s="4" t="s">
        <v>195</v>
      </c>
      <c r="C28" s="230"/>
      <c r="D28" s="227"/>
      <c r="E28" s="230"/>
      <c r="F28" s="82">
        <f t="shared" si="4"/>
        <v>0.1</v>
      </c>
      <c r="G28" s="5">
        <v>24</v>
      </c>
      <c r="H28" s="191">
        <v>28</v>
      </c>
      <c r="I28" s="5">
        <f t="shared" si="0"/>
        <v>26</v>
      </c>
      <c r="J28" s="5">
        <f t="shared" si="5"/>
        <v>2600</v>
      </c>
      <c r="K28" s="6">
        <f t="shared" si="1"/>
        <v>3.4149733479708178</v>
      </c>
      <c r="L28" s="227"/>
      <c r="M28" s="233"/>
      <c r="N28" s="236"/>
      <c r="O28" s="288"/>
    </row>
    <row r="29" spans="2:15" ht="15.75" customHeight="1" thickBot="1" x14ac:dyDescent="0.25">
      <c r="B29" s="22" t="s">
        <v>196</v>
      </c>
      <c r="C29" s="231"/>
      <c r="D29" s="228"/>
      <c r="E29" s="231"/>
      <c r="F29" s="159">
        <f t="shared" si="4"/>
        <v>0.1</v>
      </c>
      <c r="G29" s="23">
        <v>27</v>
      </c>
      <c r="H29" s="192">
        <v>33</v>
      </c>
      <c r="I29" s="23">
        <f t="shared" si="0"/>
        <v>30</v>
      </c>
      <c r="J29" s="23">
        <f t="shared" si="5"/>
        <v>3000</v>
      </c>
      <c r="K29" s="24">
        <f t="shared" si="1"/>
        <v>3.4771212547196626</v>
      </c>
      <c r="L29" s="228"/>
      <c r="M29" s="234"/>
      <c r="N29" s="237"/>
      <c r="O29" s="289"/>
    </row>
    <row r="30" spans="2:15" x14ac:dyDescent="0.2">
      <c r="B30" s="41" t="s">
        <v>197</v>
      </c>
      <c r="C30" s="247" t="s">
        <v>14</v>
      </c>
      <c r="D30" s="250" t="s">
        <v>24</v>
      </c>
      <c r="E30" s="247" t="s">
        <v>53</v>
      </c>
      <c r="F30" s="164">
        <f>10^-2</f>
        <v>0.01</v>
      </c>
      <c r="G30" s="42">
        <v>396</v>
      </c>
      <c r="H30" s="188">
        <v>292</v>
      </c>
      <c r="I30" s="42">
        <f t="shared" si="0"/>
        <v>344</v>
      </c>
      <c r="J30" s="42">
        <f>(1/F30)*I30*10</f>
        <v>344000</v>
      </c>
      <c r="K30" s="44">
        <f t="shared" si="1"/>
        <v>5.53655844257153</v>
      </c>
      <c r="L30" s="250">
        <f t="shared" ref="L30" si="10">AVERAGE(J30:J33)</f>
        <v>156975</v>
      </c>
      <c r="M30" s="253">
        <f t="shared" ref="M30" si="11">LOG(L30)</f>
        <v>5.1958304917303861</v>
      </c>
      <c r="N30" s="256">
        <f t="shared" ref="N30" si="12">STDEV(K30:K33)</f>
        <v>0.73164448569385154</v>
      </c>
      <c r="O30" s="331">
        <f>M45-M30</f>
        <v>1.544532197763858</v>
      </c>
    </row>
    <row r="31" spans="2:15" x14ac:dyDescent="0.2">
      <c r="B31" s="45" t="s">
        <v>198</v>
      </c>
      <c r="C31" s="248"/>
      <c r="D31" s="251"/>
      <c r="E31" s="248"/>
      <c r="F31" s="113">
        <f>10^-1</f>
        <v>0.1</v>
      </c>
      <c r="G31" s="46">
        <v>188</v>
      </c>
      <c r="H31" s="181">
        <v>172</v>
      </c>
      <c r="I31" s="46">
        <f t="shared" si="0"/>
        <v>180</v>
      </c>
      <c r="J31" s="46">
        <f t="shared" ref="J31:J41" si="13">(1/F31)*I31*10</f>
        <v>18000</v>
      </c>
      <c r="K31" s="48">
        <f t="shared" si="1"/>
        <v>4.2552725051033065</v>
      </c>
      <c r="L31" s="251"/>
      <c r="M31" s="254"/>
      <c r="N31" s="257"/>
      <c r="O31" s="321"/>
    </row>
    <row r="32" spans="2:15" x14ac:dyDescent="0.2">
      <c r="B32" s="45" t="s">
        <v>199</v>
      </c>
      <c r="C32" s="248"/>
      <c r="D32" s="251"/>
      <c r="E32" s="248"/>
      <c r="F32" s="113">
        <f>10^-2</f>
        <v>0.01</v>
      </c>
      <c r="G32" s="46">
        <v>276</v>
      </c>
      <c r="H32" s="181">
        <v>227</v>
      </c>
      <c r="I32" s="46">
        <f t="shared" si="0"/>
        <v>251.5</v>
      </c>
      <c r="J32" s="46">
        <f t="shared" si="13"/>
        <v>251500</v>
      </c>
      <c r="K32" s="48">
        <f t="shared" si="1"/>
        <v>5.4005379893919461</v>
      </c>
      <c r="L32" s="251"/>
      <c r="M32" s="254"/>
      <c r="N32" s="257"/>
      <c r="O32" s="321"/>
    </row>
    <row r="33" spans="2:15" ht="15" thickBot="1" x14ac:dyDescent="0.25">
      <c r="B33" s="124" t="s">
        <v>200</v>
      </c>
      <c r="C33" s="249"/>
      <c r="D33" s="252"/>
      <c r="E33" s="249"/>
      <c r="F33" s="168">
        <f>10^-1</f>
        <v>0.1</v>
      </c>
      <c r="G33" s="49">
        <v>164</v>
      </c>
      <c r="H33" s="183">
        <v>124</v>
      </c>
      <c r="I33" s="49">
        <f t="shared" si="0"/>
        <v>144</v>
      </c>
      <c r="J33" s="49">
        <f t="shared" si="13"/>
        <v>14400</v>
      </c>
      <c r="K33" s="51">
        <f t="shared" si="1"/>
        <v>4.1583624920952493</v>
      </c>
      <c r="L33" s="252"/>
      <c r="M33" s="255"/>
      <c r="N33" s="258"/>
      <c r="O33" s="322"/>
    </row>
    <row r="34" spans="2:15" x14ac:dyDescent="0.2">
      <c r="B34" s="157" t="s">
        <v>201</v>
      </c>
      <c r="C34" s="247" t="s">
        <v>14</v>
      </c>
      <c r="D34" s="250" t="s">
        <v>24</v>
      </c>
      <c r="E34" s="247" t="s">
        <v>54</v>
      </c>
      <c r="F34" s="164">
        <f>10^-1</f>
        <v>0.1</v>
      </c>
      <c r="G34" s="121">
        <v>41</v>
      </c>
      <c r="H34" s="185">
        <v>33</v>
      </c>
      <c r="I34" s="121">
        <f t="shared" si="0"/>
        <v>37</v>
      </c>
      <c r="J34" s="121">
        <f t="shared" si="13"/>
        <v>3700</v>
      </c>
      <c r="K34" s="123">
        <f t="shared" si="1"/>
        <v>3.568201724066995</v>
      </c>
      <c r="L34" s="250">
        <f t="shared" ref="L34" si="14">AVERAGE(J34:J37)</f>
        <v>70075</v>
      </c>
      <c r="M34" s="253">
        <f t="shared" ref="M34" si="15">LOG(L34)</f>
        <v>4.8455631064323237</v>
      </c>
      <c r="N34" s="256">
        <f>STDEV(K34:K37)</f>
        <v>1.0731290763225139</v>
      </c>
      <c r="O34" s="320">
        <f>M45-M34</f>
        <v>1.8947995830619204</v>
      </c>
    </row>
    <row r="35" spans="2:15" x14ac:dyDescent="0.2">
      <c r="B35" s="96" t="s">
        <v>202</v>
      </c>
      <c r="C35" s="248"/>
      <c r="D35" s="251"/>
      <c r="E35" s="248"/>
      <c r="F35" s="113">
        <f>10^-2</f>
        <v>0.01</v>
      </c>
      <c r="G35" s="46">
        <v>192</v>
      </c>
      <c r="H35" s="181">
        <v>176</v>
      </c>
      <c r="I35" s="46">
        <f t="shared" si="0"/>
        <v>184</v>
      </c>
      <c r="J35" s="46">
        <f t="shared" si="13"/>
        <v>184000</v>
      </c>
      <c r="K35" s="48">
        <f t="shared" si="1"/>
        <v>5.2648178230095368</v>
      </c>
      <c r="L35" s="251"/>
      <c r="M35" s="254"/>
      <c r="N35" s="257"/>
      <c r="O35" s="321"/>
    </row>
    <row r="36" spans="2:15" x14ac:dyDescent="0.2">
      <c r="B36" s="96" t="s">
        <v>203</v>
      </c>
      <c r="C36" s="248"/>
      <c r="D36" s="251"/>
      <c r="E36" s="248"/>
      <c r="F36" s="113">
        <f>10^-2</f>
        <v>0.01</v>
      </c>
      <c r="G36" s="46">
        <v>84</v>
      </c>
      <c r="H36" s="181">
        <v>99</v>
      </c>
      <c r="I36" s="46">
        <f t="shared" si="0"/>
        <v>91.5</v>
      </c>
      <c r="J36" s="46">
        <f t="shared" si="13"/>
        <v>91500</v>
      </c>
      <c r="K36" s="48">
        <f t="shared" si="1"/>
        <v>4.9614210940664485</v>
      </c>
      <c r="L36" s="251"/>
      <c r="M36" s="254"/>
      <c r="N36" s="257"/>
      <c r="O36" s="321"/>
    </row>
    <row r="37" spans="2:15" ht="15" thickBot="1" x14ac:dyDescent="0.25">
      <c r="B37" s="124" t="s">
        <v>204</v>
      </c>
      <c r="C37" s="249"/>
      <c r="D37" s="252"/>
      <c r="E37" s="249"/>
      <c r="F37" s="168">
        <f>10^-1</f>
        <v>0.1</v>
      </c>
      <c r="G37" s="49">
        <v>12</v>
      </c>
      <c r="H37" s="183">
        <v>10</v>
      </c>
      <c r="I37" s="49">
        <f t="shared" si="0"/>
        <v>11</v>
      </c>
      <c r="J37" s="49">
        <f t="shared" si="13"/>
        <v>1100</v>
      </c>
      <c r="K37" s="51">
        <f t="shared" si="1"/>
        <v>3.0413926851582249</v>
      </c>
      <c r="L37" s="252"/>
      <c r="M37" s="255"/>
      <c r="N37" s="258"/>
      <c r="O37" s="322"/>
    </row>
    <row r="38" spans="2:15" x14ac:dyDescent="0.2">
      <c r="B38" s="157" t="s">
        <v>205</v>
      </c>
      <c r="C38" s="247" t="s">
        <v>14</v>
      </c>
      <c r="D38" s="250" t="s">
        <v>24</v>
      </c>
      <c r="E38" s="247" t="s">
        <v>55</v>
      </c>
      <c r="F38" s="164">
        <f>10^-1</f>
        <v>0.1</v>
      </c>
      <c r="G38" s="42">
        <v>8</v>
      </c>
      <c r="H38" s="188">
        <v>2</v>
      </c>
      <c r="I38" s="42">
        <f t="shared" si="0"/>
        <v>5</v>
      </c>
      <c r="J38" s="42">
        <f t="shared" si="13"/>
        <v>500</v>
      </c>
      <c r="K38" s="44">
        <f t="shared" si="1"/>
        <v>2.6989700043360187</v>
      </c>
      <c r="L38" s="250">
        <f t="shared" ref="L38" si="16">AVERAGE(J38:J41)</f>
        <v>7775</v>
      </c>
      <c r="M38" s="253">
        <f t="shared" ref="M38" si="17">LOG(L38)</f>
        <v>3.890700397698875</v>
      </c>
      <c r="N38" s="256">
        <f>STDEV(K38:K41)</f>
        <v>0.97285997260587853</v>
      </c>
      <c r="O38" s="320">
        <f>M45-M38</f>
        <v>2.8496622917953691</v>
      </c>
    </row>
    <row r="39" spans="2:15" x14ac:dyDescent="0.2">
      <c r="B39" s="96" t="s">
        <v>206</v>
      </c>
      <c r="C39" s="248"/>
      <c r="D39" s="251"/>
      <c r="E39" s="248"/>
      <c r="F39" s="113">
        <f>10^-1</f>
        <v>0.1</v>
      </c>
      <c r="G39" s="46">
        <v>4</v>
      </c>
      <c r="H39" s="181">
        <v>1</v>
      </c>
      <c r="I39" s="46">
        <f t="shared" si="0"/>
        <v>2.5</v>
      </c>
      <c r="J39" s="46">
        <f t="shared" si="13"/>
        <v>250</v>
      </c>
      <c r="K39" s="48">
        <f t="shared" si="1"/>
        <v>2.3979400086720375</v>
      </c>
      <c r="L39" s="251"/>
      <c r="M39" s="254"/>
      <c r="N39" s="257"/>
      <c r="O39" s="321"/>
    </row>
    <row r="40" spans="2:15" ht="15" x14ac:dyDescent="0.25">
      <c r="B40" s="96" t="s">
        <v>207</v>
      </c>
      <c r="C40" s="248"/>
      <c r="D40" s="251"/>
      <c r="E40" s="248"/>
      <c r="F40" s="113">
        <f>10^-1</f>
        <v>0.1</v>
      </c>
      <c r="G40" s="162">
        <v>300</v>
      </c>
      <c r="H40" s="180">
        <v>300</v>
      </c>
      <c r="I40" s="46">
        <f t="shared" si="0"/>
        <v>300</v>
      </c>
      <c r="J40" s="46">
        <f t="shared" si="13"/>
        <v>30000</v>
      </c>
      <c r="K40" s="48">
        <f t="shared" si="1"/>
        <v>4.4771212547196626</v>
      </c>
      <c r="L40" s="251"/>
      <c r="M40" s="254"/>
      <c r="N40" s="257"/>
      <c r="O40" s="321"/>
    </row>
    <row r="41" spans="2:15" ht="15" thickBot="1" x14ac:dyDescent="0.25">
      <c r="B41" s="124" t="s">
        <v>208</v>
      </c>
      <c r="C41" s="249"/>
      <c r="D41" s="252"/>
      <c r="E41" s="249"/>
      <c r="F41" s="168">
        <f>10^-1</f>
        <v>0.1</v>
      </c>
      <c r="G41" s="49">
        <v>4</v>
      </c>
      <c r="H41" s="183">
        <v>3</v>
      </c>
      <c r="I41" s="49">
        <f t="shared" si="0"/>
        <v>3.5</v>
      </c>
      <c r="J41" s="49">
        <f t="shared" si="13"/>
        <v>350</v>
      </c>
      <c r="K41" s="51">
        <f t="shared" si="1"/>
        <v>2.5440680443502757</v>
      </c>
      <c r="L41" s="252"/>
      <c r="M41" s="255"/>
      <c r="N41" s="258"/>
      <c r="O41" s="322"/>
    </row>
    <row r="42" spans="2:15" ht="15" customHeight="1" x14ac:dyDescent="0.2">
      <c r="B42" s="125" t="s">
        <v>209</v>
      </c>
      <c r="C42" s="263" t="s">
        <v>184</v>
      </c>
      <c r="D42" s="268" t="s">
        <v>22</v>
      </c>
      <c r="E42" s="155" t="s">
        <v>53</v>
      </c>
      <c r="F42" s="126">
        <f t="shared" ref="F42:F47" si="18">10^-4</f>
        <v>1E-4</v>
      </c>
      <c r="G42" s="127">
        <v>161</v>
      </c>
      <c r="H42" s="127">
        <v>203</v>
      </c>
      <c r="I42" s="127">
        <f t="shared" si="0"/>
        <v>182</v>
      </c>
      <c r="J42" s="127">
        <f t="shared" ref="J42:J44" si="19">(1/F42)*I42*10</f>
        <v>18200000</v>
      </c>
      <c r="K42" s="128">
        <f t="shared" si="1"/>
        <v>7.2600713879850751</v>
      </c>
      <c r="L42" s="216">
        <f>AVERAGE(J42:J44)</f>
        <v>13666666.666666666</v>
      </c>
      <c r="M42" s="219">
        <f t="shared" ref="M42" si="20">LOG(L42)</f>
        <v>7.1356626020000729</v>
      </c>
      <c r="N42" s="220">
        <f>STDEV(K42:K44)</f>
        <v>0.19650572937748373</v>
      </c>
      <c r="O42" s="318"/>
    </row>
    <row r="43" spans="2:15" ht="15" customHeight="1" x14ac:dyDescent="0.2">
      <c r="B43" s="55" t="s">
        <v>210</v>
      </c>
      <c r="C43" s="264"/>
      <c r="D43" s="268"/>
      <c r="E43" s="156" t="s">
        <v>54</v>
      </c>
      <c r="F43" s="56">
        <f t="shared" si="18"/>
        <v>1E-4</v>
      </c>
      <c r="G43" s="57">
        <v>144</v>
      </c>
      <c r="H43" s="57">
        <v>158</v>
      </c>
      <c r="I43" s="57">
        <f t="shared" si="0"/>
        <v>151</v>
      </c>
      <c r="J43" s="57">
        <f t="shared" si="19"/>
        <v>15100000</v>
      </c>
      <c r="K43" s="58">
        <f t="shared" si="1"/>
        <v>7.1789769472931697</v>
      </c>
      <c r="L43" s="217"/>
      <c r="M43" s="211"/>
      <c r="N43" s="214"/>
      <c r="O43" s="318"/>
    </row>
    <row r="44" spans="2:15" ht="15" customHeight="1" x14ac:dyDescent="0.2">
      <c r="B44" s="55" t="s">
        <v>211</v>
      </c>
      <c r="C44" s="264"/>
      <c r="D44" s="263"/>
      <c r="E44" s="156" t="s">
        <v>55</v>
      </c>
      <c r="F44" s="56">
        <f t="shared" si="18"/>
        <v>1E-4</v>
      </c>
      <c r="G44" s="57">
        <v>65</v>
      </c>
      <c r="H44" s="57">
        <v>89</v>
      </c>
      <c r="I44" s="57">
        <f t="shared" si="0"/>
        <v>77</v>
      </c>
      <c r="J44" s="57">
        <f t="shared" si="19"/>
        <v>7700000</v>
      </c>
      <c r="K44" s="58">
        <f t="shared" si="1"/>
        <v>6.8864907251724823</v>
      </c>
      <c r="L44" s="218"/>
      <c r="M44" s="212"/>
      <c r="N44" s="215"/>
      <c r="O44" s="318"/>
    </row>
    <row r="45" spans="2:15" ht="15" customHeight="1" x14ac:dyDescent="0.2">
      <c r="B45" s="129" t="s">
        <v>212</v>
      </c>
      <c r="C45" s="265"/>
      <c r="D45" s="265" t="s">
        <v>24</v>
      </c>
      <c r="E45" s="155" t="s">
        <v>53</v>
      </c>
      <c r="F45" s="56">
        <f t="shared" si="18"/>
        <v>1E-4</v>
      </c>
      <c r="G45" s="57">
        <v>25</v>
      </c>
      <c r="H45" s="57">
        <v>19</v>
      </c>
      <c r="I45" s="57">
        <f>AVERAGE(G45:H45)</f>
        <v>22</v>
      </c>
      <c r="J45" s="57">
        <f>(1/F45)*I45*10</f>
        <v>2200000</v>
      </c>
      <c r="K45" s="58">
        <f>LOG(J45)</f>
        <v>6.3424226808222066</v>
      </c>
      <c r="L45" s="296">
        <f>AVERAGE(J45:J47)</f>
        <v>5500000</v>
      </c>
      <c r="M45" s="332">
        <f t="shared" ref="M45" si="21">LOG(L45)</f>
        <v>6.7403626894942441</v>
      </c>
      <c r="N45" s="298">
        <f>STDEV(K45:K47)</f>
        <v>0.29668631055663364</v>
      </c>
      <c r="O45" s="318"/>
    </row>
    <row r="46" spans="2:15" ht="15" customHeight="1" x14ac:dyDescent="0.2">
      <c r="B46" s="129" t="s">
        <v>213</v>
      </c>
      <c r="C46" s="265"/>
      <c r="D46" s="268"/>
      <c r="E46" s="156" t="s">
        <v>54</v>
      </c>
      <c r="F46" s="56">
        <f t="shared" si="18"/>
        <v>1E-4</v>
      </c>
      <c r="G46" s="57">
        <v>87</v>
      </c>
      <c r="H46" s="57">
        <v>67</v>
      </c>
      <c r="I46" s="57">
        <f>AVERAGE(G46:H46)</f>
        <v>77</v>
      </c>
      <c r="J46" s="57">
        <f>(1/F46)*I46*10</f>
        <v>7700000</v>
      </c>
      <c r="K46" s="58">
        <f>LOG(J46)</f>
        <v>6.8864907251724823</v>
      </c>
      <c r="L46" s="216"/>
      <c r="M46" s="219"/>
      <c r="N46" s="220"/>
      <c r="O46" s="318"/>
    </row>
    <row r="47" spans="2:15" ht="15.75" customHeight="1" thickBot="1" x14ac:dyDescent="0.25">
      <c r="B47" s="59" t="s">
        <v>214</v>
      </c>
      <c r="C47" s="266"/>
      <c r="D47" s="269"/>
      <c r="E47" s="156" t="s">
        <v>55</v>
      </c>
      <c r="F47" s="56">
        <f t="shared" si="18"/>
        <v>1E-4</v>
      </c>
      <c r="G47" s="134">
        <v>66</v>
      </c>
      <c r="H47" s="134">
        <v>66</v>
      </c>
      <c r="I47" s="134">
        <f>AVERAGE(G47:H47)</f>
        <v>66</v>
      </c>
      <c r="J47" s="134">
        <f>(1/F47)*I47*10</f>
        <v>6600000</v>
      </c>
      <c r="K47" s="135">
        <f>LOG(J47)</f>
        <v>6.8195439355418683</v>
      </c>
      <c r="L47" s="297"/>
      <c r="M47" s="333"/>
      <c r="N47" s="299"/>
      <c r="O47" s="319"/>
    </row>
    <row r="48" spans="2:15" ht="6.75" customHeight="1" x14ac:dyDescent="0.2"/>
    <row r="49" spans="2:15" ht="6.75" customHeight="1" thickBot="1" x14ac:dyDescent="0.25"/>
    <row r="50" spans="2:15" ht="16.5" thickBot="1" x14ac:dyDescent="0.3">
      <c r="B50" s="325" t="s">
        <v>105</v>
      </c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7"/>
    </row>
    <row r="51" spans="2:15" ht="30.75" thickBot="1" x14ac:dyDescent="0.25">
      <c r="B51" s="65" t="s">
        <v>2</v>
      </c>
      <c r="C51" s="66" t="s">
        <v>13</v>
      </c>
      <c r="D51" s="17" t="s">
        <v>20</v>
      </c>
      <c r="E51" s="66" t="s">
        <v>12</v>
      </c>
      <c r="F51" s="66" t="s">
        <v>3</v>
      </c>
      <c r="G51" s="66" t="s">
        <v>4</v>
      </c>
      <c r="H51" s="66" t="s">
        <v>5</v>
      </c>
      <c r="I51" s="66" t="s">
        <v>6</v>
      </c>
      <c r="J51" s="66" t="s">
        <v>7</v>
      </c>
      <c r="K51" s="66" t="s">
        <v>8</v>
      </c>
      <c r="L51" s="66" t="s">
        <v>9</v>
      </c>
      <c r="M51" s="66" t="s">
        <v>10</v>
      </c>
      <c r="N51" s="67" t="s">
        <v>11</v>
      </c>
      <c r="O51" s="68" t="s">
        <v>19</v>
      </c>
    </row>
    <row r="52" spans="2:15" x14ac:dyDescent="0.2">
      <c r="B52" s="73" t="s">
        <v>215</v>
      </c>
      <c r="C52" s="229" t="s">
        <v>14</v>
      </c>
      <c r="D52" s="226" t="s">
        <v>22</v>
      </c>
      <c r="E52" s="223" t="s">
        <v>53</v>
      </c>
      <c r="F52" s="86">
        <f>10^-2</f>
        <v>0.01</v>
      </c>
      <c r="G52" s="79">
        <v>66</v>
      </c>
      <c r="H52" s="20">
        <v>67</v>
      </c>
      <c r="I52" s="20">
        <f t="shared" ref="I52:I81" si="22">AVERAGE(G52:H52)</f>
        <v>66.5</v>
      </c>
      <c r="J52" s="20">
        <f t="shared" ref="J52:J65" si="23">(1/F52)*I52*10</f>
        <v>66500</v>
      </c>
      <c r="K52" s="21">
        <f t="shared" ref="K52:K81" si="24">LOG(J52)</f>
        <v>4.8228216453031045</v>
      </c>
      <c r="L52" s="226">
        <f>AVERAGE(J52:J55)</f>
        <v>18775</v>
      </c>
      <c r="M52" s="232">
        <f t="shared" ref="M52" si="25">LOG(L52)</f>
        <v>4.2735799456762056</v>
      </c>
      <c r="N52" s="235">
        <f t="shared" ref="N52" si="26">STDEV(K52:K55)</f>
        <v>0.99583753094449945</v>
      </c>
      <c r="O52" s="238">
        <f>M76-M52</f>
        <v>2.5546501690507561</v>
      </c>
    </row>
    <row r="53" spans="2:15" x14ac:dyDescent="0.2">
      <c r="B53" s="70" t="s">
        <v>216</v>
      </c>
      <c r="C53" s="230"/>
      <c r="D53" s="227"/>
      <c r="E53" s="224"/>
      <c r="F53" s="82">
        <f t="shared" ref="F53:F63" si="27">10^-1</f>
        <v>0.1</v>
      </c>
      <c r="G53" s="80">
        <v>80</v>
      </c>
      <c r="H53" s="5">
        <v>69</v>
      </c>
      <c r="I53" s="5">
        <f t="shared" si="22"/>
        <v>74.5</v>
      </c>
      <c r="J53" s="5">
        <f t="shared" si="23"/>
        <v>7450</v>
      </c>
      <c r="K53" s="6">
        <f t="shared" si="24"/>
        <v>3.8721562727482928</v>
      </c>
      <c r="L53" s="227"/>
      <c r="M53" s="233"/>
      <c r="N53" s="236"/>
      <c r="O53" s="239"/>
    </row>
    <row r="54" spans="2:15" x14ac:dyDescent="0.2">
      <c r="B54" s="70" t="s">
        <v>217</v>
      </c>
      <c r="C54" s="230"/>
      <c r="D54" s="227"/>
      <c r="E54" s="224"/>
      <c r="F54" s="82">
        <f t="shared" si="27"/>
        <v>0.1</v>
      </c>
      <c r="G54" s="80">
        <v>8</v>
      </c>
      <c r="H54" s="88">
        <v>4</v>
      </c>
      <c r="I54" s="88">
        <f t="shared" si="22"/>
        <v>6</v>
      </c>
      <c r="J54" s="88">
        <f t="shared" si="23"/>
        <v>600</v>
      </c>
      <c r="K54" s="6">
        <f t="shared" si="24"/>
        <v>2.7781512503836434</v>
      </c>
      <c r="L54" s="227"/>
      <c r="M54" s="233"/>
      <c r="N54" s="236"/>
      <c r="O54" s="239"/>
    </row>
    <row r="55" spans="2:15" ht="15" thickBot="1" x14ac:dyDescent="0.25">
      <c r="B55" s="74" t="s">
        <v>218</v>
      </c>
      <c r="C55" s="231"/>
      <c r="D55" s="228"/>
      <c r="E55" s="225"/>
      <c r="F55" s="87">
        <f t="shared" si="27"/>
        <v>0.1</v>
      </c>
      <c r="G55" s="81">
        <v>8</v>
      </c>
      <c r="H55" s="23">
        <v>3</v>
      </c>
      <c r="I55" s="23">
        <f t="shared" si="22"/>
        <v>5.5</v>
      </c>
      <c r="J55" s="23">
        <f t="shared" si="23"/>
        <v>550</v>
      </c>
      <c r="K55" s="24">
        <f t="shared" si="24"/>
        <v>2.7403626894942437</v>
      </c>
      <c r="L55" s="228"/>
      <c r="M55" s="234"/>
      <c r="N55" s="237"/>
      <c r="O55" s="240"/>
    </row>
    <row r="56" spans="2:15" x14ac:dyDescent="0.2">
      <c r="B56" s="73" t="s">
        <v>219</v>
      </c>
      <c r="C56" s="229" t="s">
        <v>14</v>
      </c>
      <c r="D56" s="226" t="s">
        <v>22</v>
      </c>
      <c r="E56" s="223" t="s">
        <v>54</v>
      </c>
      <c r="F56" s="86">
        <f t="shared" si="27"/>
        <v>0.1</v>
      </c>
      <c r="G56" s="79">
        <v>4</v>
      </c>
      <c r="H56" s="194">
        <v>4</v>
      </c>
      <c r="I56" s="20">
        <f t="shared" si="22"/>
        <v>4</v>
      </c>
      <c r="J56" s="20">
        <f t="shared" si="23"/>
        <v>400</v>
      </c>
      <c r="K56" s="21">
        <f t="shared" si="24"/>
        <v>2.6020599913279625</v>
      </c>
      <c r="L56" s="226">
        <f>AVERAGE(J56:J59)</f>
        <v>1375</v>
      </c>
      <c r="M56" s="232">
        <f t="shared" ref="M56" si="28">LOG(L56)</f>
        <v>3.1383026981662816</v>
      </c>
      <c r="N56" s="235">
        <f t="shared" ref="N56" si="29">STDEV(K56:K59)</f>
        <v>0.49931863671663484</v>
      </c>
      <c r="O56" s="238">
        <f>M76-M56</f>
        <v>3.6899274165606801</v>
      </c>
    </row>
    <row r="57" spans="2:15" x14ac:dyDescent="0.2">
      <c r="B57" s="70" t="s">
        <v>220</v>
      </c>
      <c r="C57" s="230"/>
      <c r="D57" s="227"/>
      <c r="E57" s="224"/>
      <c r="F57" s="82">
        <f t="shared" si="27"/>
        <v>0.1</v>
      </c>
      <c r="G57" s="80">
        <v>5</v>
      </c>
      <c r="H57" s="194">
        <v>1</v>
      </c>
      <c r="I57" s="5">
        <f t="shared" si="22"/>
        <v>3</v>
      </c>
      <c r="J57" s="5">
        <f t="shared" si="23"/>
        <v>300</v>
      </c>
      <c r="K57" s="6">
        <f t="shared" si="24"/>
        <v>2.4771212547196626</v>
      </c>
      <c r="L57" s="227"/>
      <c r="M57" s="233"/>
      <c r="N57" s="236"/>
      <c r="O57" s="239"/>
    </row>
    <row r="58" spans="2:15" x14ac:dyDescent="0.2">
      <c r="B58" s="70" t="s">
        <v>221</v>
      </c>
      <c r="C58" s="230"/>
      <c r="D58" s="227"/>
      <c r="E58" s="224"/>
      <c r="F58" s="82">
        <f t="shared" si="27"/>
        <v>0.1</v>
      </c>
      <c r="G58" s="80">
        <v>7</v>
      </c>
      <c r="H58" s="194">
        <v>11</v>
      </c>
      <c r="I58" s="88">
        <f t="shared" si="22"/>
        <v>9</v>
      </c>
      <c r="J58" s="88">
        <f t="shared" si="23"/>
        <v>900</v>
      </c>
      <c r="K58" s="6">
        <f t="shared" si="24"/>
        <v>2.9542425094393248</v>
      </c>
      <c r="L58" s="227"/>
      <c r="M58" s="233"/>
      <c r="N58" s="236"/>
      <c r="O58" s="239"/>
    </row>
    <row r="59" spans="2:15" ht="15" thickBot="1" x14ac:dyDescent="0.25">
      <c r="B59" s="74" t="s">
        <v>222</v>
      </c>
      <c r="C59" s="231"/>
      <c r="D59" s="228"/>
      <c r="E59" s="225"/>
      <c r="F59" s="198">
        <f t="shared" si="27"/>
        <v>0.1</v>
      </c>
      <c r="G59" s="81">
        <v>43</v>
      </c>
      <c r="H59" s="195">
        <v>35</v>
      </c>
      <c r="I59" s="23">
        <f t="shared" si="22"/>
        <v>39</v>
      </c>
      <c r="J59" s="23">
        <f>(1/F59)*I59*10</f>
        <v>3900</v>
      </c>
      <c r="K59" s="24">
        <f t="shared" si="24"/>
        <v>3.5910646070264991</v>
      </c>
      <c r="L59" s="228"/>
      <c r="M59" s="234"/>
      <c r="N59" s="237"/>
      <c r="O59" s="240"/>
    </row>
    <row r="60" spans="2:15" x14ac:dyDescent="0.2">
      <c r="B60" s="73" t="s">
        <v>223</v>
      </c>
      <c r="C60" s="229" t="s">
        <v>14</v>
      </c>
      <c r="D60" s="226" t="s">
        <v>22</v>
      </c>
      <c r="E60" s="223" t="s">
        <v>55</v>
      </c>
      <c r="F60" s="199">
        <f t="shared" si="27"/>
        <v>0.1</v>
      </c>
      <c r="G60" s="79">
        <v>43</v>
      </c>
      <c r="H60" s="196">
        <v>41</v>
      </c>
      <c r="I60" s="20">
        <f t="shared" si="22"/>
        <v>42</v>
      </c>
      <c r="J60" s="20">
        <f t="shared" ref="J60:J63" si="30">(1/F60)*I60*10</f>
        <v>4200</v>
      </c>
      <c r="K60" s="21">
        <f t="shared" si="24"/>
        <v>3.6232492903979003</v>
      </c>
      <c r="L60" s="226">
        <f>AVERAGE(J60:J63)</f>
        <v>10550</v>
      </c>
      <c r="M60" s="232">
        <f t="shared" ref="M60" si="31">LOG(L60)</f>
        <v>4.0232524596337118</v>
      </c>
      <c r="N60" s="235">
        <f t="shared" ref="N60" si="32">STDEV(K60:K63)</f>
        <v>0.46951594727316998</v>
      </c>
      <c r="O60" s="238">
        <f>M76-M60</f>
        <v>2.8049776550932499</v>
      </c>
    </row>
    <row r="61" spans="2:15" x14ac:dyDescent="0.2">
      <c r="B61" s="70" t="s">
        <v>224</v>
      </c>
      <c r="C61" s="230"/>
      <c r="D61" s="227"/>
      <c r="E61" s="224"/>
      <c r="F61" s="200">
        <f t="shared" si="27"/>
        <v>0.1</v>
      </c>
      <c r="G61" s="80">
        <v>56</v>
      </c>
      <c r="H61" s="197">
        <v>55</v>
      </c>
      <c r="I61" s="5">
        <f t="shared" si="22"/>
        <v>55.5</v>
      </c>
      <c r="J61" s="5">
        <f t="shared" si="30"/>
        <v>5550</v>
      </c>
      <c r="K61" s="6">
        <f t="shared" si="24"/>
        <v>3.7442929831226763</v>
      </c>
      <c r="L61" s="227"/>
      <c r="M61" s="233"/>
      <c r="N61" s="236"/>
      <c r="O61" s="239"/>
    </row>
    <row r="62" spans="2:15" ht="15" x14ac:dyDescent="0.25">
      <c r="B62" s="70" t="s">
        <v>225</v>
      </c>
      <c r="C62" s="230"/>
      <c r="D62" s="227"/>
      <c r="E62" s="224"/>
      <c r="F62" s="200">
        <f t="shared" si="27"/>
        <v>0.1</v>
      </c>
      <c r="G62" s="201">
        <v>300</v>
      </c>
      <c r="H62" s="178">
        <v>300</v>
      </c>
      <c r="I62" s="88">
        <f t="shared" si="22"/>
        <v>300</v>
      </c>
      <c r="J62" s="88">
        <f t="shared" si="30"/>
        <v>30000</v>
      </c>
      <c r="K62" s="6">
        <f t="shared" si="24"/>
        <v>4.4771212547196626</v>
      </c>
      <c r="L62" s="227"/>
      <c r="M62" s="233"/>
      <c r="N62" s="236"/>
      <c r="O62" s="239"/>
    </row>
    <row r="63" spans="2:15" ht="15" thickBot="1" x14ac:dyDescent="0.25">
      <c r="B63" s="74" t="s">
        <v>226</v>
      </c>
      <c r="C63" s="231"/>
      <c r="D63" s="228"/>
      <c r="E63" s="225"/>
      <c r="F63" s="198">
        <f t="shared" si="27"/>
        <v>0.1</v>
      </c>
      <c r="G63" s="81">
        <v>28</v>
      </c>
      <c r="H63" s="195">
        <v>21</v>
      </c>
      <c r="I63" s="23">
        <f t="shared" si="22"/>
        <v>24.5</v>
      </c>
      <c r="J63" s="23">
        <f t="shared" si="30"/>
        <v>2450</v>
      </c>
      <c r="K63" s="24">
        <f t="shared" si="24"/>
        <v>3.3891660843645326</v>
      </c>
      <c r="L63" s="228"/>
      <c r="M63" s="234"/>
      <c r="N63" s="237"/>
      <c r="O63" s="240"/>
    </row>
    <row r="64" spans="2:15" x14ac:dyDescent="0.2">
      <c r="B64" s="75" t="s">
        <v>227</v>
      </c>
      <c r="C64" s="247" t="s">
        <v>14</v>
      </c>
      <c r="D64" s="250" t="s">
        <v>24</v>
      </c>
      <c r="E64" s="247" t="s">
        <v>53</v>
      </c>
      <c r="F64" s="169">
        <f t="shared" ref="F64:F65" si="33">1*10^-2</f>
        <v>0.01</v>
      </c>
      <c r="G64" s="42">
        <v>234</v>
      </c>
      <c r="H64" s="181">
        <v>352</v>
      </c>
      <c r="I64" s="42">
        <f t="shared" si="22"/>
        <v>293</v>
      </c>
      <c r="J64" s="46">
        <f t="shared" si="23"/>
        <v>293000</v>
      </c>
      <c r="K64" s="44">
        <f t="shared" si="24"/>
        <v>5.4668676203541091</v>
      </c>
      <c r="L64" s="250">
        <f t="shared" ref="L64" si="34">AVERAGE(J64:J67)</f>
        <v>159350</v>
      </c>
      <c r="M64" s="253">
        <f t="shared" ref="M64" si="35">LOG(L64)</f>
        <v>5.2023520678097519</v>
      </c>
      <c r="N64" s="256">
        <f t="shared" ref="N64" si="36">STDEV(K64:K67)</f>
        <v>1.3566143420529022</v>
      </c>
      <c r="O64" s="259">
        <f>M79-M64</f>
        <v>1.3269927197198177</v>
      </c>
    </row>
    <row r="65" spans="2:15" x14ac:dyDescent="0.2">
      <c r="B65" s="71" t="s">
        <v>228</v>
      </c>
      <c r="C65" s="248"/>
      <c r="D65" s="251"/>
      <c r="E65" s="248"/>
      <c r="F65" s="113">
        <f t="shared" si="33"/>
        <v>0.01</v>
      </c>
      <c r="G65" s="46">
        <v>93</v>
      </c>
      <c r="H65" s="181">
        <v>103</v>
      </c>
      <c r="I65" s="46">
        <f t="shared" si="22"/>
        <v>98</v>
      </c>
      <c r="J65" s="46">
        <f t="shared" si="23"/>
        <v>98000</v>
      </c>
      <c r="K65" s="48">
        <f t="shared" si="24"/>
        <v>4.9912260756924951</v>
      </c>
      <c r="L65" s="251"/>
      <c r="M65" s="254"/>
      <c r="N65" s="257"/>
      <c r="O65" s="260"/>
    </row>
    <row r="66" spans="2:15" x14ac:dyDescent="0.2">
      <c r="B66" s="71" t="s">
        <v>229</v>
      </c>
      <c r="C66" s="248"/>
      <c r="D66" s="251"/>
      <c r="E66" s="248"/>
      <c r="F66" s="113">
        <f>1*10^-2</f>
        <v>0.01</v>
      </c>
      <c r="G66" s="46">
        <v>220</v>
      </c>
      <c r="H66" s="181">
        <v>272</v>
      </c>
      <c r="I66" s="46">
        <f t="shared" si="22"/>
        <v>246</v>
      </c>
      <c r="J66" s="46">
        <f>(1/F66)*I66*10</f>
        <v>246000</v>
      </c>
      <c r="K66" s="48">
        <f t="shared" si="24"/>
        <v>5.3909351071033793</v>
      </c>
      <c r="L66" s="251"/>
      <c r="M66" s="254"/>
      <c r="N66" s="257"/>
      <c r="O66" s="260"/>
    </row>
    <row r="67" spans="2:15" ht="15" thickBot="1" x14ac:dyDescent="0.25">
      <c r="B67" s="76" t="s">
        <v>230</v>
      </c>
      <c r="C67" s="249"/>
      <c r="D67" s="251"/>
      <c r="E67" s="249"/>
      <c r="F67" s="168">
        <f>1*10^-1</f>
        <v>0.1</v>
      </c>
      <c r="G67" s="49">
        <v>2</v>
      </c>
      <c r="H67" s="183">
        <v>6</v>
      </c>
      <c r="I67" s="49">
        <f t="shared" si="22"/>
        <v>4</v>
      </c>
      <c r="J67" s="49">
        <f>(1/F67)*I67*10</f>
        <v>400</v>
      </c>
      <c r="K67" s="51">
        <f t="shared" si="24"/>
        <v>2.6020599913279625</v>
      </c>
      <c r="L67" s="252"/>
      <c r="M67" s="255"/>
      <c r="N67" s="258"/>
      <c r="O67" s="261"/>
    </row>
    <row r="68" spans="2:15" x14ac:dyDescent="0.2">
      <c r="B68" s="75" t="s">
        <v>231</v>
      </c>
      <c r="C68" s="247" t="s">
        <v>14</v>
      </c>
      <c r="D68" s="250" t="s">
        <v>24</v>
      </c>
      <c r="E68" s="247" t="s">
        <v>54</v>
      </c>
      <c r="F68" s="169">
        <f>1*10^-1</f>
        <v>0.1</v>
      </c>
      <c r="G68" s="42">
        <v>27</v>
      </c>
      <c r="H68" s="181">
        <v>28</v>
      </c>
      <c r="I68" s="42">
        <f t="shared" si="22"/>
        <v>27.5</v>
      </c>
      <c r="J68" s="121">
        <f t="shared" ref="J68:J73" si="37">(1/F68)*I68*10</f>
        <v>2750</v>
      </c>
      <c r="K68" s="44">
        <f t="shared" si="24"/>
        <v>3.4393326938302629</v>
      </c>
      <c r="L68" s="250">
        <f t="shared" ref="L68" si="38">AVERAGE(J68:J71)</f>
        <v>129925</v>
      </c>
      <c r="M68" s="253">
        <f t="shared" ref="M68" si="39">LOG(L68)</f>
        <v>5.1136927254948974</v>
      </c>
      <c r="N68" s="256">
        <f t="shared" ref="N68" si="40">STDEV(K68:K71)</f>
        <v>0.9994176792491829</v>
      </c>
      <c r="O68" s="259">
        <f>M79-M68</f>
        <v>1.4156520620346722</v>
      </c>
    </row>
    <row r="69" spans="2:15" x14ac:dyDescent="0.2">
      <c r="B69" s="71" t="s">
        <v>232</v>
      </c>
      <c r="C69" s="248"/>
      <c r="D69" s="251"/>
      <c r="E69" s="248"/>
      <c r="F69" s="113">
        <f t="shared" ref="F69" si="41">1*10^-2</f>
        <v>0.01</v>
      </c>
      <c r="G69" s="46">
        <v>306</v>
      </c>
      <c r="H69" s="181">
        <v>205</v>
      </c>
      <c r="I69" s="46">
        <f t="shared" si="22"/>
        <v>255.5</v>
      </c>
      <c r="J69" s="46">
        <f t="shared" si="37"/>
        <v>255500</v>
      </c>
      <c r="K69" s="48">
        <f t="shared" si="24"/>
        <v>5.4073909044707316</v>
      </c>
      <c r="L69" s="251"/>
      <c r="M69" s="254"/>
      <c r="N69" s="257"/>
      <c r="O69" s="260"/>
    </row>
    <row r="70" spans="2:15" x14ac:dyDescent="0.2">
      <c r="B70" s="71" t="s">
        <v>233</v>
      </c>
      <c r="C70" s="248"/>
      <c r="D70" s="251"/>
      <c r="E70" s="248"/>
      <c r="F70" s="113">
        <f>1*10^-1</f>
        <v>0.1</v>
      </c>
      <c r="G70" s="46">
        <v>92</v>
      </c>
      <c r="H70" s="202">
        <v>107</v>
      </c>
      <c r="I70" s="46">
        <f t="shared" si="22"/>
        <v>99.5</v>
      </c>
      <c r="J70" s="46">
        <f>(1/F70)*I70*10</f>
        <v>9950</v>
      </c>
      <c r="K70" s="48">
        <f t="shared" si="24"/>
        <v>3.9978230807457256</v>
      </c>
      <c r="L70" s="251"/>
      <c r="M70" s="254"/>
      <c r="N70" s="257"/>
      <c r="O70" s="260"/>
    </row>
    <row r="71" spans="2:15" ht="15" thickBot="1" x14ac:dyDescent="0.25">
      <c r="B71" s="76" t="s">
        <v>234</v>
      </c>
      <c r="C71" s="249"/>
      <c r="D71" s="251"/>
      <c r="E71" s="249"/>
      <c r="F71" s="168">
        <f>1*10^-2</f>
        <v>0.01</v>
      </c>
      <c r="G71" s="49">
        <v>241</v>
      </c>
      <c r="H71" s="183">
        <v>262</v>
      </c>
      <c r="I71" s="49">
        <f t="shared" si="22"/>
        <v>251.5</v>
      </c>
      <c r="J71" s="49">
        <f>(1/F71)*I71*10</f>
        <v>251500</v>
      </c>
      <c r="K71" s="51">
        <f t="shared" si="24"/>
        <v>5.4005379893919461</v>
      </c>
      <c r="L71" s="252"/>
      <c r="M71" s="255"/>
      <c r="N71" s="258"/>
      <c r="O71" s="261"/>
    </row>
    <row r="72" spans="2:15" x14ac:dyDescent="0.2">
      <c r="B72" s="75" t="s">
        <v>235</v>
      </c>
      <c r="C72" s="247" t="s">
        <v>14</v>
      </c>
      <c r="D72" s="250" t="s">
        <v>24</v>
      </c>
      <c r="E72" s="247" t="s">
        <v>55</v>
      </c>
      <c r="F72" s="164">
        <f>1*10^-1</f>
        <v>0.1</v>
      </c>
      <c r="G72" s="184">
        <v>1</v>
      </c>
      <c r="H72" s="188">
        <v>3</v>
      </c>
      <c r="I72" s="42">
        <f t="shared" si="22"/>
        <v>2</v>
      </c>
      <c r="J72" s="42">
        <f t="shared" si="37"/>
        <v>200</v>
      </c>
      <c r="K72" s="44">
        <f t="shared" si="24"/>
        <v>2.3010299956639813</v>
      </c>
      <c r="L72" s="250">
        <f t="shared" ref="L72" si="42">AVERAGE(J72:J75)</f>
        <v>7734</v>
      </c>
      <c r="M72" s="253">
        <f t="shared" ref="M72" si="43">LOG(L72)</f>
        <v>3.8884041677370464</v>
      </c>
      <c r="N72" s="256">
        <f t="shared" ref="N72" si="44">STDEV(K72:K75)</f>
        <v>1.0718159623195966</v>
      </c>
      <c r="O72" s="259">
        <f>M79-M72</f>
        <v>2.6409406197925231</v>
      </c>
    </row>
    <row r="73" spans="2:15" x14ac:dyDescent="0.2">
      <c r="B73" s="71" t="s">
        <v>236</v>
      </c>
      <c r="C73" s="248"/>
      <c r="D73" s="251"/>
      <c r="E73" s="248"/>
      <c r="F73" s="169">
        <f t="shared" ref="F73:F74" si="45">1*10^-1</f>
        <v>0.1</v>
      </c>
      <c r="G73" s="186">
        <v>1</v>
      </c>
      <c r="H73" s="181">
        <v>11</v>
      </c>
      <c r="I73" s="46">
        <f t="shared" si="22"/>
        <v>6</v>
      </c>
      <c r="J73" s="46">
        <f t="shared" si="37"/>
        <v>600</v>
      </c>
      <c r="K73" s="48">
        <f t="shared" si="24"/>
        <v>2.7781512503836434</v>
      </c>
      <c r="L73" s="251"/>
      <c r="M73" s="254"/>
      <c r="N73" s="257"/>
      <c r="O73" s="260"/>
    </row>
    <row r="74" spans="2:15" ht="15" x14ac:dyDescent="0.25">
      <c r="B74" s="71" t="s">
        <v>237</v>
      </c>
      <c r="C74" s="248"/>
      <c r="D74" s="251"/>
      <c r="E74" s="248"/>
      <c r="F74" s="169">
        <f t="shared" si="45"/>
        <v>0.1</v>
      </c>
      <c r="G74" s="162">
        <v>300</v>
      </c>
      <c r="H74" s="180">
        <v>300</v>
      </c>
      <c r="I74" s="46">
        <f t="shared" si="22"/>
        <v>300</v>
      </c>
      <c r="J74" s="46">
        <f>(1/F74)*I74*10</f>
        <v>30000</v>
      </c>
      <c r="K74" s="48">
        <f t="shared" si="24"/>
        <v>4.4771212547196626</v>
      </c>
      <c r="L74" s="251"/>
      <c r="M74" s="254"/>
      <c r="N74" s="257"/>
      <c r="O74" s="260"/>
    </row>
    <row r="75" spans="2:15" ht="15.75" thickBot="1" x14ac:dyDescent="0.3">
      <c r="B75" s="76" t="s">
        <v>238</v>
      </c>
      <c r="C75" s="249"/>
      <c r="D75" s="252"/>
      <c r="E75" s="249"/>
      <c r="F75" s="204" t="s">
        <v>17</v>
      </c>
      <c r="G75" s="187">
        <v>136</v>
      </c>
      <c r="H75" s="203" t="s">
        <v>18</v>
      </c>
      <c r="I75" s="49">
        <f t="shared" si="22"/>
        <v>136</v>
      </c>
      <c r="J75" s="49">
        <f>I75*1</f>
        <v>136</v>
      </c>
      <c r="K75" s="51">
        <f t="shared" si="24"/>
        <v>2.1335389083702174</v>
      </c>
      <c r="L75" s="252"/>
      <c r="M75" s="255"/>
      <c r="N75" s="258"/>
      <c r="O75" s="261"/>
    </row>
    <row r="76" spans="2:15" ht="15" customHeight="1" x14ac:dyDescent="0.2">
      <c r="B76" s="55" t="s">
        <v>118</v>
      </c>
      <c r="C76" s="264" t="s">
        <v>184</v>
      </c>
      <c r="D76" s="268" t="s">
        <v>22</v>
      </c>
      <c r="E76" s="155" t="s">
        <v>53</v>
      </c>
      <c r="F76" s="126">
        <f t="shared" ref="F76:F81" si="46">10^-4</f>
        <v>1E-4</v>
      </c>
      <c r="G76" s="127">
        <v>66</v>
      </c>
      <c r="H76" s="127">
        <v>56</v>
      </c>
      <c r="I76" s="127">
        <f t="shared" si="22"/>
        <v>61</v>
      </c>
      <c r="J76" s="127">
        <f>(1/F76)*I76*10</f>
        <v>6100000</v>
      </c>
      <c r="K76" s="58">
        <f t="shared" si="24"/>
        <v>6.7853298350107671</v>
      </c>
      <c r="L76" s="216">
        <f>AVERAGE(J76:J78)</f>
        <v>6733333.333333333</v>
      </c>
      <c r="M76" s="219">
        <f t="shared" ref="M76" si="47">LOG(L76)</f>
        <v>6.8282301147269617</v>
      </c>
      <c r="N76" s="220">
        <f>STDEV(K76:K78)</f>
        <v>4.3547620666615362E-2</v>
      </c>
      <c r="O76" s="318"/>
    </row>
    <row r="77" spans="2:15" ht="15" customHeight="1" x14ac:dyDescent="0.2">
      <c r="B77" s="55" t="s">
        <v>119</v>
      </c>
      <c r="C77" s="264"/>
      <c r="D77" s="268"/>
      <c r="E77" s="156" t="s">
        <v>54</v>
      </c>
      <c r="F77" s="56">
        <f t="shared" si="46"/>
        <v>1E-4</v>
      </c>
      <c r="G77" s="57">
        <v>70</v>
      </c>
      <c r="H77" s="57">
        <v>79</v>
      </c>
      <c r="I77" s="57">
        <f t="shared" si="22"/>
        <v>74.5</v>
      </c>
      <c r="J77" s="57">
        <f t="shared" ref="J77:J81" si="48">(1/F77)*I77*10</f>
        <v>7450000</v>
      </c>
      <c r="K77" s="58">
        <f t="shared" si="24"/>
        <v>6.8721562727482928</v>
      </c>
      <c r="L77" s="217"/>
      <c r="M77" s="211"/>
      <c r="N77" s="214"/>
      <c r="O77" s="318"/>
    </row>
    <row r="78" spans="2:15" ht="15" customHeight="1" x14ac:dyDescent="0.2">
      <c r="B78" s="55" t="s">
        <v>120</v>
      </c>
      <c r="C78" s="264"/>
      <c r="D78" s="263"/>
      <c r="E78" s="156" t="s">
        <v>55</v>
      </c>
      <c r="F78" s="56">
        <f t="shared" si="46"/>
        <v>1E-4</v>
      </c>
      <c r="G78" s="57">
        <v>59</v>
      </c>
      <c r="H78" s="57">
        <v>74</v>
      </c>
      <c r="I78" s="57">
        <f t="shared" si="22"/>
        <v>66.5</v>
      </c>
      <c r="J78" s="57">
        <f t="shared" si="48"/>
        <v>6650000</v>
      </c>
      <c r="K78" s="58">
        <f t="shared" si="24"/>
        <v>6.8228216453031045</v>
      </c>
      <c r="L78" s="218"/>
      <c r="M78" s="212"/>
      <c r="N78" s="215"/>
      <c r="O78" s="318"/>
    </row>
    <row r="79" spans="2:15" ht="15" customHeight="1" x14ac:dyDescent="0.2">
      <c r="B79" s="129" t="s">
        <v>239</v>
      </c>
      <c r="C79" s="265"/>
      <c r="D79" s="268" t="s">
        <v>24</v>
      </c>
      <c r="E79" s="155" t="s">
        <v>53</v>
      </c>
      <c r="F79" s="56">
        <f t="shared" si="46"/>
        <v>1E-4</v>
      </c>
      <c r="G79" s="130">
        <v>34</v>
      </c>
      <c r="H79" s="130">
        <v>51</v>
      </c>
      <c r="I79" s="130">
        <f t="shared" si="22"/>
        <v>42.5</v>
      </c>
      <c r="J79" s="130">
        <f t="shared" si="48"/>
        <v>4250000</v>
      </c>
      <c r="K79" s="131">
        <f t="shared" si="24"/>
        <v>6.6283889300503116</v>
      </c>
      <c r="L79" s="216">
        <f>AVERAGE(J79:J81)</f>
        <v>3383333.3333333335</v>
      </c>
      <c r="M79" s="219">
        <f>LOG(L79)</f>
        <v>6.5293447875295696</v>
      </c>
      <c r="N79" s="220">
        <f>STDEV(K79:K81)</f>
        <v>0.14422495711239672</v>
      </c>
      <c r="O79" s="318"/>
    </row>
    <row r="80" spans="2:15" ht="15" customHeight="1" x14ac:dyDescent="0.2">
      <c r="B80" s="129" t="s">
        <v>240</v>
      </c>
      <c r="C80" s="265"/>
      <c r="D80" s="268"/>
      <c r="E80" s="156" t="s">
        <v>54</v>
      </c>
      <c r="F80" s="56">
        <f t="shared" si="46"/>
        <v>1E-4</v>
      </c>
      <c r="G80" s="57">
        <v>22</v>
      </c>
      <c r="H80" s="57">
        <v>23</v>
      </c>
      <c r="I80" s="57">
        <f t="shared" si="22"/>
        <v>22.5</v>
      </c>
      <c r="J80" s="57">
        <f t="shared" si="48"/>
        <v>2250000</v>
      </c>
      <c r="K80" s="58">
        <f t="shared" si="24"/>
        <v>6.3521825181113627</v>
      </c>
      <c r="L80" s="217"/>
      <c r="M80" s="211"/>
      <c r="N80" s="214"/>
      <c r="O80" s="318"/>
    </row>
    <row r="81" spans="2:15" ht="15.75" customHeight="1" thickBot="1" x14ac:dyDescent="0.25">
      <c r="B81" s="59" t="s">
        <v>241</v>
      </c>
      <c r="C81" s="266"/>
      <c r="D81" s="269"/>
      <c r="E81" s="156" t="s">
        <v>55</v>
      </c>
      <c r="F81" s="60">
        <f t="shared" si="46"/>
        <v>1E-4</v>
      </c>
      <c r="G81" s="134">
        <v>40</v>
      </c>
      <c r="H81" s="134">
        <v>33</v>
      </c>
      <c r="I81" s="134">
        <f t="shared" si="22"/>
        <v>36.5</v>
      </c>
      <c r="J81" s="134">
        <f t="shared" si="48"/>
        <v>3650000</v>
      </c>
      <c r="K81" s="135">
        <f t="shared" si="24"/>
        <v>6.5622928644564746</v>
      </c>
      <c r="L81" s="222"/>
      <c r="M81" s="241"/>
      <c r="N81" s="267"/>
      <c r="O81" s="319"/>
    </row>
    <row r="83" spans="2:15" ht="15" thickBot="1" x14ac:dyDescent="0.25"/>
    <row r="84" spans="2:15" ht="16.5" thickBot="1" x14ac:dyDescent="0.3">
      <c r="B84" s="340" t="s">
        <v>15</v>
      </c>
      <c r="C84" s="341"/>
      <c r="D84" s="341"/>
      <c r="E84" s="341"/>
      <c r="F84" s="341"/>
      <c r="G84" s="341"/>
      <c r="H84" s="341"/>
      <c r="I84" s="341"/>
      <c r="J84" s="341"/>
      <c r="K84" s="341"/>
      <c r="L84" s="341"/>
      <c r="M84" s="342"/>
    </row>
    <row r="85" spans="2:15" ht="30.75" thickBot="1" x14ac:dyDescent="0.25">
      <c r="B85" s="65" t="s">
        <v>2</v>
      </c>
      <c r="C85" s="66" t="s">
        <v>12</v>
      </c>
      <c r="D85" s="66" t="s">
        <v>20</v>
      </c>
      <c r="E85" s="66" t="s">
        <v>3</v>
      </c>
      <c r="F85" s="66" t="s">
        <v>4</v>
      </c>
      <c r="G85" s="66" t="s">
        <v>5</v>
      </c>
      <c r="H85" s="66" t="s">
        <v>6</v>
      </c>
      <c r="I85" s="66" t="s">
        <v>7</v>
      </c>
      <c r="J85" s="66" t="s">
        <v>8</v>
      </c>
      <c r="K85" s="66" t="s">
        <v>9</v>
      </c>
      <c r="L85" s="66" t="s">
        <v>10</v>
      </c>
      <c r="M85" s="67" t="s">
        <v>11</v>
      </c>
    </row>
    <row r="86" spans="2:15" x14ac:dyDescent="0.2">
      <c r="B86" s="189" t="s">
        <v>242</v>
      </c>
      <c r="C86" s="142" t="s">
        <v>53</v>
      </c>
      <c r="D86" s="206" t="s">
        <v>22</v>
      </c>
      <c r="E86" s="143">
        <f t="shared" ref="E86:E91" si="49">10^-1</f>
        <v>0.1</v>
      </c>
      <c r="F86" s="144">
        <v>0</v>
      </c>
      <c r="G86" s="122">
        <v>0</v>
      </c>
      <c r="H86" s="144">
        <v>1</v>
      </c>
      <c r="I86" s="144">
        <f t="shared" ref="I86:I91" si="50">(1/E86)*H86*1</f>
        <v>10</v>
      </c>
      <c r="J86" s="145">
        <f t="shared" ref="J86:J91" si="51">LOG(I86)</f>
        <v>1</v>
      </c>
      <c r="K86" s="206">
        <f>AVERAGE(I86:I91)</f>
        <v>272.33333333333331</v>
      </c>
      <c r="L86" s="335">
        <f>AVERAGE(J86:J91)</f>
        <v>2.2003456826352736</v>
      </c>
      <c r="M86" s="338">
        <f>STDEV(J86:J91)</f>
        <v>0.65053961709914243</v>
      </c>
    </row>
    <row r="87" spans="2:15" x14ac:dyDescent="0.2">
      <c r="B87" s="7" t="s">
        <v>243</v>
      </c>
      <c r="C87" s="8" t="s">
        <v>54</v>
      </c>
      <c r="D87" s="206"/>
      <c r="E87" s="115">
        <f t="shared" si="49"/>
        <v>0.1</v>
      </c>
      <c r="F87" s="9">
        <v>36</v>
      </c>
      <c r="G87" s="47">
        <v>37</v>
      </c>
      <c r="H87" s="9">
        <f>AVERAGE(F87:G87)</f>
        <v>36.5</v>
      </c>
      <c r="I87" s="9">
        <f t="shared" si="50"/>
        <v>365</v>
      </c>
      <c r="J87" s="10">
        <f t="shared" si="51"/>
        <v>2.5622928644564746</v>
      </c>
      <c r="K87" s="206"/>
      <c r="L87" s="335"/>
      <c r="M87" s="338"/>
    </row>
    <row r="88" spans="2:15" x14ac:dyDescent="0.2">
      <c r="B88" s="7" t="s">
        <v>244</v>
      </c>
      <c r="C88" s="8" t="s">
        <v>55</v>
      </c>
      <c r="D88" s="207"/>
      <c r="E88" s="143">
        <f>10^-1</f>
        <v>0.1</v>
      </c>
      <c r="F88" s="9">
        <v>20</v>
      </c>
      <c r="G88" s="47">
        <v>33</v>
      </c>
      <c r="H88" s="9">
        <f t="shared" ref="H88:H91" si="52">AVERAGE(F88:G88)</f>
        <v>26.5</v>
      </c>
      <c r="I88" s="9">
        <f t="shared" si="50"/>
        <v>265</v>
      </c>
      <c r="J88" s="10">
        <f t="shared" si="51"/>
        <v>2.4232458739368079</v>
      </c>
      <c r="K88" s="206"/>
      <c r="L88" s="335"/>
      <c r="M88" s="338"/>
    </row>
    <row r="89" spans="2:15" x14ac:dyDescent="0.2">
      <c r="B89" s="146" t="s">
        <v>245</v>
      </c>
      <c r="C89" s="142" t="s">
        <v>53</v>
      </c>
      <c r="D89" s="206" t="s">
        <v>24</v>
      </c>
      <c r="E89" s="143">
        <f>10^-1</f>
        <v>0.1</v>
      </c>
      <c r="F89" s="148">
        <v>45</v>
      </c>
      <c r="G89" s="98">
        <v>35</v>
      </c>
      <c r="H89" s="148">
        <f t="shared" si="52"/>
        <v>40</v>
      </c>
      <c r="I89" s="148">
        <v>84</v>
      </c>
      <c r="J89" s="149">
        <f t="shared" si="51"/>
        <v>1.9242792860618816</v>
      </c>
      <c r="K89" s="206"/>
      <c r="L89" s="335"/>
      <c r="M89" s="338"/>
    </row>
    <row r="90" spans="2:15" ht="15" customHeight="1" x14ac:dyDescent="0.2">
      <c r="B90" s="146" t="s">
        <v>246</v>
      </c>
      <c r="C90" s="8" t="s">
        <v>54</v>
      </c>
      <c r="D90" s="206"/>
      <c r="E90" s="147">
        <f t="shared" si="49"/>
        <v>0.1</v>
      </c>
      <c r="F90" s="148">
        <v>28</v>
      </c>
      <c r="G90" s="98">
        <v>84</v>
      </c>
      <c r="H90" s="148">
        <f t="shared" si="52"/>
        <v>56</v>
      </c>
      <c r="I90" s="148">
        <f t="shared" si="50"/>
        <v>560</v>
      </c>
      <c r="J90" s="149">
        <f t="shared" si="51"/>
        <v>2.7481880270062002</v>
      </c>
      <c r="K90" s="206"/>
      <c r="L90" s="335"/>
      <c r="M90" s="338"/>
    </row>
    <row r="91" spans="2:15" ht="15.75" customHeight="1" thickBot="1" x14ac:dyDescent="0.25">
      <c r="B91" s="11" t="s">
        <v>247</v>
      </c>
      <c r="C91" s="12" t="s">
        <v>55</v>
      </c>
      <c r="D91" s="209"/>
      <c r="E91" s="116">
        <f t="shared" si="49"/>
        <v>0.1</v>
      </c>
      <c r="F91" s="13">
        <v>29</v>
      </c>
      <c r="G91" s="50">
        <v>41</v>
      </c>
      <c r="H91" s="13">
        <f t="shared" si="52"/>
        <v>35</v>
      </c>
      <c r="I91" s="13">
        <f t="shared" si="50"/>
        <v>350</v>
      </c>
      <c r="J91" s="14">
        <f t="shared" si="51"/>
        <v>2.5440680443502757</v>
      </c>
      <c r="K91" s="209"/>
      <c r="L91" s="336"/>
      <c r="M91" s="339"/>
    </row>
  </sheetData>
  <mergeCells count="112">
    <mergeCell ref="B84:M84"/>
    <mergeCell ref="K86:K91"/>
    <mergeCell ref="L86:L91"/>
    <mergeCell ref="M86:M91"/>
    <mergeCell ref="D86:D88"/>
    <mergeCell ref="D89:D91"/>
    <mergeCell ref="N76:N78"/>
    <mergeCell ref="D79:D81"/>
    <mergeCell ref="L79:L81"/>
    <mergeCell ref="M79:M81"/>
    <mergeCell ref="N79:N81"/>
    <mergeCell ref="O72:O75"/>
    <mergeCell ref="C76:C81"/>
    <mergeCell ref="O76:O81"/>
    <mergeCell ref="D76:D78"/>
    <mergeCell ref="L76:L78"/>
    <mergeCell ref="M76:M78"/>
    <mergeCell ref="C72:C75"/>
    <mergeCell ref="D72:D75"/>
    <mergeCell ref="E72:E75"/>
    <mergeCell ref="L72:L75"/>
    <mergeCell ref="M72:M75"/>
    <mergeCell ref="N72:N75"/>
    <mergeCell ref="O64:O67"/>
    <mergeCell ref="C68:C71"/>
    <mergeCell ref="D68:D71"/>
    <mergeCell ref="E68:E71"/>
    <mergeCell ref="L68:L71"/>
    <mergeCell ref="M68:M71"/>
    <mergeCell ref="N68:N71"/>
    <mergeCell ref="O68:O71"/>
    <mergeCell ref="C64:C67"/>
    <mergeCell ref="D64:D67"/>
    <mergeCell ref="E64:E67"/>
    <mergeCell ref="L64:L67"/>
    <mergeCell ref="M64:M67"/>
    <mergeCell ref="N64:N67"/>
    <mergeCell ref="O60:O63"/>
    <mergeCell ref="C60:C63"/>
    <mergeCell ref="D60:D63"/>
    <mergeCell ref="E60:E63"/>
    <mergeCell ref="L60:L63"/>
    <mergeCell ref="M60:M63"/>
    <mergeCell ref="N60:N63"/>
    <mergeCell ref="O52:O55"/>
    <mergeCell ref="C56:C59"/>
    <mergeCell ref="D56:D59"/>
    <mergeCell ref="E56:E59"/>
    <mergeCell ref="L56:L59"/>
    <mergeCell ref="M56:M59"/>
    <mergeCell ref="N56:N59"/>
    <mergeCell ref="O56:O59"/>
    <mergeCell ref="C52:C55"/>
    <mergeCell ref="D52:D55"/>
    <mergeCell ref="E52:E55"/>
    <mergeCell ref="L52:L55"/>
    <mergeCell ref="M52:M55"/>
    <mergeCell ref="N52:N55"/>
    <mergeCell ref="B50:O50"/>
    <mergeCell ref="N42:N44"/>
    <mergeCell ref="D45:D47"/>
    <mergeCell ref="L45:L47"/>
    <mergeCell ref="M45:M47"/>
    <mergeCell ref="N45:N47"/>
    <mergeCell ref="O38:O41"/>
    <mergeCell ref="C42:C47"/>
    <mergeCell ref="O42:O47"/>
    <mergeCell ref="D42:D44"/>
    <mergeCell ref="L42:L44"/>
    <mergeCell ref="M42:M44"/>
    <mergeCell ref="C38:C41"/>
    <mergeCell ref="D38:D41"/>
    <mergeCell ref="E38:E41"/>
    <mergeCell ref="L38:L41"/>
    <mergeCell ref="M38:M41"/>
    <mergeCell ref="N38:N41"/>
    <mergeCell ref="O30:O33"/>
    <mergeCell ref="C34:C37"/>
    <mergeCell ref="D34:D37"/>
    <mergeCell ref="E34:E37"/>
    <mergeCell ref="L34:L37"/>
    <mergeCell ref="M34:M37"/>
    <mergeCell ref="N34:N37"/>
    <mergeCell ref="O34:O37"/>
    <mergeCell ref="C30:C33"/>
    <mergeCell ref="D30:D33"/>
    <mergeCell ref="E30:E33"/>
    <mergeCell ref="L30:L33"/>
    <mergeCell ref="M30:M33"/>
    <mergeCell ref="N30:N33"/>
    <mergeCell ref="B16:O16"/>
    <mergeCell ref="O26:O29"/>
    <mergeCell ref="C26:C29"/>
    <mergeCell ref="D26:D29"/>
    <mergeCell ref="E26:E29"/>
    <mergeCell ref="L26:L29"/>
    <mergeCell ref="M26:M29"/>
    <mergeCell ref="N26:N29"/>
    <mergeCell ref="O18:O21"/>
    <mergeCell ref="C22:C25"/>
    <mergeCell ref="D22:D25"/>
    <mergeCell ref="E22:E25"/>
    <mergeCell ref="L22:L25"/>
    <mergeCell ref="M22:M25"/>
    <mergeCell ref="N22:N25"/>
    <mergeCell ref="O22:O25"/>
    <mergeCell ref="C18:C21"/>
    <mergeCell ref="D18:D21"/>
    <mergeCell ref="E18:E21"/>
    <mergeCell ref="L18:L21"/>
    <mergeCell ref="M18:M21"/>
    <mergeCell ref="N18:N21"/>
  </mergeCells>
  <pageMargins left="0.7" right="0.7" top="0.75" bottom="0.75" header="0.3" footer="0.3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 1</vt:lpstr>
      <vt:lpstr>Run 2 - 12-27-18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Hurst, Savannah M CTR (US)</dc:creator>
  <cp:lastModifiedBy>Wood, Joe</cp:lastModifiedBy>
  <cp:lastPrinted>2019-01-28T18:25:33Z</cp:lastPrinted>
  <dcterms:created xsi:type="dcterms:W3CDTF">2018-08-16T15:10:09Z</dcterms:created>
  <dcterms:modified xsi:type="dcterms:W3CDTF">2019-07-11T19:18:24Z</dcterms:modified>
</cp:coreProperties>
</file>