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Homeland Security\Biocontainment Suite\WA 0-8\HAL, turbid water concentration\"/>
    </mc:Choice>
  </mc:AlternateContent>
  <xr:revisionPtr revIDLastSave="0" documentId="13_ncr:1_{2E5C17E7-2786-46DE-824C-0CF10997306F}" xr6:coauthVersionLast="36" xr6:coauthVersionMax="36" xr10:uidLastSave="{00000000-0000-0000-0000-000000000000}"/>
  <bookViews>
    <workbookView xWindow="0" yWindow="0" windowWidth="14370" windowHeight="7530" xr2:uid="{00000000-000D-0000-FFFF-FFFF00000000}"/>
  </bookViews>
  <sheets>
    <sheet name="Table 2" sheetId="6" r:id="rId1"/>
    <sheet name="Table 3" sheetId="7" r:id="rId2"/>
    <sheet name="Table 4" sheetId="8" r:id="rId3"/>
    <sheet name="Table 5" sheetId="9" r:id="rId4"/>
    <sheet name="Raw Data" sheetId="10" r:id="rId5"/>
    <sheet name="summary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9" l="1"/>
  <c r="F23" i="9"/>
  <c r="B24" i="9"/>
  <c r="B23" i="9"/>
  <c r="G615" i="10"/>
  <c r="G614" i="10"/>
  <c r="E610" i="10"/>
  <c r="E609" i="10"/>
  <c r="G605" i="10"/>
  <c r="G604" i="10"/>
  <c r="E600" i="10"/>
  <c r="E599" i="10"/>
  <c r="D589" i="10"/>
  <c r="E589" i="10" s="1"/>
  <c r="D588" i="10"/>
  <c r="E588" i="10" s="1"/>
  <c r="F588" i="10" s="1"/>
  <c r="D584" i="10"/>
  <c r="A584" i="10"/>
  <c r="G576" i="10"/>
  <c r="G575" i="10"/>
  <c r="A571" i="10"/>
  <c r="G562" i="10"/>
  <c r="G561" i="10"/>
  <c r="D558" i="10"/>
  <c r="E558" i="10" s="1"/>
  <c r="F558" i="10" s="1"/>
  <c r="H557" i="10"/>
  <c r="D557" i="10"/>
  <c r="E557" i="10" s="1"/>
  <c r="G545" i="10"/>
  <c r="G544" i="10"/>
  <c r="D541" i="10"/>
  <c r="E541" i="10" s="1"/>
  <c r="F541" i="10" s="1"/>
  <c r="H540" i="10"/>
  <c r="D540" i="10"/>
  <c r="E540" i="10" s="1"/>
  <c r="F540" i="10" s="1"/>
  <c r="G531" i="10"/>
  <c r="G530" i="10"/>
  <c r="G524" i="10"/>
  <c r="G523" i="10"/>
  <c r="D520" i="10"/>
  <c r="E520" i="10" s="1"/>
  <c r="F520" i="10" s="1"/>
  <c r="D519" i="10"/>
  <c r="E519" i="10" s="1"/>
  <c r="G518" i="10" s="1"/>
  <c r="H518" i="10"/>
  <c r="G507" i="10"/>
  <c r="G506" i="10"/>
  <c r="G503" i="10"/>
  <c r="G502" i="10"/>
  <c r="D499" i="10"/>
  <c r="E499" i="10" s="1"/>
  <c r="F499" i="10" s="1"/>
  <c r="M498" i="10"/>
  <c r="H498" i="10" s="1"/>
  <c r="K498" i="10"/>
  <c r="D498" i="10"/>
  <c r="E498" i="10" s="1"/>
  <c r="M497" i="10"/>
  <c r="H497" i="10" s="1"/>
  <c r="K497" i="10"/>
  <c r="G487" i="10"/>
  <c r="G486" i="10"/>
  <c r="G483" i="10"/>
  <c r="G482" i="10"/>
  <c r="M479" i="10"/>
  <c r="H479" i="10" s="1"/>
  <c r="K479" i="10"/>
  <c r="D479" i="10"/>
  <c r="E479" i="10" s="1"/>
  <c r="M478" i="10"/>
  <c r="H478" i="10" s="1"/>
  <c r="K478" i="10"/>
  <c r="G467" i="10"/>
  <c r="G466" i="10"/>
  <c r="H466" i="10" s="1"/>
  <c r="D463" i="10"/>
  <c r="E463" i="10" s="1"/>
  <c r="K462" i="10"/>
  <c r="H462" i="10" s="1"/>
  <c r="D450" i="10"/>
  <c r="E450" i="10" s="1"/>
  <c r="D449" i="10"/>
  <c r="E449" i="10" s="1"/>
  <c r="G449" i="10" s="1"/>
  <c r="G443" i="10"/>
  <c r="G442" i="10"/>
  <c r="D439" i="10"/>
  <c r="E439" i="10" s="1"/>
  <c r="K438" i="10"/>
  <c r="H438" i="10" s="1"/>
  <c r="D430" i="10"/>
  <c r="D429" i="10"/>
  <c r="D428" i="10"/>
  <c r="D419" i="10"/>
  <c r="E419" i="10" s="1"/>
  <c r="C414" i="10"/>
  <c r="E414" i="10" s="1"/>
  <c r="F414" i="10" s="1"/>
  <c r="C412" i="10"/>
  <c r="E413" i="10" s="1"/>
  <c r="J407" i="10"/>
  <c r="J406" i="10"/>
  <c r="E405" i="10"/>
  <c r="F405" i="10" s="1"/>
  <c r="E402" i="10"/>
  <c r="F402" i="10" s="1"/>
  <c r="J392" i="10"/>
  <c r="J391" i="10"/>
  <c r="E390" i="10"/>
  <c r="F390" i="10" s="1"/>
  <c r="E387" i="10"/>
  <c r="F387" i="10" s="1"/>
  <c r="J377" i="10"/>
  <c r="J376" i="10"/>
  <c r="E375" i="10"/>
  <c r="F375" i="10" s="1"/>
  <c r="E372" i="10"/>
  <c r="F372" i="10" s="1"/>
  <c r="C362" i="10"/>
  <c r="E363" i="10" s="1"/>
  <c r="J357" i="10"/>
  <c r="J356" i="10"/>
  <c r="E355" i="10"/>
  <c r="F355" i="10" s="1"/>
  <c r="E352" i="10"/>
  <c r="F352" i="10" s="1"/>
  <c r="I351" i="10"/>
  <c r="C342" i="10"/>
  <c r="E343" i="10" s="1"/>
  <c r="F344" i="10" s="1"/>
  <c r="J337" i="10"/>
  <c r="E335" i="10"/>
  <c r="F335" i="10" s="1"/>
  <c r="F332" i="10"/>
  <c r="E332" i="10"/>
  <c r="I331" i="10"/>
  <c r="J322" i="10"/>
  <c r="I316" i="10" s="1"/>
  <c r="J321" i="10"/>
  <c r="E320" i="10"/>
  <c r="F320" i="10" s="1"/>
  <c r="E317" i="10"/>
  <c r="F317" i="10" s="1"/>
  <c r="G317" i="10" s="1"/>
  <c r="J308" i="10"/>
  <c r="I302" i="10" s="1"/>
  <c r="J307" i="10"/>
  <c r="E306" i="10"/>
  <c r="F306" i="10" s="1"/>
  <c r="E303" i="10"/>
  <c r="F303" i="10" s="1"/>
  <c r="G303" i="10" s="1"/>
  <c r="J294" i="10"/>
  <c r="I288" i="10" s="1"/>
  <c r="J293" i="10"/>
  <c r="E292" i="10"/>
  <c r="F292" i="10" s="1"/>
  <c r="E289" i="10"/>
  <c r="F289" i="10" s="1"/>
  <c r="D277" i="10"/>
  <c r="E277" i="10" s="1"/>
  <c r="F277" i="10" s="1"/>
  <c r="G271" i="10"/>
  <c r="H271" i="10" s="1"/>
  <c r="I271" i="10" s="1"/>
  <c r="G268" i="10"/>
  <c r="K266" i="10"/>
  <c r="K265" i="10"/>
  <c r="D265" i="10"/>
  <c r="E265" i="10" s="1"/>
  <c r="G255" i="10"/>
  <c r="G252" i="10"/>
  <c r="K250" i="10"/>
  <c r="H248" i="10" s="1"/>
  <c r="K249" i="10"/>
  <c r="D249" i="10"/>
  <c r="E249" i="10" s="1"/>
  <c r="F249" i="10" s="1"/>
  <c r="G239" i="10"/>
  <c r="G238" i="10"/>
  <c r="G235" i="10"/>
  <c r="G234" i="10"/>
  <c r="J232" i="10"/>
  <c r="K232" i="10" s="1"/>
  <c r="K231" i="10"/>
  <c r="D231" i="10"/>
  <c r="E231" i="10" s="1"/>
  <c r="G223" i="10"/>
  <c r="G222" i="10"/>
  <c r="H222" i="10" s="1"/>
  <c r="G219" i="10"/>
  <c r="G218" i="10"/>
  <c r="J216" i="10"/>
  <c r="K216" i="10" s="1"/>
  <c r="H214" i="10" s="1"/>
  <c r="H216" i="10" s="1"/>
  <c r="K215" i="10"/>
  <c r="D215" i="10"/>
  <c r="E215" i="10" s="1"/>
  <c r="G206" i="10"/>
  <c r="G205" i="10"/>
  <c r="G202" i="10"/>
  <c r="G201" i="10"/>
  <c r="J199" i="10"/>
  <c r="K199" i="10" s="1"/>
  <c r="H197" i="10" s="1"/>
  <c r="H199" i="10" s="1"/>
  <c r="K198" i="10"/>
  <c r="D198" i="10"/>
  <c r="E198" i="10" s="1"/>
  <c r="G190" i="10"/>
  <c r="G189" i="10"/>
  <c r="G186" i="10"/>
  <c r="G185" i="10"/>
  <c r="H185" i="10" s="1"/>
  <c r="J183" i="10"/>
  <c r="K183" i="10" s="1"/>
  <c r="K182" i="10"/>
  <c r="D182" i="10"/>
  <c r="E182" i="10" s="1"/>
  <c r="G173" i="10"/>
  <c r="G172" i="10"/>
  <c r="G169" i="10"/>
  <c r="G168" i="10"/>
  <c r="D165" i="10"/>
  <c r="E165" i="10" s="1"/>
  <c r="H164" i="10"/>
  <c r="G156" i="10"/>
  <c r="G155" i="10"/>
  <c r="G152" i="10"/>
  <c r="G151" i="10"/>
  <c r="J149" i="10"/>
  <c r="K149" i="10" s="1"/>
  <c r="K148" i="10"/>
  <c r="D148" i="10"/>
  <c r="E148" i="10" s="1"/>
  <c r="G140" i="10"/>
  <c r="G139" i="10"/>
  <c r="G136" i="10"/>
  <c r="G135" i="10"/>
  <c r="J133" i="10"/>
  <c r="K133" i="10" s="1"/>
  <c r="H131" i="10" s="1"/>
  <c r="H133" i="10" s="1"/>
  <c r="K132" i="10"/>
  <c r="D132" i="10"/>
  <c r="E132" i="10" s="1"/>
  <c r="G123" i="10"/>
  <c r="G122" i="10"/>
  <c r="G119" i="10"/>
  <c r="G118" i="10"/>
  <c r="J116" i="10"/>
  <c r="K116" i="10" s="1"/>
  <c r="K115" i="10"/>
  <c r="D115" i="10"/>
  <c r="E115" i="10" s="1"/>
  <c r="G106" i="10"/>
  <c r="G105" i="10"/>
  <c r="H105" i="10" s="1"/>
  <c r="G102" i="10"/>
  <c r="G101" i="10"/>
  <c r="J99" i="10"/>
  <c r="K99" i="10" s="1"/>
  <c r="K98" i="10"/>
  <c r="D98" i="10"/>
  <c r="E98" i="10" s="1"/>
  <c r="G89" i="10"/>
  <c r="G88" i="10"/>
  <c r="G85" i="10"/>
  <c r="G84" i="10"/>
  <c r="J82" i="10"/>
  <c r="K82" i="10" s="1"/>
  <c r="K81" i="10"/>
  <c r="D81" i="10"/>
  <c r="E81" i="10" s="1"/>
  <c r="G72" i="10"/>
  <c r="G71" i="10"/>
  <c r="G68" i="10"/>
  <c r="G67" i="10"/>
  <c r="H67" i="10" s="1"/>
  <c r="K65" i="10"/>
  <c r="H63" i="10" s="1"/>
  <c r="H65" i="10" s="1"/>
  <c r="K64" i="10"/>
  <c r="D64" i="10"/>
  <c r="E64" i="10" s="1"/>
  <c r="G63" i="10" s="1"/>
  <c r="G55" i="10"/>
  <c r="G54" i="10"/>
  <c r="G51" i="10"/>
  <c r="G50" i="10"/>
  <c r="D47" i="10"/>
  <c r="E47" i="10" s="1"/>
  <c r="G38" i="10"/>
  <c r="G37" i="10"/>
  <c r="G34" i="10"/>
  <c r="G33" i="10"/>
  <c r="H33" i="10" s="1"/>
  <c r="K30" i="10"/>
  <c r="D30" i="10"/>
  <c r="E30" i="10" s="1"/>
  <c r="K29" i="10"/>
  <c r="G21" i="10"/>
  <c r="G20" i="10"/>
  <c r="G17" i="10"/>
  <c r="G16" i="10"/>
  <c r="K13" i="10"/>
  <c r="D13" i="10"/>
  <c r="E13" i="10" s="1"/>
  <c r="K12" i="10"/>
  <c r="H88" i="10" l="1"/>
  <c r="H155" i="10"/>
  <c r="H168" i="10"/>
  <c r="H234" i="10"/>
  <c r="H101" i="10"/>
  <c r="H139" i="10"/>
  <c r="K251" i="10"/>
  <c r="J295" i="10"/>
  <c r="H482" i="10"/>
  <c r="H575" i="10"/>
  <c r="H604" i="10"/>
  <c r="H614" i="10"/>
  <c r="H135" i="10"/>
  <c r="E429" i="10"/>
  <c r="G520" i="10"/>
  <c r="I520" i="10" s="1"/>
  <c r="H54" i="10"/>
  <c r="H84" i="10"/>
  <c r="H151" i="10"/>
  <c r="H502" i="10"/>
  <c r="F148" i="10"/>
  <c r="G147" i="10"/>
  <c r="I148" i="10" s="1"/>
  <c r="F198" i="10"/>
  <c r="G197" i="10"/>
  <c r="I198" i="10" s="1"/>
  <c r="D414" i="10"/>
  <c r="H122" i="10"/>
  <c r="K134" i="10"/>
  <c r="H71" i="10"/>
  <c r="H172" i="10"/>
  <c r="I172" i="10" s="1"/>
  <c r="K184" i="10"/>
  <c r="H189" i="10"/>
  <c r="H205" i="10"/>
  <c r="H238" i="10"/>
  <c r="H506" i="10"/>
  <c r="G438" i="10"/>
  <c r="I438" i="10" s="1"/>
  <c r="F439" i="10"/>
  <c r="G80" i="10"/>
  <c r="I81" i="10" s="1"/>
  <c r="I88" i="10" s="1"/>
  <c r="F81" i="10"/>
  <c r="F182" i="10"/>
  <c r="G181" i="10"/>
  <c r="I182" i="10" s="1"/>
  <c r="I189" i="10" s="1"/>
  <c r="F231" i="10"/>
  <c r="G230" i="10"/>
  <c r="I231" i="10" s="1"/>
  <c r="G352" i="10"/>
  <c r="H351" i="10"/>
  <c r="J351" i="10" s="1"/>
  <c r="G355" i="10" s="1"/>
  <c r="F165" i="10"/>
  <c r="G164" i="10"/>
  <c r="I165" i="10" s="1"/>
  <c r="I63" i="10"/>
  <c r="I155" i="10"/>
  <c r="H480" i="10"/>
  <c r="H16" i="10"/>
  <c r="F64" i="10"/>
  <c r="K66" i="10"/>
  <c r="H218" i="10"/>
  <c r="J309" i="10"/>
  <c r="J323" i="10"/>
  <c r="D342" i="10"/>
  <c r="D412" i="10"/>
  <c r="H442" i="10"/>
  <c r="H523" i="10"/>
  <c r="H544" i="10"/>
  <c r="E611" i="10"/>
  <c r="E612" i="10" s="1"/>
  <c r="I64" i="10"/>
  <c r="I67" i="10"/>
  <c r="H316" i="10"/>
  <c r="J316" i="10" s="1"/>
  <c r="G320" i="10" s="1"/>
  <c r="E430" i="10"/>
  <c r="F430" i="10" s="1"/>
  <c r="H118" i="10"/>
  <c r="K200" i="10"/>
  <c r="H201" i="10"/>
  <c r="K217" i="10"/>
  <c r="G248" i="10"/>
  <c r="I249" i="10" s="1"/>
  <c r="I255" i="10" s="1"/>
  <c r="D362" i="10"/>
  <c r="H486" i="10"/>
  <c r="H530" i="10"/>
  <c r="H561" i="10"/>
  <c r="F13" i="10"/>
  <c r="G12" i="10"/>
  <c r="F30" i="10"/>
  <c r="G29" i="10"/>
  <c r="K100" i="10"/>
  <c r="H97" i="10"/>
  <c r="H99" i="10" s="1"/>
  <c r="K117" i="10"/>
  <c r="H114" i="10"/>
  <c r="H116" i="10" s="1"/>
  <c r="H230" i="10"/>
  <c r="K233" i="10"/>
  <c r="G478" i="10"/>
  <c r="F479" i="10"/>
  <c r="F47" i="10"/>
  <c r="G46" i="10"/>
  <c r="I46" i="10" s="1"/>
  <c r="K83" i="10"/>
  <c r="H80" i="10"/>
  <c r="G289" i="10"/>
  <c r="H288" i="10"/>
  <c r="G332" i="10"/>
  <c r="H331" i="10"/>
  <c r="J331" i="10" s="1"/>
  <c r="I371" i="10"/>
  <c r="J378" i="10"/>
  <c r="K14" i="10"/>
  <c r="H20" i="10"/>
  <c r="K31" i="10"/>
  <c r="H37" i="10"/>
  <c r="F98" i="10"/>
  <c r="G97" i="10"/>
  <c r="F115" i="10"/>
  <c r="G114" i="10"/>
  <c r="C454" i="10"/>
  <c r="E454" i="10" s="1"/>
  <c r="F454" i="10" s="1"/>
  <c r="G454" i="10" s="1"/>
  <c r="C453" i="10"/>
  <c r="E453" i="10" s="1"/>
  <c r="F453" i="10" s="1"/>
  <c r="G453" i="10" s="1"/>
  <c r="G450" i="10"/>
  <c r="F498" i="10"/>
  <c r="F500" i="10" s="1"/>
  <c r="E500" i="10"/>
  <c r="G497" i="10"/>
  <c r="F589" i="10"/>
  <c r="E590" i="10"/>
  <c r="F590" i="10" s="1"/>
  <c r="H147" i="10"/>
  <c r="K150" i="10"/>
  <c r="F215" i="10"/>
  <c r="G214" i="10"/>
  <c r="H264" i="10"/>
  <c r="K267" i="10"/>
  <c r="G279" i="10"/>
  <c r="G278" i="10"/>
  <c r="J358" i="10"/>
  <c r="G372" i="10"/>
  <c r="H371" i="10"/>
  <c r="I386" i="10"/>
  <c r="J393" i="10"/>
  <c r="E415" i="10"/>
  <c r="F415" i="10" s="1"/>
  <c r="F413" i="10"/>
  <c r="G420" i="10"/>
  <c r="H420" i="10" s="1"/>
  <c r="F419" i="10"/>
  <c r="G421" i="10"/>
  <c r="H421" i="10" s="1"/>
  <c r="I421" i="10" s="1"/>
  <c r="I442" i="10"/>
  <c r="I518" i="10"/>
  <c r="I523" i="10" s="1"/>
  <c r="H12" i="10"/>
  <c r="H29" i="10"/>
  <c r="H31" i="10" s="1"/>
  <c r="H50" i="10"/>
  <c r="F132" i="10"/>
  <c r="G131" i="10"/>
  <c r="H181" i="10"/>
  <c r="H183" i="10" s="1"/>
  <c r="G335" i="10"/>
  <c r="G387" i="10"/>
  <c r="H386" i="10"/>
  <c r="I401" i="10"/>
  <c r="J408" i="10"/>
  <c r="G462" i="10"/>
  <c r="I462" i="10" s="1"/>
  <c r="I466" i="10" s="1"/>
  <c r="F463" i="10"/>
  <c r="F519" i="10"/>
  <c r="F557" i="10"/>
  <c r="E559" i="10"/>
  <c r="F559" i="10" s="1"/>
  <c r="F265" i="10"/>
  <c r="G264" i="10"/>
  <c r="H302" i="10"/>
  <c r="J302" i="10" s="1"/>
  <c r="G306" i="10" s="1"/>
  <c r="G402" i="10"/>
  <c r="H401" i="10"/>
  <c r="H499" i="10"/>
  <c r="E542" i="10"/>
  <c r="G557" i="10"/>
  <c r="I557" i="10" s="1"/>
  <c r="I561" i="10"/>
  <c r="E601" i="10"/>
  <c r="E602" i="10" s="1"/>
  <c r="I164" i="10"/>
  <c r="I248" i="10"/>
  <c r="I252" i="10" s="1"/>
  <c r="B598" i="10"/>
  <c r="C598" i="10" s="1"/>
  <c r="B608" i="10"/>
  <c r="C608" i="10" s="1"/>
  <c r="I530" i="10" l="1"/>
  <c r="I54" i="10"/>
  <c r="I168" i="10"/>
  <c r="J170" i="10" s="1"/>
  <c r="I50" i="10"/>
  <c r="J52" i="10" s="1"/>
  <c r="I205" i="10"/>
  <c r="I238" i="10"/>
  <c r="I197" i="10"/>
  <c r="I201" i="10" s="1"/>
  <c r="J203" i="10" s="1"/>
  <c r="I71" i="10"/>
  <c r="I181" i="10"/>
  <c r="I185" i="10" s="1"/>
  <c r="J386" i="10"/>
  <c r="G390" i="10" s="1"/>
  <c r="J401" i="10"/>
  <c r="G405" i="10" s="1"/>
  <c r="J69" i="10"/>
  <c r="J187" i="10"/>
  <c r="I98" i="10"/>
  <c r="I105" i="10" s="1"/>
  <c r="I97" i="10"/>
  <c r="I101" i="10" s="1"/>
  <c r="I215" i="10"/>
  <c r="I222" i="10" s="1"/>
  <c r="I214" i="10"/>
  <c r="I218" i="10" s="1"/>
  <c r="H232" i="10"/>
  <c r="I230" i="10"/>
  <c r="I234" i="10" s="1"/>
  <c r="I12" i="10"/>
  <c r="I16" i="10" s="1"/>
  <c r="I13" i="10"/>
  <c r="I20" i="10" s="1"/>
  <c r="G540" i="10"/>
  <c r="I540" i="10" s="1"/>
  <c r="I544" i="10" s="1"/>
  <c r="F542" i="10"/>
  <c r="I264" i="10"/>
  <c r="I268" i="10" s="1"/>
  <c r="I132" i="10"/>
  <c r="I139" i="10" s="1"/>
  <c r="I131" i="10"/>
  <c r="I135" i="10" s="1"/>
  <c r="H14" i="10"/>
  <c r="J371" i="10"/>
  <c r="G375" i="10" s="1"/>
  <c r="I497" i="10"/>
  <c r="I502" i="10" s="1"/>
  <c r="I498" i="10"/>
  <c r="I506" i="10" s="1"/>
  <c r="I115" i="10"/>
  <c r="I122" i="10" s="1"/>
  <c r="I114" i="10"/>
  <c r="I118" i="10" s="1"/>
  <c r="H82" i="10"/>
  <c r="I80" i="10"/>
  <c r="I84" i="10" s="1"/>
  <c r="J86" i="10" s="1"/>
  <c r="I29" i="10"/>
  <c r="I33" i="10" s="1"/>
  <c r="I30" i="10"/>
  <c r="I37" i="10" s="1"/>
  <c r="H149" i="10"/>
  <c r="I147" i="10"/>
  <c r="I151" i="10" s="1"/>
  <c r="J153" i="10" s="1"/>
  <c r="L332" i="10"/>
  <c r="J288" i="10"/>
  <c r="G292" i="10" s="1"/>
  <c r="I479" i="10"/>
  <c r="I486" i="10" s="1"/>
  <c r="I478" i="10"/>
  <c r="I482" i="10" s="1"/>
  <c r="F21" i="8"/>
  <c r="B21" i="8"/>
  <c r="F20" i="8"/>
  <c r="B20" i="8"/>
  <c r="I22" i="7"/>
  <c r="H22" i="7"/>
  <c r="C22" i="7"/>
  <c r="B22" i="7"/>
  <c r="I21" i="7"/>
  <c r="H21" i="7"/>
  <c r="C21" i="7"/>
  <c r="B21" i="7"/>
  <c r="J20" i="7"/>
  <c r="D20" i="7"/>
  <c r="J19" i="7"/>
  <c r="D19" i="7"/>
  <c r="J18" i="7"/>
  <c r="J22" i="7" s="1"/>
  <c r="D18" i="7"/>
  <c r="D21" i="7" l="1"/>
  <c r="J504" i="10"/>
  <c r="J236" i="10"/>
  <c r="J137" i="10"/>
  <c r="J220" i="10"/>
  <c r="J103" i="10"/>
  <c r="J484" i="10"/>
  <c r="J35" i="10"/>
  <c r="J120" i="10"/>
  <c r="J18" i="10"/>
  <c r="D22" i="7"/>
  <c r="J21" i="7"/>
  <c r="R18" i="6"/>
  <c r="Q18" i="6"/>
  <c r="M18" i="6"/>
  <c r="L18" i="6"/>
  <c r="H18" i="6"/>
  <c r="G18" i="6"/>
  <c r="C18" i="6"/>
  <c r="B18" i="6"/>
  <c r="R17" i="6"/>
  <c r="Q17" i="6"/>
  <c r="M17" i="6"/>
  <c r="L17" i="6"/>
  <c r="H17" i="6"/>
  <c r="G17" i="6"/>
  <c r="C17" i="6"/>
  <c r="B17" i="6"/>
  <c r="S16" i="6"/>
  <c r="N16" i="6"/>
  <c r="I16" i="6"/>
  <c r="D16" i="6"/>
  <c r="S15" i="6"/>
  <c r="N15" i="6"/>
  <c r="I15" i="6"/>
  <c r="D15" i="6"/>
  <c r="S14" i="6"/>
  <c r="S18" i="6" s="1"/>
  <c r="N14" i="6"/>
  <c r="N18" i="6" s="1"/>
  <c r="I14" i="6"/>
  <c r="I18" i="6" s="1"/>
  <c r="D14" i="6"/>
  <c r="D18" i="6" s="1"/>
  <c r="N17" i="6" l="1"/>
  <c r="I17" i="6"/>
  <c r="D17" i="6"/>
  <c r="S17" i="6"/>
  <c r="B12" i="9"/>
  <c r="B11" i="9"/>
  <c r="E12" i="9"/>
  <c r="E11" i="9"/>
  <c r="C11" i="8" l="1"/>
  <c r="B11" i="8"/>
  <c r="C10" i="8"/>
  <c r="B10" i="8"/>
  <c r="F10" i="7"/>
  <c r="E10" i="7"/>
  <c r="C10" i="7"/>
  <c r="B10" i="7"/>
  <c r="F9" i="7"/>
  <c r="E9" i="7"/>
  <c r="C9" i="7"/>
  <c r="B9" i="7"/>
  <c r="G8" i="7"/>
  <c r="D8" i="7"/>
  <c r="G7" i="7"/>
  <c r="D7" i="7"/>
  <c r="D10" i="7" s="1"/>
  <c r="G6" i="7"/>
  <c r="D6" i="7"/>
  <c r="G10" i="7" l="1"/>
  <c r="D9" i="7"/>
  <c r="G9" i="7"/>
  <c r="L8" i="6" l="1"/>
  <c r="K8" i="6"/>
  <c r="I8" i="6"/>
  <c r="H8" i="6"/>
  <c r="F8" i="6"/>
  <c r="E8" i="6"/>
  <c r="C8" i="6"/>
  <c r="B8" i="6"/>
  <c r="L7" i="6"/>
  <c r="K7" i="6"/>
  <c r="I7" i="6"/>
  <c r="H7" i="6"/>
  <c r="F7" i="6"/>
  <c r="E7" i="6"/>
  <c r="C7" i="6"/>
  <c r="B7" i="6"/>
  <c r="M6" i="6"/>
  <c r="J6" i="6"/>
  <c r="G6" i="6"/>
  <c r="D6" i="6"/>
  <c r="M5" i="6"/>
  <c r="J5" i="6"/>
  <c r="G5" i="6"/>
  <c r="D5" i="6"/>
  <c r="M4" i="6"/>
  <c r="M8" i="6" s="1"/>
  <c r="J4" i="6"/>
  <c r="J8" i="6" s="1"/>
  <c r="G4" i="6"/>
  <c r="G8" i="6" s="1"/>
  <c r="D4" i="6"/>
  <c r="D8" i="6" s="1"/>
  <c r="J7" i="6" l="1"/>
  <c r="G7" i="6"/>
  <c r="D7" i="6"/>
  <c r="M7" i="6"/>
  <c r="T27" i="2" l="1"/>
  <c r="T26" i="2"/>
  <c r="U27" i="2"/>
  <c r="U26" i="2"/>
  <c r="S23" i="2"/>
  <c r="S27" i="2" s="1"/>
  <c r="O31" i="2"/>
  <c r="P27" i="2"/>
  <c r="P26" i="2"/>
  <c r="S26" i="2" l="1"/>
  <c r="E34" i="2"/>
  <c r="C34" i="2"/>
  <c r="J21" i="2" l="1"/>
  <c r="K21" i="2"/>
  <c r="L21" i="2"/>
  <c r="J22" i="2"/>
  <c r="K22" i="2"/>
  <c r="L22" i="2"/>
  <c r="J23" i="2"/>
  <c r="J24" i="2" s="1"/>
  <c r="K23" i="2"/>
  <c r="L23" i="2"/>
  <c r="I22" i="2"/>
  <c r="I23" i="2"/>
  <c r="I21" i="2"/>
  <c r="L25" i="2" l="1"/>
  <c r="I25" i="2"/>
  <c r="J25" i="2"/>
  <c r="K24" i="2"/>
  <c r="K25" i="2"/>
  <c r="I24" i="2"/>
  <c r="L24" i="2"/>
  <c r="L15" i="2" l="1"/>
  <c r="K15" i="2"/>
  <c r="J15" i="2"/>
  <c r="I15" i="2"/>
  <c r="J8" i="2"/>
  <c r="I8" i="2"/>
  <c r="K8" i="2" l="1"/>
  <c r="L8" i="2" l="1"/>
</calcChain>
</file>

<file path=xl/sharedStrings.xml><?xml version="1.0" encoding="utf-8"?>
<sst xmlns="http://schemas.openxmlformats.org/spreadsheetml/2006/main" count="992" uniqueCount="177">
  <si>
    <t>dilution</t>
  </si>
  <si>
    <t>counts</t>
  </si>
  <si>
    <t>CFU/mL</t>
  </si>
  <si>
    <t>Log titer</t>
  </si>
  <si>
    <t>total per</t>
  </si>
  <si>
    <t xml:space="preserve">Spike control </t>
  </si>
  <si>
    <t>mL retentate</t>
  </si>
  <si>
    <t>spores/mL</t>
  </si>
  <si>
    <t xml:space="preserve">% recovery </t>
  </si>
  <si>
    <t>2ml</t>
  </si>
  <si>
    <t>spike</t>
  </si>
  <si>
    <t>UF side port spiked turbid water</t>
  </si>
  <si>
    <t>Total/mL</t>
  </si>
  <si>
    <t>Spiked turb. Filter</t>
  </si>
  <si>
    <t>cut the filter open and put filter in a bag with 250ml elution sol. And stomached it for 60 sec on normal</t>
  </si>
  <si>
    <t>Dead end side port spiked turbid water</t>
  </si>
  <si>
    <t xml:space="preserve"> Volume (mL)</t>
  </si>
  <si>
    <t>avg</t>
  </si>
  <si>
    <t>btl wts.</t>
  </si>
  <si>
    <t>Second Filter wash</t>
  </si>
  <si>
    <t>cut the filter open and put filter in a bag with volume from the retentate bottle.</t>
  </si>
  <si>
    <t xml:space="preserve"> And stomached it for 60 sec on normal.  Second wash with 250 ml, kept separate from first.</t>
  </si>
  <si>
    <t>UF side port spiked tap water</t>
  </si>
  <si>
    <t>Summary of the tests</t>
  </si>
  <si>
    <t>UF filter with 250ml E.S.</t>
  </si>
  <si>
    <t>UF filter with Retentate</t>
  </si>
  <si>
    <t>UF filter 2nd wash</t>
  </si>
  <si>
    <t>Dead end with 250 E.S.</t>
  </si>
  <si>
    <t>Dead end with 250 E.S. pre blocked</t>
  </si>
  <si>
    <t>Controls</t>
  </si>
  <si>
    <t>Blank</t>
  </si>
  <si>
    <t>Percent Recoveries</t>
  </si>
  <si>
    <t xml:space="preserve">UF Spiked Tap water </t>
  </si>
  <si>
    <t>A</t>
  </si>
  <si>
    <t>B</t>
  </si>
  <si>
    <t>C</t>
  </si>
  <si>
    <t>Average</t>
  </si>
  <si>
    <t>Total Suspended solids (mg)</t>
  </si>
  <si>
    <t xml:space="preserve">Reps. </t>
  </si>
  <si>
    <t>Second wash with 250 ml, kept separate from first.</t>
  </si>
  <si>
    <t>Dead end 2nd wash</t>
  </si>
  <si>
    <t xml:space="preserve">150mg TSS </t>
  </si>
  <si>
    <t xml:space="preserve">100mg TSS </t>
  </si>
  <si>
    <t xml:space="preserve">50mg TSS </t>
  </si>
  <si>
    <t>Spiked tap Filter</t>
  </si>
  <si>
    <t>Second Wash</t>
  </si>
  <si>
    <t>Percent Spore Recovery from UF filter with Retentate</t>
  </si>
  <si>
    <t>Total</t>
  </si>
  <si>
    <t>SD</t>
  </si>
  <si>
    <t xml:space="preserve">First </t>
  </si>
  <si>
    <t>Note: first time using the side port thingys</t>
  </si>
  <si>
    <t xml:space="preserve"> cut the filter open and put filter in a bag with volume from the retentate bottle.</t>
  </si>
  <si>
    <t>2 ml</t>
  </si>
  <si>
    <t>5 ml</t>
  </si>
  <si>
    <t>sum</t>
  </si>
  <si>
    <t xml:space="preserve"> And stomached it for 60 sec on normal.  Second wash with 250 ml. Combined both washes and took the 25 ml from this.</t>
  </si>
  <si>
    <t xml:space="preserve">Heat treated 25 ml aliquot for 1 hour. </t>
  </si>
  <si>
    <t>Spiked turb. Combo</t>
  </si>
  <si>
    <t>1ml</t>
  </si>
  <si>
    <t>total combined</t>
  </si>
  <si>
    <t>MS2 virus check</t>
  </si>
  <si>
    <t xml:space="preserve">Spike concentration </t>
  </si>
  <si>
    <t>Volume (mL)</t>
  </si>
  <si>
    <t>UF side port spiked turbid water (MS2)</t>
  </si>
  <si>
    <t xml:space="preserve"> And stomached it for 60 sec on normal.  Second wash with 250 ml was combined with the first.</t>
  </si>
  <si>
    <t>volumes</t>
  </si>
  <si>
    <t>final</t>
  </si>
  <si>
    <t>retentate</t>
  </si>
  <si>
    <t>initial</t>
  </si>
  <si>
    <t>2nd wash +filter</t>
  </si>
  <si>
    <t xml:space="preserve">Note: The MS2 was added just before the Na thio. </t>
  </si>
  <si>
    <t xml:space="preserve">the chlorine might have killed the virus. </t>
  </si>
  <si>
    <t>Avg spike</t>
  </si>
  <si>
    <t>Spike of ~74K MS2</t>
  </si>
  <si>
    <t>UF filter, retentate, 2nd wash</t>
  </si>
  <si>
    <t xml:space="preserve">Avg. </t>
  </si>
  <si>
    <t>Phi8 titer check</t>
  </si>
  <si>
    <t xml:space="preserve">2ml </t>
  </si>
  <si>
    <t>UF side port spiked turbid water (Phi 8)</t>
  </si>
  <si>
    <t xml:space="preserve">Note: No plagaes were formed on any plate. </t>
  </si>
  <si>
    <t>UF side port turbid water then spiked retentate (Phi 8)</t>
  </si>
  <si>
    <t>2ml of 10-3 dilution added to retentate, sat for 10 minutes</t>
  </si>
  <si>
    <t>Phi6 titer check</t>
  </si>
  <si>
    <t>.75 ml</t>
  </si>
  <si>
    <t>PFU/mL</t>
  </si>
  <si>
    <t>1st wash</t>
  </si>
  <si>
    <t>2nd wash (250mL)</t>
  </si>
  <si>
    <t>Percent MS2 Recovery from UF filter with Retentate</t>
  </si>
  <si>
    <t>per plate</t>
  </si>
  <si>
    <t>Spike of ~100K Bg spores</t>
  </si>
  <si>
    <t xml:space="preserve">btls wts. </t>
  </si>
  <si>
    <t>Bacillus globiggii spore prep. Titer check</t>
  </si>
  <si>
    <t>ml</t>
  </si>
  <si>
    <t>Note: nothing grew on the spike control plates.  No Bg was seen in the exp. Plates</t>
  </si>
  <si>
    <t xml:space="preserve">Plates we allowed to set at room temperature for 24 h after the 24 hour incubation and a recount performed. </t>
  </si>
  <si>
    <t>A few more colonies were found and recovery went from 31.93% to 33.77%.</t>
  </si>
  <si>
    <t>differences</t>
  </si>
  <si>
    <t>wt. of Btl</t>
  </si>
  <si>
    <t xml:space="preserve">750mg TSS </t>
  </si>
  <si>
    <t>and 2nd wash</t>
  </si>
  <si>
    <t xml:space="preserve">Trial </t>
  </si>
  <si>
    <t>% Recovery</t>
  </si>
  <si>
    <t>Std. dev.</t>
  </si>
  <si>
    <t>Avg.</t>
  </si>
  <si>
    <t>Dead End Filtration</t>
  </si>
  <si>
    <t>Recovery at 150 mg/l solids level</t>
  </si>
  <si>
    <t>Bg spores, tangential flow</t>
  </si>
  <si>
    <t>Trial</t>
  </si>
  <si>
    <t>Std. Dev.</t>
  </si>
  <si>
    <t>Flow</t>
  </si>
  <si>
    <t>Bg, Tangential</t>
  </si>
  <si>
    <t>MS2 Tangential</t>
  </si>
  <si>
    <t>2nd wash</t>
  </si>
  <si>
    <t>50 mg solids/liter</t>
  </si>
  <si>
    <t>100 mg solids/liter</t>
  </si>
  <si>
    <t>150 mg solids/liter</t>
  </si>
  <si>
    <t>Tap water (0 mg solids/liter )</t>
  </si>
  <si>
    <t>Table N+3</t>
  </si>
  <si>
    <t>Bg, Dead end</t>
  </si>
  <si>
    <t>750 mg solids/liter</t>
  </si>
  <si>
    <t>phi 6</t>
  </si>
  <si>
    <t>phi 174</t>
  </si>
  <si>
    <t>did not survive matrix</t>
  </si>
  <si>
    <t xml:space="preserve">MS2 </t>
  </si>
  <si>
    <t>w/Recirc.</t>
  </si>
  <si>
    <t>Axial Flow with Recirculation</t>
  </si>
  <si>
    <t>Dead- End Axial Flow</t>
  </si>
  <si>
    <t>Target spike: 100,000 spores/51 liters</t>
  </si>
  <si>
    <t xml:space="preserve"> and 150 mg solids/liter Dead End Axial Flow target spike: 100,000 spores/51 liters</t>
  </si>
  <si>
    <t>Recovery of Bacteriophage, target spike: 100,000 phage/51 liters, 150 mg solids/liter</t>
  </si>
  <si>
    <t>B. globigii</t>
  </si>
  <si>
    <t>Axial Flow</t>
  </si>
  <si>
    <r>
      <t xml:space="preserve">Table 2. Percent Recovery of </t>
    </r>
    <r>
      <rPr>
        <b/>
        <i/>
        <sz val="11"/>
        <color theme="1"/>
        <rFont val="Calibri"/>
        <family val="2"/>
        <scheme val="minor"/>
      </rPr>
      <t>B. globigii</t>
    </r>
    <r>
      <rPr>
        <b/>
        <sz val="11"/>
        <color theme="1"/>
        <rFont val="Calibri"/>
        <family val="2"/>
        <scheme val="minor"/>
      </rPr>
      <t xml:space="preserve"> spores. Axial Flow with Recirculation. Target spike: 100,000 spores/51 liters</t>
    </r>
  </si>
  <si>
    <t>Table 5</t>
  </si>
  <si>
    <r>
      <t xml:space="preserve">Table 4. Percent Recovery of </t>
    </r>
    <r>
      <rPr>
        <b/>
        <i/>
        <sz val="11"/>
        <color theme="1"/>
        <rFont val="Calibri"/>
        <family val="2"/>
        <scheme val="minor"/>
      </rPr>
      <t>B. globigii</t>
    </r>
    <r>
      <rPr>
        <b/>
        <sz val="11"/>
        <color theme="1"/>
        <rFont val="Calibri"/>
        <family val="2"/>
        <scheme val="minor"/>
      </rPr>
      <t xml:space="preserve"> spores, 750 mg solids/liter,</t>
    </r>
  </si>
  <si>
    <r>
      <t xml:space="preserve">Table 3. Percent Recovery of </t>
    </r>
    <r>
      <rPr>
        <b/>
        <i/>
        <sz val="11"/>
        <color theme="1"/>
        <rFont val="Calibri"/>
        <family val="2"/>
        <scheme val="minor"/>
      </rPr>
      <t>B. globigii</t>
    </r>
    <r>
      <rPr>
        <b/>
        <sz val="11"/>
        <color theme="1"/>
        <rFont val="Calibri"/>
        <family val="2"/>
        <scheme val="minor"/>
      </rPr>
      <t xml:space="preserve"> spores, Axial Flow, Dead End and with Recirculation. </t>
    </r>
  </si>
  <si>
    <t>Link</t>
  </si>
  <si>
    <t>Total %</t>
  </si>
  <si>
    <t xml:space="preserve">Note: changed the equation of the CFU/mL to include the 0.1ml that is plated. Previously the dilution concentration was just changed. </t>
  </si>
  <si>
    <t>2nd wt.</t>
  </si>
  <si>
    <t>diff.</t>
  </si>
  <si>
    <t>A few more colonies were found and recovery went from 28.57% to 30.63%, and 11.97% to 13.64%</t>
  </si>
  <si>
    <t>A few more colonies were found and recovery went from 29.24% to 31.74%, unchanged for the 2nd wash.</t>
  </si>
  <si>
    <t>A few more colonies were found and recovery went from 63.44 % to 80.08% with original spike control.</t>
  </si>
  <si>
    <t xml:space="preserve">4/17/18 The spike control was diluted out and plated again and the second set are the results. </t>
  </si>
  <si>
    <t>Spiked turb. Filter (new counts)</t>
  </si>
  <si>
    <t>Second wash with 250 ml</t>
  </si>
  <si>
    <t>A few more colonies were found and recovery went from  35.10% to 37.70%</t>
  </si>
  <si>
    <t>Dead end side port blank tap water</t>
  </si>
  <si>
    <t>tap water blank Filter</t>
  </si>
  <si>
    <t>Dead end side port filter from Idaho</t>
  </si>
  <si>
    <t>10^0</t>
  </si>
  <si>
    <t>UF side port no spike turbid water control</t>
  </si>
  <si>
    <t>Run #1</t>
  </si>
  <si>
    <t>Retentate volume</t>
  </si>
  <si>
    <t>Total Volume</t>
  </si>
  <si>
    <t>Volume of 250 ml second wash plus filter volume</t>
  </si>
  <si>
    <t>Filter volume</t>
  </si>
  <si>
    <t>Blank turb. Filter</t>
  </si>
  <si>
    <t>Run #2</t>
  </si>
  <si>
    <t>3/15/18 1500 mg/L solids test with the concentrator.  133.95 g of sediment was added.</t>
  </si>
  <si>
    <t>1ml of 10-4 dilution, 51 L tap, 150 mg solids.</t>
  </si>
  <si>
    <t>1ml of 10-4 dilution, 150 mg solids, 51 L tap, Blocked the filter for 3 min</t>
  </si>
  <si>
    <t xml:space="preserve">1ml of 10-4 dilution, 50 mg solids, 51 L tap, </t>
  </si>
  <si>
    <t xml:space="preserve">1ml of 10-4 dilution, 100 mg solids, 51 L tap, </t>
  </si>
  <si>
    <t>1ml of 10-4 dilution, 51 L tap, cut the filter open and put filter in a bag with volume from the retentate bottle.</t>
  </si>
  <si>
    <t xml:space="preserve">1ml of 10-4 dilution, 150 mg solids, 51 L tap, </t>
  </si>
  <si>
    <t xml:space="preserve">1ml of 10-6 dilution, 150 mg solids, 51 L tap, </t>
  </si>
  <si>
    <t>1ml of 10-6 dilution, 150 mg solids, 51 L tap, 10ml Na Thio.</t>
  </si>
  <si>
    <t>1ml of 10-3 dilution, 150 mg solids, 51 L tap, 10ml Na Thio.</t>
  </si>
  <si>
    <t>2ml of 10-3 dilution, 150 mg solids, 51 L tap, 10ml Na Thio.</t>
  </si>
  <si>
    <t xml:space="preserve"> 150 mg solids, 51 L tap, 10ml Na Thio. (Note the turbid blank run was ran on 11/2)</t>
  </si>
  <si>
    <t>1ml of 10-4 dilution, 750 mg/L solids (66.97g) , 51 L tap, Blocked the filter for 3 min</t>
  </si>
  <si>
    <t>2ml of 10-5 dilution, 750 mg/L solids (66.97g) , 51 L tap, Blocked the filter for 3 min</t>
  </si>
  <si>
    <t>2ml of 10-5 dilution, 150 mg solids (13.4g), 51 L tap, Blocked the filter for 3 min</t>
  </si>
  <si>
    <t>51 L tap, Blocked the filter for 3 min</t>
  </si>
  <si>
    <t>150 mg solids, 51 L tap, 10ml Na Thio.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</si>
</sst>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left"/>
    </xf>
    <xf numFmtId="2" fontId="0" fillId="0" borderId="3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0" fillId="6" borderId="0" xfId="0" applyNumberFormat="1" applyFill="1"/>
    <xf numFmtId="0" fontId="0" fillId="6" borderId="0" xfId="0" applyFill="1"/>
    <xf numFmtId="0" fontId="0" fillId="0" borderId="4" xfId="0" applyBorder="1"/>
    <xf numFmtId="0" fontId="0" fillId="0" borderId="5" xfId="0" applyBorder="1"/>
    <xf numFmtId="0" fontId="0" fillId="7" borderId="3" xfId="0" applyFill="1" applyBorder="1"/>
    <xf numFmtId="2" fontId="0" fillId="7" borderId="3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1" fillId="0" borderId="8" xfId="0" applyFont="1" applyFill="1" applyBorder="1" applyAlignment="1">
      <alignment horizontal="left"/>
    </xf>
    <xf numFmtId="0" fontId="0" fillId="0" borderId="9" xfId="0" applyBorder="1"/>
    <xf numFmtId="0" fontId="0" fillId="0" borderId="3" xfId="0" applyBorder="1" applyAlignment="1">
      <alignment horizontal="left"/>
    </xf>
    <xf numFmtId="11" fontId="0" fillId="3" borderId="3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3" xfId="0" applyNumberFormat="1" applyBorder="1"/>
    <xf numFmtId="9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7" borderId="3" xfId="0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164" fontId="0" fillId="0" borderId="3" xfId="0" applyNumberFormat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0" xfId="0" applyFont="1"/>
    <xf numFmtId="164" fontId="0" fillId="0" borderId="1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/>
    <xf numFmtId="0" fontId="3" fillId="0" borderId="4" xfId="0" applyFont="1" applyBorder="1"/>
    <xf numFmtId="0" fontId="3" fillId="0" borderId="20" xfId="0" applyFont="1" applyBorder="1"/>
    <xf numFmtId="0" fontId="3" fillId="0" borderId="14" xfId="0" applyFont="1" applyBorder="1"/>
    <xf numFmtId="0" fontId="3" fillId="0" borderId="25" xfId="0" applyFont="1" applyBorder="1" applyAlignment="1">
      <alignment horizontal="centerContinuous"/>
    </xf>
    <xf numFmtId="0" fontId="4" fillId="0" borderId="26" xfId="0" applyFont="1" applyBorder="1" applyAlignment="1">
      <alignment horizontal="centerContinuous"/>
    </xf>
    <xf numFmtId="0" fontId="4" fillId="0" borderId="27" xfId="0" applyFont="1" applyBorder="1" applyAlignment="1">
      <alignment horizontal="centerContinuous"/>
    </xf>
    <xf numFmtId="0" fontId="4" fillId="0" borderId="28" xfId="0" applyFont="1" applyBorder="1" applyAlignment="1">
      <alignment horizontal="centerContinuous"/>
    </xf>
    <xf numFmtId="0" fontId="4" fillId="0" borderId="29" xfId="0" applyFont="1" applyBorder="1" applyAlignment="1">
      <alignment horizontal="centerContinuous"/>
    </xf>
    <xf numFmtId="2" fontId="3" fillId="0" borderId="19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1" xfId="0" applyFont="1" applyBorder="1" applyAlignment="1">
      <alignment horizontal="centerContinuous"/>
    </xf>
    <xf numFmtId="0" fontId="0" fillId="0" borderId="27" xfId="0" applyBorder="1"/>
    <xf numFmtId="0" fontId="0" fillId="0" borderId="29" xfId="0" applyBorder="1"/>
    <xf numFmtId="0" fontId="0" fillId="0" borderId="26" xfId="0" applyBorder="1"/>
    <xf numFmtId="0" fontId="0" fillId="0" borderId="28" xfId="0" applyBorder="1"/>
    <xf numFmtId="0" fontId="4" fillId="0" borderId="29" xfId="0" applyFont="1" applyBorder="1" applyAlignment="1"/>
    <xf numFmtId="0" fontId="4" fillId="0" borderId="30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3" fillId="0" borderId="38" xfId="0" applyFont="1" applyBorder="1" applyAlignment="1"/>
    <xf numFmtId="164" fontId="0" fillId="0" borderId="3" xfId="0" applyNumberFormat="1" applyBorder="1" applyAlignment="1">
      <alignment horizontal="centerContinuous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39" xfId="0" applyFont="1" applyBorder="1" applyAlignment="1">
      <alignment horizontal="center"/>
    </xf>
    <xf numFmtId="14" fontId="9" fillId="0" borderId="0" xfId="1" applyNumberFormat="1"/>
    <xf numFmtId="14" fontId="9" fillId="0" borderId="0" xfId="1" quotePrefix="1" applyNumberFormat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left"/>
    </xf>
    <xf numFmtId="0" fontId="4" fillId="0" borderId="43" xfId="0" applyFont="1" applyBorder="1" applyAlignment="1"/>
    <xf numFmtId="0" fontId="7" fillId="0" borderId="44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123825</xdr:rowOff>
    </xdr:from>
    <xdr:to>
      <xdr:col>17</xdr:col>
      <xdr:colOff>0</xdr:colOff>
      <xdr:row>10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730AEF9-3323-4BA5-847B-D44BA349C754}"/>
            </a:ext>
          </a:extLst>
        </xdr:cNvPr>
        <xdr:cNvCxnSpPr/>
      </xdr:nvCxnSpPr>
      <xdr:spPr>
        <a:xfrm>
          <a:off x="7667625" y="323850"/>
          <a:ext cx="2962275" cy="1800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</xdr:row>
      <xdr:rowOff>95250</xdr:rowOff>
    </xdr:from>
    <xdr:to>
      <xdr:col>12</xdr:col>
      <xdr:colOff>38100</xdr:colOff>
      <xdr:row>10</xdr:row>
      <xdr:rowOff>161925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DFD1A66-0A89-4B78-ADE7-1107E59C0361}"/>
            </a:ext>
          </a:extLst>
        </xdr:cNvPr>
        <xdr:cNvCxnSpPr/>
      </xdr:nvCxnSpPr>
      <xdr:spPr>
        <a:xfrm>
          <a:off x="5724525" y="295275"/>
          <a:ext cx="1790700" cy="1809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</xdr:row>
      <xdr:rowOff>142875</xdr:rowOff>
    </xdr:from>
    <xdr:to>
      <xdr:col>6</xdr:col>
      <xdr:colOff>9525</xdr:colOff>
      <xdr:row>10</xdr:row>
      <xdr:rowOff>180975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8A590D3-9560-4F66-843D-B899658F508F}"/>
            </a:ext>
          </a:extLst>
        </xdr:cNvPr>
        <xdr:cNvCxnSpPr/>
      </xdr:nvCxnSpPr>
      <xdr:spPr>
        <a:xfrm>
          <a:off x="3219450" y="342900"/>
          <a:ext cx="485775" cy="1781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66676</xdr:colOff>
      <xdr:row>1</xdr:row>
      <xdr:rowOff>142875</xdr:rowOff>
    </xdr:from>
    <xdr:to>
      <xdr:col>1</xdr:col>
      <xdr:colOff>152400</xdr:colOff>
      <xdr:row>11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6D2D770-E768-46D4-A2A3-ACF1CF2D4D78}"/>
            </a:ext>
          </a:extLst>
        </xdr:cNvPr>
        <xdr:cNvCxnSpPr/>
      </xdr:nvCxnSpPr>
      <xdr:spPr>
        <a:xfrm flipH="1">
          <a:off x="676276" y="342900"/>
          <a:ext cx="85724" cy="1943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28575</xdr:rowOff>
    </xdr:from>
    <xdr:to>
      <xdr:col>1</xdr:col>
      <xdr:colOff>323851</xdr:colOff>
      <xdr:row>14</xdr:row>
      <xdr:rowOff>95250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7C33DBD-DD51-4EB7-9587-9B20A7B29AAA}"/>
            </a:ext>
          </a:extLst>
        </xdr:cNvPr>
        <xdr:cNvCxnSpPr/>
      </xdr:nvCxnSpPr>
      <xdr:spPr>
        <a:xfrm flipH="1">
          <a:off x="381000" y="619125"/>
          <a:ext cx="552451" cy="2200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342901</xdr:colOff>
      <xdr:row>2</xdr:row>
      <xdr:rowOff>142875</xdr:rowOff>
    </xdr:from>
    <xdr:to>
      <xdr:col>7</xdr:col>
      <xdr:colOff>57150</xdr:colOff>
      <xdr:row>14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DAD9BFB-290C-40D9-B714-65E07F7968DA}"/>
            </a:ext>
          </a:extLst>
        </xdr:cNvPr>
        <xdr:cNvCxnSpPr/>
      </xdr:nvCxnSpPr>
      <xdr:spPr>
        <a:xfrm>
          <a:off x="2781301" y="533400"/>
          <a:ext cx="1581149" cy="2228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47625</xdr:rowOff>
    </xdr:from>
    <xdr:to>
      <xdr:col>1</xdr:col>
      <xdr:colOff>200025</xdr:colOff>
      <xdr:row>13</xdr:row>
      <xdr:rowOff>171450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0B92797-F0FF-48AF-B013-C7043EEDEED3}"/>
            </a:ext>
          </a:extLst>
        </xdr:cNvPr>
        <xdr:cNvCxnSpPr/>
      </xdr:nvCxnSpPr>
      <xdr:spPr>
        <a:xfrm>
          <a:off x="752475" y="819150"/>
          <a:ext cx="57150" cy="1866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4</xdr:row>
      <xdr:rowOff>76200</xdr:rowOff>
    </xdr:from>
    <xdr:to>
      <xdr:col>5</xdr:col>
      <xdr:colOff>152399</xdr:colOff>
      <xdr:row>14</xdr:row>
      <xdr:rowOff>57150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978CA98-D95E-4559-A4C0-9174B8C4409E}"/>
            </a:ext>
          </a:extLst>
        </xdr:cNvPr>
        <xdr:cNvCxnSpPr/>
      </xdr:nvCxnSpPr>
      <xdr:spPr>
        <a:xfrm>
          <a:off x="1809750" y="847725"/>
          <a:ext cx="2124074" cy="1924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9525</xdr:rowOff>
    </xdr:from>
    <xdr:to>
      <xdr:col>1</xdr:col>
      <xdr:colOff>400050</xdr:colOff>
      <xdr:row>15</xdr:row>
      <xdr:rowOff>95250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236EAF1-9393-464C-B21D-C29E6083DF01}"/>
            </a:ext>
          </a:extLst>
        </xdr:cNvPr>
        <xdr:cNvCxnSpPr/>
      </xdr:nvCxnSpPr>
      <xdr:spPr>
        <a:xfrm flipH="1">
          <a:off x="942975" y="781050"/>
          <a:ext cx="161925" cy="2209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</xdr:row>
      <xdr:rowOff>9525</xdr:rowOff>
    </xdr:from>
    <xdr:to>
      <xdr:col>4</xdr:col>
      <xdr:colOff>171450</xdr:colOff>
      <xdr:row>14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6603941-EA90-4639-BC6A-7EC5243A3FDA}"/>
            </a:ext>
          </a:extLst>
        </xdr:cNvPr>
        <xdr:cNvCxnSpPr/>
      </xdr:nvCxnSpPr>
      <xdr:spPr>
        <a:xfrm>
          <a:off x="3533775" y="971550"/>
          <a:ext cx="57150" cy="1895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workbookViewId="0">
      <selection activeCell="T15" sqref="T15"/>
    </sheetView>
  </sheetViews>
  <sheetFormatPr defaultRowHeight="15" x14ac:dyDescent="0.25"/>
  <cols>
    <col min="5" max="5" width="9.7109375" bestFit="1" customWidth="1"/>
    <col min="9" max="9" width="9.7109375" bestFit="1" customWidth="1"/>
    <col min="10" max="10" width="10.42578125" customWidth="1"/>
    <col min="15" max="15" width="9.7109375" bestFit="1" customWidth="1"/>
    <col min="16" max="16" width="10.140625" customWidth="1"/>
    <col min="20" max="20" width="9.7109375" bestFit="1" customWidth="1"/>
    <col min="21" max="21" width="10" customWidth="1"/>
  </cols>
  <sheetData>
    <row r="1" spans="1:20" ht="15.75" thickBot="1" x14ac:dyDescent="0.3">
      <c r="A1" s="72" t="s">
        <v>132</v>
      </c>
    </row>
    <row r="2" spans="1:20" ht="15.75" thickBot="1" x14ac:dyDescent="0.3">
      <c r="A2" s="108"/>
      <c r="B2" s="109" t="s">
        <v>116</v>
      </c>
      <c r="C2" s="110"/>
      <c r="D2" s="111"/>
      <c r="E2" s="109" t="s">
        <v>113</v>
      </c>
      <c r="F2" s="110"/>
      <c r="G2" s="111"/>
      <c r="H2" s="109" t="s">
        <v>114</v>
      </c>
      <c r="I2" s="110"/>
      <c r="J2" s="111"/>
      <c r="K2" s="109" t="s">
        <v>115</v>
      </c>
      <c r="L2" s="110"/>
      <c r="M2" s="112"/>
    </row>
    <row r="3" spans="1:20" x14ac:dyDescent="0.25">
      <c r="A3" s="103" t="s">
        <v>107</v>
      </c>
      <c r="B3" s="104" t="s">
        <v>85</v>
      </c>
      <c r="C3" s="105" t="s">
        <v>112</v>
      </c>
      <c r="D3" s="106" t="s">
        <v>47</v>
      </c>
      <c r="E3" s="107" t="s">
        <v>85</v>
      </c>
      <c r="F3" s="104" t="s">
        <v>112</v>
      </c>
      <c r="G3" s="106" t="s">
        <v>47</v>
      </c>
      <c r="H3" s="104" t="s">
        <v>85</v>
      </c>
      <c r="I3" s="104" t="s">
        <v>112</v>
      </c>
      <c r="J3" s="106" t="s">
        <v>47</v>
      </c>
      <c r="K3" s="104" t="s">
        <v>85</v>
      </c>
      <c r="L3" s="104" t="s">
        <v>112</v>
      </c>
      <c r="M3" s="106" t="s">
        <v>47</v>
      </c>
    </row>
    <row r="4" spans="1:20" x14ac:dyDescent="0.25">
      <c r="A4" s="96">
        <v>1</v>
      </c>
      <c r="B4" s="83">
        <v>32.03</v>
      </c>
      <c r="C4" s="85">
        <v>7.75</v>
      </c>
      <c r="D4" s="84">
        <f>B4+C4</f>
        <v>39.78</v>
      </c>
      <c r="E4" s="86">
        <v>27.31</v>
      </c>
      <c r="F4" s="83">
        <v>10.81</v>
      </c>
      <c r="G4" s="84">
        <f>E4+F4</f>
        <v>38.119999999999997</v>
      </c>
      <c r="H4" s="83">
        <v>42.49</v>
      </c>
      <c r="I4" s="83">
        <v>9</v>
      </c>
      <c r="J4" s="84">
        <f>H4+I4</f>
        <v>51.49</v>
      </c>
      <c r="K4" s="83">
        <v>34.36</v>
      </c>
      <c r="L4" s="83">
        <v>14.91</v>
      </c>
      <c r="M4" s="84">
        <f>K4+L4</f>
        <v>49.269999999999996</v>
      </c>
    </row>
    <row r="5" spans="1:20" x14ac:dyDescent="0.25">
      <c r="A5" s="96">
        <v>2</v>
      </c>
      <c r="B5" s="83">
        <v>18.88</v>
      </c>
      <c r="C5" s="85">
        <v>13.24</v>
      </c>
      <c r="D5" s="84">
        <f>B5+C5</f>
        <v>32.119999999999997</v>
      </c>
      <c r="E5" s="86">
        <v>30.47</v>
      </c>
      <c r="F5" s="83">
        <v>10.47</v>
      </c>
      <c r="G5" s="84">
        <f>E5+F5</f>
        <v>40.94</v>
      </c>
      <c r="H5" s="83">
        <v>35.380000000000003</v>
      </c>
      <c r="I5" s="83">
        <v>8.7100000000000009</v>
      </c>
      <c r="J5" s="84">
        <f>H5+I5</f>
        <v>44.09</v>
      </c>
      <c r="K5" s="83">
        <v>39.42</v>
      </c>
      <c r="L5" s="83">
        <v>11.91</v>
      </c>
      <c r="M5" s="84">
        <f>K5+L5</f>
        <v>51.33</v>
      </c>
    </row>
    <row r="6" spans="1:20" ht="15.75" thickBot="1" x14ac:dyDescent="0.3">
      <c r="A6" s="97">
        <v>3</v>
      </c>
      <c r="B6" s="92">
        <v>27.24</v>
      </c>
      <c r="C6" s="93">
        <v>5.85</v>
      </c>
      <c r="D6" s="94">
        <f>B6+C6</f>
        <v>33.089999999999996</v>
      </c>
      <c r="E6" s="95">
        <v>31.8</v>
      </c>
      <c r="F6" s="92">
        <v>5.63</v>
      </c>
      <c r="G6" s="94">
        <f>E6+F6</f>
        <v>37.43</v>
      </c>
      <c r="H6" s="92">
        <v>37.61</v>
      </c>
      <c r="I6" s="92">
        <v>4.9000000000000004</v>
      </c>
      <c r="J6" s="94">
        <f>H6+I6</f>
        <v>42.51</v>
      </c>
      <c r="K6" s="114">
        <v>45.56</v>
      </c>
      <c r="L6" s="114">
        <v>12.07</v>
      </c>
      <c r="M6" s="113">
        <f>K6+L6</f>
        <v>57.63</v>
      </c>
    </row>
    <row r="7" spans="1:20" x14ac:dyDescent="0.25">
      <c r="A7" s="98" t="s">
        <v>103</v>
      </c>
      <c r="B7" s="88">
        <f t="shared" ref="B7:M7" si="0">AVERAGE(B4:B6)</f>
        <v>26.049999999999997</v>
      </c>
      <c r="C7" s="89">
        <f t="shared" si="0"/>
        <v>8.9466666666666672</v>
      </c>
      <c r="D7" s="90">
        <f t="shared" si="0"/>
        <v>34.99666666666667</v>
      </c>
      <c r="E7" s="91">
        <f t="shared" si="0"/>
        <v>29.86</v>
      </c>
      <c r="F7" s="88">
        <f t="shared" si="0"/>
        <v>8.9700000000000006</v>
      </c>
      <c r="G7" s="90">
        <f t="shared" si="0"/>
        <v>38.830000000000005</v>
      </c>
      <c r="H7" s="88">
        <f t="shared" si="0"/>
        <v>38.493333333333332</v>
      </c>
      <c r="I7" s="88">
        <f t="shared" si="0"/>
        <v>7.5366666666666662</v>
      </c>
      <c r="J7" s="90">
        <f t="shared" si="0"/>
        <v>46.03</v>
      </c>
      <c r="K7" s="88">
        <f t="shared" si="0"/>
        <v>39.78</v>
      </c>
      <c r="L7" s="88">
        <f t="shared" si="0"/>
        <v>12.963333333333333</v>
      </c>
      <c r="M7" s="90">
        <f t="shared" si="0"/>
        <v>52.743333333333332</v>
      </c>
    </row>
    <row r="8" spans="1:20" ht="15.75" thickBot="1" x14ac:dyDescent="0.3">
      <c r="A8" s="99" t="s">
        <v>108</v>
      </c>
      <c r="B8" s="100">
        <f t="shared" ref="B8:L8" si="1">STDEV(B4:B6)</f>
        <v>6.6552761024618716</v>
      </c>
      <c r="C8" s="101">
        <f t="shared" si="1"/>
        <v>3.8375817037990618</v>
      </c>
      <c r="D8" s="87">
        <f t="shared" si="1"/>
        <v>4.1707832997331993</v>
      </c>
      <c r="E8" s="102">
        <f t="shared" si="1"/>
        <v>2.3063174109389202</v>
      </c>
      <c r="F8" s="100">
        <f t="shared" si="1"/>
        <v>2.8975161776942682</v>
      </c>
      <c r="G8" s="87">
        <f t="shared" si="1"/>
        <v>1.8595967304767982</v>
      </c>
      <c r="H8" s="100">
        <f t="shared" si="1"/>
        <v>3.636376401492746</v>
      </c>
      <c r="I8" s="100">
        <f t="shared" si="1"/>
        <v>2.2880195220612376</v>
      </c>
      <c r="J8" s="87">
        <f t="shared" si="1"/>
        <v>4.7940379639715003</v>
      </c>
      <c r="K8" s="100">
        <f t="shared" si="1"/>
        <v>5.6086718570442171</v>
      </c>
      <c r="L8" s="100">
        <f t="shared" si="1"/>
        <v>1.6877598565356791</v>
      </c>
      <c r="M8" s="87">
        <f>STDEV(M4:M6)</f>
        <v>4.3555175735305394</v>
      </c>
    </row>
    <row r="10" spans="1:20" x14ac:dyDescent="0.25">
      <c r="A10" s="72" t="s">
        <v>132</v>
      </c>
    </row>
    <row r="11" spans="1:20" ht="15.75" thickBot="1" x14ac:dyDescent="0.3"/>
    <row r="12" spans="1:20" ht="15.75" thickBot="1" x14ac:dyDescent="0.3">
      <c r="A12" s="108"/>
      <c r="B12" s="109" t="s">
        <v>116</v>
      </c>
      <c r="C12" s="110"/>
      <c r="D12" s="111"/>
      <c r="E12" t="s">
        <v>136</v>
      </c>
      <c r="G12" s="109" t="s">
        <v>113</v>
      </c>
      <c r="H12" s="110"/>
      <c r="I12" s="111"/>
      <c r="J12" t="s">
        <v>136</v>
      </c>
      <c r="L12" s="109" t="s">
        <v>114</v>
      </c>
      <c r="M12" s="110"/>
      <c r="N12" s="111"/>
      <c r="O12" t="s">
        <v>136</v>
      </c>
      <c r="Q12" s="109" t="s">
        <v>115</v>
      </c>
      <c r="R12" s="110"/>
      <c r="S12" s="112"/>
      <c r="T12" t="s">
        <v>136</v>
      </c>
    </row>
    <row r="13" spans="1:20" x14ac:dyDescent="0.25">
      <c r="A13" s="103" t="s">
        <v>107</v>
      </c>
      <c r="B13" s="104" t="s">
        <v>85</v>
      </c>
      <c r="C13" s="105" t="s">
        <v>112</v>
      </c>
      <c r="D13" s="106" t="s">
        <v>47</v>
      </c>
      <c r="G13" s="107" t="s">
        <v>85</v>
      </c>
      <c r="H13" s="104" t="s">
        <v>112</v>
      </c>
      <c r="I13" s="106" t="s">
        <v>47</v>
      </c>
      <c r="L13" s="104" t="s">
        <v>85</v>
      </c>
      <c r="M13" s="104" t="s">
        <v>112</v>
      </c>
      <c r="N13" s="106" t="s">
        <v>47</v>
      </c>
      <c r="Q13" s="104" t="s">
        <v>85</v>
      </c>
      <c r="R13" s="104" t="s">
        <v>112</v>
      </c>
      <c r="S13" s="106" t="s">
        <v>47</v>
      </c>
    </row>
    <row r="14" spans="1:20" x14ac:dyDescent="0.25">
      <c r="A14" s="96">
        <v>1</v>
      </c>
      <c r="B14" s="83">
        <v>32.03</v>
      </c>
      <c r="C14" s="85">
        <v>7.75</v>
      </c>
      <c r="D14" s="84">
        <f>B14+C14</f>
        <v>39.78</v>
      </c>
      <c r="E14" s="143">
        <v>42793</v>
      </c>
      <c r="G14" s="86">
        <v>27.31</v>
      </c>
      <c r="H14" s="83">
        <v>10.81</v>
      </c>
      <c r="I14" s="84">
        <f>G14+H14</f>
        <v>38.119999999999997</v>
      </c>
      <c r="J14" s="142">
        <v>42754</v>
      </c>
      <c r="L14" s="83">
        <v>42.49</v>
      </c>
      <c r="M14" s="83">
        <v>9</v>
      </c>
      <c r="N14" s="84">
        <f>L14+M14</f>
        <v>51.49</v>
      </c>
      <c r="O14" s="142">
        <v>42765</v>
      </c>
      <c r="Q14" s="83">
        <v>34.36</v>
      </c>
      <c r="R14" s="83">
        <v>14.91</v>
      </c>
      <c r="S14" s="84">
        <f>Q14+R14</f>
        <v>49.269999999999996</v>
      </c>
      <c r="T14" s="142">
        <v>42808</v>
      </c>
    </row>
    <row r="15" spans="1:20" x14ac:dyDescent="0.25">
      <c r="A15" s="96">
        <v>2</v>
      </c>
      <c r="B15" s="83">
        <v>18.88</v>
      </c>
      <c r="C15" s="85">
        <v>13.24</v>
      </c>
      <c r="D15" s="84">
        <f>B15+C15</f>
        <v>32.119999999999997</v>
      </c>
      <c r="E15" s="143">
        <v>42817</v>
      </c>
      <c r="G15" s="86">
        <v>30.47</v>
      </c>
      <c r="H15" s="83">
        <v>10.47</v>
      </c>
      <c r="I15" s="84">
        <f>G15+H15</f>
        <v>40.94</v>
      </c>
      <c r="J15" s="142">
        <v>42760</v>
      </c>
      <c r="L15" s="83">
        <v>35.380000000000003</v>
      </c>
      <c r="M15" s="83">
        <v>8.7100000000000009</v>
      </c>
      <c r="N15" s="84">
        <f>L15+M15</f>
        <v>44.09</v>
      </c>
      <c r="O15" s="143">
        <v>42772</v>
      </c>
      <c r="Q15" s="83">
        <v>39.42</v>
      </c>
      <c r="R15" s="83">
        <v>11.91</v>
      </c>
      <c r="S15" s="84">
        <f>Q15+R15</f>
        <v>51.33</v>
      </c>
      <c r="T15" s="142">
        <v>42744</v>
      </c>
    </row>
    <row r="16" spans="1:20" ht="15.75" thickBot="1" x14ac:dyDescent="0.3">
      <c r="A16" s="97">
        <v>3</v>
      </c>
      <c r="B16" s="92">
        <v>27.24</v>
      </c>
      <c r="C16" s="93">
        <v>5.85</v>
      </c>
      <c r="D16" s="94">
        <f>B16+C16</f>
        <v>33.089999999999996</v>
      </c>
      <c r="E16" s="142">
        <v>42780</v>
      </c>
      <c r="G16" s="95">
        <v>31.8</v>
      </c>
      <c r="H16" s="92">
        <v>5.63</v>
      </c>
      <c r="I16" s="94">
        <f>G16+H16</f>
        <v>37.43</v>
      </c>
      <c r="J16" s="142">
        <v>42789</v>
      </c>
      <c r="L16" s="92">
        <v>37.61</v>
      </c>
      <c r="M16" s="92">
        <v>4.9000000000000004</v>
      </c>
      <c r="N16" s="94">
        <f>L16+M16</f>
        <v>42.51</v>
      </c>
      <c r="O16" s="142">
        <v>42779</v>
      </c>
      <c r="Q16" s="114">
        <v>45.56</v>
      </c>
      <c r="R16" s="114">
        <v>12.07</v>
      </c>
      <c r="S16" s="113">
        <f>Q16+R16</f>
        <v>57.63</v>
      </c>
      <c r="T16" s="142">
        <v>42748</v>
      </c>
    </row>
    <row r="17" spans="1:19" x14ac:dyDescent="0.25">
      <c r="A17" s="98" t="s">
        <v>103</v>
      </c>
      <c r="B17" s="88">
        <f t="shared" ref="B17:D17" si="2">AVERAGE(B14:B16)</f>
        <v>26.049999999999997</v>
      </c>
      <c r="C17" s="89">
        <f t="shared" si="2"/>
        <v>8.9466666666666672</v>
      </c>
      <c r="D17" s="90">
        <f t="shared" si="2"/>
        <v>34.99666666666667</v>
      </c>
      <c r="G17" s="91">
        <f>AVERAGE(G14:G16)</f>
        <v>29.86</v>
      </c>
      <c r="H17" s="88">
        <f>AVERAGE(H14:H16)</f>
        <v>8.9700000000000006</v>
      </c>
      <c r="I17" s="90">
        <f>AVERAGE(I14:I16)</f>
        <v>38.830000000000005</v>
      </c>
      <c r="L17" s="88">
        <f>AVERAGE(L14:L16)</f>
        <v>38.493333333333332</v>
      </c>
      <c r="M17" s="88">
        <f>AVERAGE(M14:M16)</f>
        <v>7.5366666666666662</v>
      </c>
      <c r="N17" s="90">
        <f>AVERAGE(N14:N16)</f>
        <v>46.03</v>
      </c>
      <c r="Q17" s="88">
        <f>AVERAGE(Q14:Q16)</f>
        <v>39.78</v>
      </c>
      <c r="R17" s="88">
        <f>AVERAGE(R14:R16)</f>
        <v>12.963333333333333</v>
      </c>
      <c r="S17" s="90">
        <f>AVERAGE(S14:S16)</f>
        <v>52.743333333333332</v>
      </c>
    </row>
    <row r="18" spans="1:19" ht="15.75" thickBot="1" x14ac:dyDescent="0.3">
      <c r="A18" s="99" t="s">
        <v>108</v>
      </c>
      <c r="B18" s="100">
        <f t="shared" ref="B18:D18" si="3">STDEV(B14:B16)</f>
        <v>6.6552761024618716</v>
      </c>
      <c r="C18" s="101">
        <f t="shared" si="3"/>
        <v>3.8375817037990618</v>
      </c>
      <c r="D18" s="87">
        <f t="shared" si="3"/>
        <v>4.1707832997331993</v>
      </c>
      <c r="G18" s="102">
        <f>STDEV(G14:G16)</f>
        <v>2.3063174109389202</v>
      </c>
      <c r="H18" s="100">
        <f>STDEV(H14:H16)</f>
        <v>2.8975161776942682</v>
      </c>
      <c r="I18" s="87">
        <f>STDEV(I14:I16)</f>
        <v>1.8595967304767982</v>
      </c>
      <c r="L18" s="100">
        <f>STDEV(L14:L16)</f>
        <v>3.636376401492746</v>
      </c>
      <c r="M18" s="100">
        <f>STDEV(M14:M16)</f>
        <v>2.2880195220612376</v>
      </c>
      <c r="N18" s="87">
        <f>STDEV(N14:N16)</f>
        <v>4.7940379639715003</v>
      </c>
      <c r="Q18" s="100">
        <f>STDEV(Q14:Q16)</f>
        <v>5.6086718570442171</v>
      </c>
      <c r="R18" s="100">
        <f>STDEV(R14:R16)</f>
        <v>1.6877598565356791</v>
      </c>
      <c r="S18" s="87">
        <f>STDEV(S14:S16)</f>
        <v>4.3555175735305394</v>
      </c>
    </row>
  </sheetData>
  <hyperlinks>
    <hyperlink ref="T15" location="'Raw Data'!A7" display="'Raw Data'!A7" xr:uid="{00000000-0004-0000-0000-000000000000}"/>
    <hyperlink ref="T16" location="'Raw Data'!A24" display="'Raw Data'!A24" xr:uid="{00000000-0004-0000-0000-000001000000}"/>
    <hyperlink ref="J14" location="'Raw Data'!A58" display="'Raw Data'!A58" xr:uid="{00000000-0004-0000-0000-000002000000}"/>
    <hyperlink ref="J15" location="'Raw Data'!A75" display="'Raw Data'!A75" xr:uid="{00000000-0004-0000-0000-000003000000}"/>
    <hyperlink ref="O14" location="'Raw Data'!A92" display="'Raw Data'!A92" xr:uid="{00000000-0004-0000-0000-000004000000}"/>
    <hyperlink ref="O15" location="'Raw Data'!A109" display="'Raw Data'!A109" xr:uid="{00000000-0004-0000-0000-000005000000}"/>
    <hyperlink ref="O16" location="'Raw Data'!A126" display="'Raw Data'!A126" xr:uid="{00000000-0004-0000-0000-000006000000}"/>
    <hyperlink ref="E16" location="'Raw Data'!A143" display="'Raw Data'!A143" xr:uid="{00000000-0004-0000-0000-000007000000}"/>
    <hyperlink ref="J16" location="'Raw Data'!A176" display="'Raw Data'!A176" xr:uid="{00000000-0004-0000-0000-000008000000}"/>
    <hyperlink ref="T14" location="'Raw Data'!A209" display="'Raw Data'!A209" xr:uid="{00000000-0004-0000-0000-000009000000}"/>
    <hyperlink ref="E15" location="'Raw Data'!A226" display="'Raw Data'!A226" xr:uid="{00000000-0004-0000-0000-00000A000000}"/>
    <hyperlink ref="E14" location="'Raw Data'!A193" display="Raw Data'!A1" xr:uid="{00000000-0004-0000-0000-00000B000000}"/>
  </hyperlinks>
  <pageMargins left="0.7" right="0.7" top="0.45" bottom="0.4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K19" sqref="K19"/>
    </sheetView>
  </sheetViews>
  <sheetFormatPr defaultRowHeight="15" x14ac:dyDescent="0.25"/>
  <cols>
    <col min="5" max="5" width="9.7109375" bestFit="1" customWidth="1"/>
    <col min="11" max="11" width="10.42578125" customWidth="1"/>
  </cols>
  <sheetData>
    <row r="1" spans="1:11" x14ac:dyDescent="0.25">
      <c r="A1" s="72" t="s">
        <v>135</v>
      </c>
    </row>
    <row r="2" spans="1:11" ht="15.75" thickBot="1" x14ac:dyDescent="0.3">
      <c r="A2" s="72" t="s">
        <v>127</v>
      </c>
    </row>
    <row r="3" spans="1:11" ht="15.75" thickBot="1" x14ac:dyDescent="0.3">
      <c r="A3" s="108"/>
      <c r="B3" s="119" t="s">
        <v>126</v>
      </c>
      <c r="C3" s="117"/>
      <c r="D3" s="120"/>
      <c r="E3" s="117" t="s">
        <v>125</v>
      </c>
      <c r="F3" s="117"/>
      <c r="G3" s="118"/>
    </row>
    <row r="4" spans="1:11" ht="15.75" thickBot="1" x14ac:dyDescent="0.3">
      <c r="A4" s="116"/>
      <c r="B4" s="109" t="s">
        <v>115</v>
      </c>
      <c r="C4" s="110"/>
      <c r="D4" s="111"/>
      <c r="E4" s="109" t="s">
        <v>115</v>
      </c>
      <c r="F4" s="110"/>
      <c r="G4" s="112"/>
    </row>
    <row r="5" spans="1:11" x14ac:dyDescent="0.25">
      <c r="A5" s="103" t="s">
        <v>107</v>
      </c>
      <c r="B5" s="104" t="s">
        <v>85</v>
      </c>
      <c r="C5" s="105" t="s">
        <v>112</v>
      </c>
      <c r="D5" s="106" t="s">
        <v>47</v>
      </c>
      <c r="E5" s="104" t="s">
        <v>85</v>
      </c>
      <c r="F5" s="104" t="s">
        <v>112</v>
      </c>
      <c r="G5" s="106" t="s">
        <v>47</v>
      </c>
    </row>
    <row r="6" spans="1:11" x14ac:dyDescent="0.25">
      <c r="A6" s="96">
        <v>1</v>
      </c>
      <c r="B6" s="83">
        <v>36.049999999999997</v>
      </c>
      <c r="C6" s="85">
        <v>10.49</v>
      </c>
      <c r="D6" s="84">
        <f>B6+C6</f>
        <v>46.54</v>
      </c>
      <c r="E6" s="83">
        <v>34.36</v>
      </c>
      <c r="F6" s="83">
        <v>14.91</v>
      </c>
      <c r="G6" s="84">
        <f>E6+F6</f>
        <v>49.269999999999996</v>
      </c>
    </row>
    <row r="7" spans="1:11" x14ac:dyDescent="0.25">
      <c r="A7" s="96">
        <v>2</v>
      </c>
      <c r="B7" s="83">
        <v>30.63</v>
      </c>
      <c r="C7" s="85">
        <v>13.64</v>
      </c>
      <c r="D7" s="84">
        <f>B7+C7</f>
        <v>44.269999999999996</v>
      </c>
      <c r="E7" s="83">
        <v>39.42</v>
      </c>
      <c r="F7" s="83">
        <v>11.91</v>
      </c>
      <c r="G7" s="84">
        <f>E7+F7</f>
        <v>51.33</v>
      </c>
    </row>
    <row r="8" spans="1:11" ht="15.75" thickBot="1" x14ac:dyDescent="0.3">
      <c r="A8" s="97">
        <v>3</v>
      </c>
      <c r="B8" s="92">
        <v>31.74</v>
      </c>
      <c r="C8" s="93">
        <v>8.8800000000000008</v>
      </c>
      <c r="D8" s="94">
        <f>B8+C8</f>
        <v>40.619999999999997</v>
      </c>
      <c r="E8" s="114">
        <v>45.56</v>
      </c>
      <c r="F8" s="114">
        <v>12.07</v>
      </c>
      <c r="G8" s="113">
        <f>E8+F8</f>
        <v>57.63</v>
      </c>
    </row>
    <row r="9" spans="1:11" x14ac:dyDescent="0.25">
      <c r="A9" s="98" t="s">
        <v>103</v>
      </c>
      <c r="B9" s="88">
        <f t="shared" ref="B9:D9" si="0">AVERAGE(B6:B8)</f>
        <v>32.806666666666665</v>
      </c>
      <c r="C9" s="89">
        <f t="shared" si="0"/>
        <v>11.003333333333336</v>
      </c>
      <c r="D9" s="90">
        <f t="shared" si="0"/>
        <v>43.81</v>
      </c>
      <c r="E9" s="88">
        <f>AVERAGE(E6:E8)</f>
        <v>39.78</v>
      </c>
      <c r="F9" s="88">
        <f>AVERAGE(F6:F8)</f>
        <v>12.963333333333333</v>
      </c>
      <c r="G9" s="90">
        <f>AVERAGE(G6:G8)</f>
        <v>52.743333333333332</v>
      </c>
    </row>
    <row r="10" spans="1:11" ht="15.75" thickBot="1" x14ac:dyDescent="0.3">
      <c r="A10" s="99" t="s">
        <v>108</v>
      </c>
      <c r="B10" s="100">
        <f t="shared" ref="B10:D10" si="1">STDEV(B6:B8)</f>
        <v>2.8631160181406075</v>
      </c>
      <c r="C10" s="101">
        <f t="shared" si="1"/>
        <v>2.4211636320854693</v>
      </c>
      <c r="D10" s="87">
        <f t="shared" si="1"/>
        <v>2.9866871279061025</v>
      </c>
      <c r="E10" s="100">
        <f>STDEV(E6:E8)</f>
        <v>5.6086718570442171</v>
      </c>
      <c r="F10" s="100">
        <f>STDEV(F6:F8)</f>
        <v>1.6877598565356791</v>
      </c>
      <c r="G10" s="87">
        <f>STDEV(G6:G8)</f>
        <v>4.3555175735305394</v>
      </c>
    </row>
    <row r="13" spans="1:11" x14ac:dyDescent="0.25">
      <c r="A13" s="72" t="s">
        <v>135</v>
      </c>
    </row>
    <row r="14" spans="1:11" ht="15.75" thickBot="1" x14ac:dyDescent="0.3">
      <c r="A14" s="72" t="s">
        <v>127</v>
      </c>
    </row>
    <row r="15" spans="1:11" ht="15.75" thickBot="1" x14ac:dyDescent="0.3">
      <c r="A15" s="108"/>
      <c r="B15" s="119" t="s">
        <v>126</v>
      </c>
      <c r="C15" s="117"/>
      <c r="D15" s="120"/>
      <c r="E15" t="s">
        <v>136</v>
      </c>
      <c r="H15" s="117" t="s">
        <v>125</v>
      </c>
      <c r="I15" s="117"/>
      <c r="J15" s="118"/>
      <c r="K15" t="s">
        <v>136</v>
      </c>
    </row>
    <row r="16" spans="1:11" ht="15.75" thickBot="1" x14ac:dyDescent="0.3">
      <c r="A16" s="116"/>
      <c r="B16" s="109" t="s">
        <v>115</v>
      </c>
      <c r="C16" s="110"/>
      <c r="D16" s="111"/>
      <c r="H16" s="109" t="s">
        <v>115</v>
      </c>
      <c r="I16" s="110"/>
      <c r="J16" s="112"/>
    </row>
    <row r="17" spans="1:15" x14ac:dyDescent="0.25">
      <c r="A17" s="103" t="s">
        <v>107</v>
      </c>
      <c r="B17" s="104" t="s">
        <v>85</v>
      </c>
      <c r="C17" s="105" t="s">
        <v>112</v>
      </c>
      <c r="D17" s="106" t="s">
        <v>47</v>
      </c>
      <c r="H17" s="104" t="s">
        <v>85</v>
      </c>
      <c r="I17" s="104" t="s">
        <v>112</v>
      </c>
      <c r="J17" s="106" t="s">
        <v>47</v>
      </c>
    </row>
    <row r="18" spans="1:15" x14ac:dyDescent="0.25">
      <c r="A18" s="96">
        <v>1</v>
      </c>
      <c r="B18" s="83">
        <v>36.049999999999997</v>
      </c>
      <c r="C18" s="85">
        <v>10.49</v>
      </c>
      <c r="D18" s="84">
        <f>B18+C18</f>
        <v>46.54</v>
      </c>
      <c r="E18" s="142">
        <v>42751</v>
      </c>
      <c r="H18" s="83">
        <v>34.36</v>
      </c>
      <c r="I18" s="83">
        <v>14.91</v>
      </c>
      <c r="J18" s="84">
        <f>H18+I18</f>
        <v>49.269999999999996</v>
      </c>
      <c r="K18" s="142">
        <v>42808</v>
      </c>
    </row>
    <row r="19" spans="1:15" x14ac:dyDescent="0.25">
      <c r="A19" s="96">
        <v>2</v>
      </c>
      <c r="B19" s="83">
        <v>30.63</v>
      </c>
      <c r="C19" s="85">
        <v>13.64</v>
      </c>
      <c r="D19" s="84">
        <f>B19+C19</f>
        <v>44.269999999999996</v>
      </c>
      <c r="E19" s="143">
        <v>43199</v>
      </c>
      <c r="H19" s="83">
        <v>39.42</v>
      </c>
      <c r="I19" s="83">
        <v>11.91</v>
      </c>
      <c r="J19" s="84">
        <f>H19+I19</f>
        <v>51.33</v>
      </c>
      <c r="K19" s="142">
        <v>42744</v>
      </c>
      <c r="O19" s="142"/>
    </row>
    <row r="20" spans="1:15" ht="15.75" thickBot="1" x14ac:dyDescent="0.3">
      <c r="A20" s="97">
        <v>3</v>
      </c>
      <c r="B20" s="92">
        <v>31.74</v>
      </c>
      <c r="C20" s="93">
        <v>8.8800000000000008</v>
      </c>
      <c r="D20" s="94">
        <f>B20+C20</f>
        <v>40.619999999999997</v>
      </c>
      <c r="E20" s="143">
        <v>43200</v>
      </c>
      <c r="H20" s="114">
        <v>45.56</v>
      </c>
      <c r="I20" s="114">
        <v>12.07</v>
      </c>
      <c r="J20" s="113">
        <f>H20+I20</f>
        <v>57.63</v>
      </c>
      <c r="K20" s="142">
        <v>42748</v>
      </c>
    </row>
    <row r="21" spans="1:15" x14ac:dyDescent="0.25">
      <c r="A21" s="98" t="s">
        <v>103</v>
      </c>
      <c r="B21" s="88">
        <f t="shared" ref="B21:D21" si="2">AVERAGE(B18:B20)</f>
        <v>32.806666666666665</v>
      </c>
      <c r="C21" s="89">
        <f t="shared" si="2"/>
        <v>11.003333333333336</v>
      </c>
      <c r="D21" s="90">
        <f t="shared" si="2"/>
        <v>43.81</v>
      </c>
      <c r="H21" s="88">
        <f>AVERAGE(H18:H20)</f>
        <v>39.78</v>
      </c>
      <c r="I21" s="88">
        <f>AVERAGE(I18:I20)</f>
        <v>12.963333333333333</v>
      </c>
      <c r="J21" s="90">
        <f>AVERAGE(J18:J20)</f>
        <v>52.743333333333332</v>
      </c>
    </row>
    <row r="22" spans="1:15" ht="15.75" thickBot="1" x14ac:dyDescent="0.3">
      <c r="A22" s="99" t="s">
        <v>108</v>
      </c>
      <c r="B22" s="100">
        <f t="shared" ref="B22:D22" si="3">STDEV(B18:B20)</f>
        <v>2.8631160181406075</v>
      </c>
      <c r="C22" s="101">
        <f t="shared" si="3"/>
        <v>2.4211636320854693</v>
      </c>
      <c r="D22" s="87">
        <f t="shared" si="3"/>
        <v>2.9866871279061025</v>
      </c>
      <c r="H22" s="100">
        <f>STDEV(H18:H20)</f>
        <v>5.6086718570442171</v>
      </c>
      <c r="I22" s="100">
        <f>STDEV(I18:I20)</f>
        <v>1.6877598565356791</v>
      </c>
      <c r="J22" s="87">
        <f>STDEV(J18:J20)</f>
        <v>4.3555175735305394</v>
      </c>
    </row>
  </sheetData>
  <hyperlinks>
    <hyperlink ref="E18" location="'Raw Data'!A41" display="'Raw Data'!A41" xr:uid="{00000000-0004-0000-0100-000000000000}"/>
    <hyperlink ref="K19" location="'Raw Data'!A7" display="'Raw Data'!A7" xr:uid="{00000000-0004-0000-0100-000001000000}"/>
    <hyperlink ref="K20" location="'Raw Data'!A24" display="'Raw Data'!A24" xr:uid="{00000000-0004-0000-0100-000002000000}"/>
    <hyperlink ref="K18" location="'Raw Data'!A209" display="'Raw Data'!A209" xr:uid="{00000000-0004-0000-0100-000003000000}"/>
    <hyperlink ref="E19" location="'Raw Data'!A473" display="'Raw Data'!A473" xr:uid="{00000000-0004-0000-0100-000004000000}"/>
    <hyperlink ref="E20" location="'Raw Data'!A492" display="'Raw Data'!A492" xr:uid="{00000000-0004-0000-0100-000005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1"/>
  <sheetViews>
    <sheetView workbookViewId="0">
      <selection activeCell="C17" sqref="C17"/>
    </sheetView>
  </sheetViews>
  <sheetFormatPr defaultRowHeight="15" x14ac:dyDescent="0.25"/>
  <cols>
    <col min="2" max="2" width="14.28515625" customWidth="1"/>
    <col min="3" max="3" width="15" customWidth="1"/>
    <col min="6" max="6" width="15.7109375" customWidth="1"/>
    <col min="7" max="7" width="10.85546875" customWidth="1"/>
  </cols>
  <sheetData>
    <row r="2" spans="1:7" x14ac:dyDescent="0.25">
      <c r="A2" s="72" t="s">
        <v>134</v>
      </c>
    </row>
    <row r="3" spans="1:7" x14ac:dyDescent="0.25">
      <c r="A3" s="72" t="s">
        <v>128</v>
      </c>
    </row>
    <row r="4" spans="1:7" ht="15.75" thickBot="1" x14ac:dyDescent="0.3"/>
    <row r="5" spans="1:7" ht="15.75" thickBot="1" x14ac:dyDescent="0.3">
      <c r="A5" s="127"/>
      <c r="B5" s="122" t="s">
        <v>119</v>
      </c>
      <c r="C5" s="121" t="s">
        <v>115</v>
      </c>
    </row>
    <row r="6" spans="1:7" x14ac:dyDescent="0.25">
      <c r="A6" s="103" t="s">
        <v>107</v>
      </c>
      <c r="B6" s="123" t="s">
        <v>101</v>
      </c>
      <c r="C6" s="124" t="s">
        <v>101</v>
      </c>
    </row>
    <row r="7" spans="1:7" x14ac:dyDescent="0.25">
      <c r="A7" s="96">
        <v>1</v>
      </c>
      <c r="B7" s="65">
        <v>33.770000000000003</v>
      </c>
      <c r="C7" s="125">
        <v>46.54</v>
      </c>
    </row>
    <row r="8" spans="1:7" x14ac:dyDescent="0.25">
      <c r="A8" s="96">
        <v>2</v>
      </c>
      <c r="B8" s="65">
        <v>37.700000000000003</v>
      </c>
      <c r="C8" s="125">
        <v>44.269999999999996</v>
      </c>
    </row>
    <row r="9" spans="1:7" ht="15.75" thickBot="1" x14ac:dyDescent="0.3">
      <c r="A9" s="97">
        <v>3</v>
      </c>
      <c r="B9" s="82">
        <v>43.42</v>
      </c>
      <c r="C9" s="126">
        <v>40.619999999999997</v>
      </c>
    </row>
    <row r="10" spans="1:7" x14ac:dyDescent="0.25">
      <c r="A10" s="98" t="s">
        <v>103</v>
      </c>
      <c r="B10" s="90">
        <f>AVERAGE(B7:B9)</f>
        <v>38.296666666666667</v>
      </c>
      <c r="C10" s="90">
        <f>AVERAGE(C7:C9)</f>
        <v>43.81</v>
      </c>
    </row>
    <row r="11" spans="1:7" ht="15.75" thickBot="1" x14ac:dyDescent="0.3">
      <c r="A11" s="99" t="s">
        <v>108</v>
      </c>
      <c r="B11" s="87">
        <f>STDEV(B7:B9)</f>
        <v>4.8525903735359304</v>
      </c>
      <c r="C11" s="87">
        <f>STDEV(C7:C9)</f>
        <v>2.9866871279061025</v>
      </c>
    </row>
    <row r="14" spans="1:7" ht="15.75" thickBot="1" x14ac:dyDescent="0.3"/>
    <row r="15" spans="1:7" ht="15.75" thickBot="1" x14ac:dyDescent="0.3">
      <c r="A15" s="127"/>
      <c r="B15" s="122" t="s">
        <v>119</v>
      </c>
      <c r="C15" t="s">
        <v>136</v>
      </c>
      <c r="F15" s="149" t="s">
        <v>115</v>
      </c>
      <c r="G15" t="s">
        <v>136</v>
      </c>
    </row>
    <row r="16" spans="1:7" x14ac:dyDescent="0.25">
      <c r="A16" s="103" t="s">
        <v>107</v>
      </c>
      <c r="B16" s="123" t="s">
        <v>101</v>
      </c>
      <c r="F16" s="150" t="s">
        <v>101</v>
      </c>
    </row>
    <row r="17" spans="1:7" x14ac:dyDescent="0.25">
      <c r="A17" s="96">
        <v>1</v>
      </c>
      <c r="B17" s="65">
        <v>33.770000000000003</v>
      </c>
      <c r="C17" s="143">
        <v>43186</v>
      </c>
      <c r="F17" s="151">
        <v>46.54</v>
      </c>
      <c r="G17" s="142">
        <v>42751</v>
      </c>
    </row>
    <row r="18" spans="1:7" x14ac:dyDescent="0.25">
      <c r="A18" s="96">
        <v>2</v>
      </c>
      <c r="B18" s="65">
        <v>37.700000000000003</v>
      </c>
      <c r="C18" s="143">
        <v>43213</v>
      </c>
      <c r="F18" s="151">
        <v>44.269999999999996</v>
      </c>
      <c r="G18" s="143">
        <v>43199</v>
      </c>
    </row>
    <row r="19" spans="1:7" ht="15.75" thickBot="1" x14ac:dyDescent="0.3">
      <c r="A19" s="97">
        <v>3</v>
      </c>
      <c r="B19" s="82">
        <v>43.42</v>
      </c>
      <c r="C19" s="143">
        <v>43216</v>
      </c>
      <c r="F19" s="152">
        <v>40.619999999999997</v>
      </c>
      <c r="G19" s="143">
        <v>43200</v>
      </c>
    </row>
    <row r="20" spans="1:7" x14ac:dyDescent="0.25">
      <c r="A20" s="98" t="s">
        <v>103</v>
      </c>
      <c r="B20" s="90">
        <f>AVERAGE(B17:B19)</f>
        <v>38.296666666666667</v>
      </c>
      <c r="F20" s="90">
        <f>AVERAGE(F17:F19)</f>
        <v>43.81</v>
      </c>
    </row>
    <row r="21" spans="1:7" ht="15.75" thickBot="1" x14ac:dyDescent="0.3">
      <c r="A21" s="99" t="s">
        <v>108</v>
      </c>
      <c r="B21" s="87">
        <f>STDEV(B17:B19)</f>
        <v>4.8525903735359304</v>
      </c>
      <c r="F21" s="87">
        <f>STDEV(F17:F19)</f>
        <v>2.9866871279061025</v>
      </c>
    </row>
  </sheetData>
  <hyperlinks>
    <hyperlink ref="C17" location="'Raw Data'!A457" display="'Raw Data'!A457" xr:uid="{00000000-0004-0000-0200-000000000000}"/>
    <hyperlink ref="G17" location="'Raw Data'!A41" display="'Raw Data'!A41" xr:uid="{00000000-0004-0000-0200-000001000000}"/>
    <hyperlink ref="G18" location="'Raw Data'!A473" display="'Raw Data'!A473" xr:uid="{00000000-0004-0000-0200-000002000000}"/>
    <hyperlink ref="G19" location="'Raw Data'!A492" display="'Raw Data'!A492" xr:uid="{00000000-0004-0000-0200-000003000000}"/>
    <hyperlink ref="C18" location="'Raw Data'!A534" display="'Raw Data'!A534" xr:uid="{00000000-0004-0000-0200-000004000000}"/>
    <hyperlink ref="C19" location="'Raw Data'!A551" display="Raw Data'!A1" xr:uid="{00000000-0004-0000-0200-000005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opLeftCell="A3" workbookViewId="0">
      <selection activeCell="G20" sqref="G20"/>
    </sheetView>
  </sheetViews>
  <sheetFormatPr defaultRowHeight="15" x14ac:dyDescent="0.25"/>
  <cols>
    <col min="1" max="1" width="10.5703125" customWidth="1"/>
    <col min="2" max="4" width="13.5703125" customWidth="1"/>
    <col min="5" max="5" width="14.140625" customWidth="1"/>
    <col min="6" max="6" width="17.42578125" customWidth="1"/>
    <col min="7" max="7" width="12.7109375" customWidth="1"/>
  </cols>
  <sheetData>
    <row r="1" spans="1:6" x14ac:dyDescent="0.25">
      <c r="A1" s="72" t="s">
        <v>133</v>
      </c>
      <c r="B1" s="72"/>
      <c r="C1" s="72"/>
    </row>
    <row r="2" spans="1:6" x14ac:dyDescent="0.25">
      <c r="A2" s="72" t="s">
        <v>129</v>
      </c>
      <c r="B2" s="72"/>
      <c r="C2" s="72"/>
    </row>
    <row r="3" spans="1:6" ht="15.75" thickBot="1" x14ac:dyDescent="0.3">
      <c r="A3" s="72" t="s">
        <v>125</v>
      </c>
      <c r="B3" s="72"/>
      <c r="C3" s="72"/>
    </row>
    <row r="4" spans="1:6" x14ac:dyDescent="0.25">
      <c r="A4" s="129"/>
      <c r="B4" s="130" t="s">
        <v>123</v>
      </c>
      <c r="C4" s="130" t="s">
        <v>120</v>
      </c>
      <c r="D4" s="130" t="s">
        <v>121</v>
      </c>
      <c r="E4" s="141" t="s">
        <v>130</v>
      </c>
    </row>
    <row r="5" spans="1:6" x14ac:dyDescent="0.25">
      <c r="A5" s="131"/>
      <c r="B5" s="79"/>
      <c r="C5" s="79"/>
      <c r="D5" s="79"/>
      <c r="E5" s="140" t="s">
        <v>131</v>
      </c>
    </row>
    <row r="6" spans="1:6" x14ac:dyDescent="0.25">
      <c r="A6" s="131" t="s">
        <v>107</v>
      </c>
      <c r="B6" s="45"/>
      <c r="C6" s="45"/>
      <c r="D6" s="45"/>
      <c r="E6" s="132" t="s">
        <v>124</v>
      </c>
    </row>
    <row r="7" spans="1:6" x14ac:dyDescent="0.25">
      <c r="A7" s="133"/>
      <c r="B7" s="115" t="s">
        <v>101</v>
      </c>
      <c r="C7" s="115"/>
      <c r="D7" s="115"/>
      <c r="E7" s="134" t="s">
        <v>101</v>
      </c>
    </row>
    <row r="8" spans="1:6" x14ac:dyDescent="0.25">
      <c r="A8" s="4">
        <v>1</v>
      </c>
      <c r="B8" s="65">
        <v>57.5</v>
      </c>
      <c r="C8" s="128" t="s">
        <v>122</v>
      </c>
      <c r="D8" s="128"/>
      <c r="E8" s="134">
        <v>49.3</v>
      </c>
    </row>
    <row r="9" spans="1:6" x14ac:dyDescent="0.25">
      <c r="A9" s="4">
        <v>2</v>
      </c>
      <c r="B9" s="65">
        <v>40.24</v>
      </c>
      <c r="C9" s="65"/>
      <c r="D9" s="65"/>
      <c r="E9" s="134">
        <v>51.3</v>
      </c>
    </row>
    <row r="10" spans="1:6" ht="15.75" thickBot="1" x14ac:dyDescent="0.3">
      <c r="A10" s="135">
        <v>3</v>
      </c>
      <c r="B10" s="82">
        <v>36.83</v>
      </c>
      <c r="C10" s="82"/>
      <c r="D10" s="82"/>
      <c r="E10" s="136">
        <v>57.6</v>
      </c>
    </row>
    <row r="11" spans="1:6" x14ac:dyDescent="0.25">
      <c r="A11" s="133" t="s">
        <v>103</v>
      </c>
      <c r="B11" s="80">
        <f>AVERAGE(B8:B10)</f>
        <v>44.856666666666662</v>
      </c>
      <c r="C11" s="80"/>
      <c r="D11" s="80"/>
      <c r="E11" s="137">
        <f>AVERAGE(E8:E10)</f>
        <v>52.733333333333327</v>
      </c>
    </row>
    <row r="12" spans="1:6" ht="15.75" thickBot="1" x14ac:dyDescent="0.3">
      <c r="A12" s="135" t="s">
        <v>108</v>
      </c>
      <c r="B12" s="138">
        <f>STDEV(B8:B10)</f>
        <v>11.08140033268962</v>
      </c>
      <c r="C12" s="138"/>
      <c r="D12" s="138"/>
      <c r="E12" s="139">
        <f>STDEV(E8:E10)</f>
        <v>4.3316663460305156</v>
      </c>
    </row>
    <row r="15" spans="1:6" ht="15.75" thickBot="1" x14ac:dyDescent="0.3"/>
    <row r="16" spans="1:6" x14ac:dyDescent="0.25">
      <c r="A16" s="129"/>
      <c r="B16" s="130" t="s">
        <v>123</v>
      </c>
      <c r="E16" s="129"/>
      <c r="F16" s="141" t="s">
        <v>130</v>
      </c>
    </row>
    <row r="17" spans="1:7" x14ac:dyDescent="0.25">
      <c r="A17" s="131"/>
      <c r="B17" s="79"/>
      <c r="E17" s="131"/>
      <c r="F17" s="140" t="s">
        <v>131</v>
      </c>
    </row>
    <row r="18" spans="1:7" x14ac:dyDescent="0.25">
      <c r="A18" s="131" t="s">
        <v>107</v>
      </c>
      <c r="B18" s="45"/>
      <c r="E18" s="131" t="s">
        <v>107</v>
      </c>
      <c r="F18" s="132" t="s">
        <v>124</v>
      </c>
    </row>
    <row r="19" spans="1:7" x14ac:dyDescent="0.25">
      <c r="A19" s="133"/>
      <c r="B19" s="146" t="s">
        <v>101</v>
      </c>
      <c r="E19" s="133"/>
      <c r="F19" s="134" t="s">
        <v>101</v>
      </c>
    </row>
    <row r="20" spans="1:7" x14ac:dyDescent="0.25">
      <c r="A20" s="4">
        <v>1</v>
      </c>
      <c r="B20" s="65">
        <v>57.5</v>
      </c>
      <c r="C20" s="143">
        <v>42899</v>
      </c>
      <c r="E20" s="4">
        <v>1</v>
      </c>
      <c r="F20" s="134">
        <v>49.3</v>
      </c>
      <c r="G20" s="142">
        <v>42808</v>
      </c>
    </row>
    <row r="21" spans="1:7" x14ac:dyDescent="0.25">
      <c r="A21" s="4">
        <v>2</v>
      </c>
      <c r="B21" s="65">
        <v>40.24</v>
      </c>
      <c r="C21" s="143">
        <v>42906</v>
      </c>
      <c r="E21" s="4">
        <v>2</v>
      </c>
      <c r="F21" s="134">
        <v>51.3</v>
      </c>
      <c r="G21" s="142">
        <v>42744</v>
      </c>
    </row>
    <row r="22" spans="1:7" ht="15.75" thickBot="1" x14ac:dyDescent="0.3">
      <c r="A22" s="135">
        <v>3</v>
      </c>
      <c r="B22" s="82">
        <v>36.83</v>
      </c>
      <c r="C22" s="143">
        <v>42929</v>
      </c>
      <c r="E22" s="135">
        <v>3</v>
      </c>
      <c r="F22" s="136">
        <v>57.6</v>
      </c>
      <c r="G22" s="142">
        <v>42748</v>
      </c>
    </row>
    <row r="23" spans="1:7" x14ac:dyDescent="0.25">
      <c r="A23" s="133" t="s">
        <v>103</v>
      </c>
      <c r="B23" s="80">
        <f>AVERAGE(B20:B22)</f>
        <v>44.856666666666662</v>
      </c>
      <c r="E23" s="133" t="s">
        <v>103</v>
      </c>
      <c r="F23" s="137">
        <f>AVERAGE(F20:F22)</f>
        <v>52.733333333333327</v>
      </c>
    </row>
    <row r="24" spans="1:7" ht="15.75" thickBot="1" x14ac:dyDescent="0.3">
      <c r="A24" s="135" t="s">
        <v>108</v>
      </c>
      <c r="B24" s="138">
        <f>STDEV(B20:B22)</f>
        <v>11.08140033268962</v>
      </c>
      <c r="E24" s="135" t="s">
        <v>108</v>
      </c>
      <c r="F24" s="139">
        <f>STDEV(F20:F22)</f>
        <v>4.3316663460305156</v>
      </c>
    </row>
  </sheetData>
  <hyperlinks>
    <hyperlink ref="C21" location="'Raw Data'!A297" display="'Raw Data'!A297" xr:uid="{00000000-0004-0000-0300-000000000000}"/>
    <hyperlink ref="C22" location="'Raw Data'!A326" display="'Raw Data'!A326" xr:uid="{00000000-0004-0000-0300-000001000000}"/>
    <hyperlink ref="C20" location="'Raw Data'!A283" display="'Raw Data'!A283" xr:uid="{00000000-0004-0000-0300-000002000000}"/>
    <hyperlink ref="G21" location="'Raw Data'!A7" display="'Raw Data'!A7" xr:uid="{00000000-0004-0000-0300-000003000000}"/>
    <hyperlink ref="G22" location="'Raw Data'!A24" display="'Raw Data'!A24" xr:uid="{00000000-0004-0000-0300-000004000000}"/>
    <hyperlink ref="G20" location="'Raw Data'!A209" display="'Raw Data'!A209" xr:uid="{00000000-0004-0000-0300-000005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15"/>
  <sheetViews>
    <sheetView topLeftCell="A436" workbookViewId="0">
      <selection activeCell="A457" sqref="A457"/>
    </sheetView>
  </sheetViews>
  <sheetFormatPr defaultRowHeight="15" x14ac:dyDescent="0.25"/>
  <cols>
    <col min="1" max="1" width="11.5703125" customWidth="1"/>
    <col min="8" max="8" width="12.5703125" customWidth="1"/>
    <col min="9" max="9" width="12.140625" customWidth="1"/>
  </cols>
  <sheetData>
    <row r="1" spans="1:18" x14ac:dyDescent="0.25">
      <c r="O1" s="10"/>
      <c r="Q1" s="9"/>
    </row>
    <row r="2" spans="1:18" x14ac:dyDescent="0.25">
      <c r="B2" s="3">
        <v>1.0000000000000001E-5</v>
      </c>
    </row>
    <row r="3" spans="1:18" x14ac:dyDescent="0.25">
      <c r="B3" s="3">
        <v>1.0000000000000001E-5</v>
      </c>
      <c r="D3" s="19"/>
      <c r="F3" s="13"/>
      <c r="L3" s="3"/>
    </row>
    <row r="4" spans="1:18" x14ac:dyDescent="0.25">
      <c r="B4" s="3">
        <v>1E-4</v>
      </c>
      <c r="D4" s="19"/>
      <c r="F4" s="13"/>
      <c r="L4" s="3"/>
      <c r="N4" s="19"/>
      <c r="P4" s="13"/>
      <c r="Q4" s="54"/>
      <c r="R4" s="54"/>
    </row>
    <row r="5" spans="1:18" x14ac:dyDescent="0.25">
      <c r="B5" s="10"/>
      <c r="C5" s="10"/>
      <c r="L5" s="3"/>
      <c r="N5" s="19"/>
      <c r="P5" s="13"/>
      <c r="Q5" s="19"/>
      <c r="R5" s="19"/>
    </row>
    <row r="7" spans="1:18" x14ac:dyDescent="0.25">
      <c r="A7" s="27">
        <v>42744</v>
      </c>
      <c r="B7" t="s">
        <v>11</v>
      </c>
    </row>
    <row r="8" spans="1:18" x14ac:dyDescent="0.25">
      <c r="A8" t="s">
        <v>161</v>
      </c>
    </row>
    <row r="9" spans="1:18" x14ac:dyDescent="0.25">
      <c r="A9" t="s">
        <v>20</v>
      </c>
    </row>
    <row r="10" spans="1:18" x14ac:dyDescent="0.25">
      <c r="A10" t="s">
        <v>21</v>
      </c>
      <c r="J10" s="26" t="s">
        <v>18</v>
      </c>
    </row>
    <row r="11" spans="1:18" x14ac:dyDescent="0.25">
      <c r="A11" t="s">
        <v>5</v>
      </c>
      <c r="G11" s="20" t="s">
        <v>10</v>
      </c>
      <c r="H11" s="20" t="s">
        <v>16</v>
      </c>
      <c r="I11" s="20" t="s">
        <v>2</v>
      </c>
      <c r="J11" s="20">
        <v>268.52</v>
      </c>
      <c r="K11" s="20"/>
    </row>
    <row r="12" spans="1:18" x14ac:dyDescent="0.25">
      <c r="A12" s="1" t="s">
        <v>0</v>
      </c>
      <c r="B12" s="153" t="s">
        <v>1</v>
      </c>
      <c r="C12" s="154"/>
      <c r="D12" s="1" t="s">
        <v>36</v>
      </c>
      <c r="E12" s="1" t="s">
        <v>2</v>
      </c>
      <c r="F12" s="2" t="s">
        <v>3</v>
      </c>
      <c r="G12" s="25">
        <f>E13*B$4</f>
        <v>106000</v>
      </c>
      <c r="H12" s="20">
        <f>K13</f>
        <v>277.65999999999997</v>
      </c>
      <c r="I12" s="21">
        <f>G12/H12</f>
        <v>381.76186703162148</v>
      </c>
      <c r="J12" s="20">
        <v>518.72</v>
      </c>
      <c r="K12" s="20">
        <f>J12-J11</f>
        <v>250.20000000000005</v>
      </c>
    </row>
    <row r="13" spans="1:18" x14ac:dyDescent="0.25">
      <c r="A13" s="3">
        <v>9.9999999999999995E-8</v>
      </c>
      <c r="B13" s="4">
        <v>109</v>
      </c>
      <c r="C13" s="146">
        <v>103</v>
      </c>
      <c r="D13" s="6">
        <f>AVERAGE(B13:C13)</f>
        <v>106</v>
      </c>
      <c r="E13" s="7">
        <f>D13/A13</f>
        <v>1060000000</v>
      </c>
      <c r="F13" s="9">
        <f>LOG(E13)</f>
        <v>9.0253058652647695</v>
      </c>
      <c r="H13">
        <v>250</v>
      </c>
      <c r="I13" s="21">
        <f>G12/H13</f>
        <v>424</v>
      </c>
      <c r="J13" s="20">
        <v>546.17999999999995</v>
      </c>
      <c r="K13" s="20">
        <f>J13-J11</f>
        <v>277.65999999999997</v>
      </c>
    </row>
    <row r="14" spans="1:18" x14ac:dyDescent="0.25">
      <c r="H14">
        <f>SUM(H12:H13)</f>
        <v>527.66</v>
      </c>
      <c r="J14" s="20"/>
      <c r="K14" s="20">
        <f>K13-K12</f>
        <v>27.459999999999923</v>
      </c>
    </row>
    <row r="15" spans="1:18" x14ac:dyDescent="0.25">
      <c r="A15" t="s">
        <v>13</v>
      </c>
      <c r="G15" t="s">
        <v>12</v>
      </c>
      <c r="H15" s="1" t="s">
        <v>36</v>
      </c>
      <c r="I15" s="20" t="s">
        <v>8</v>
      </c>
    </row>
    <row r="16" spans="1:18" x14ac:dyDescent="0.25">
      <c r="A16">
        <v>0.2</v>
      </c>
      <c r="B16" s="146">
        <v>17</v>
      </c>
      <c r="C16" s="146">
        <v>31</v>
      </c>
      <c r="D16" s="146">
        <v>30</v>
      </c>
      <c r="E16" s="146">
        <v>40</v>
      </c>
      <c r="F16" s="146">
        <v>21</v>
      </c>
      <c r="G16" s="22">
        <f>SUM(B16:F16)</f>
        <v>139</v>
      </c>
      <c r="H16" s="23">
        <f>AVERAGE(G16:G17)</f>
        <v>150.5</v>
      </c>
      <c r="I16" s="24">
        <f>(H16/I12)*100</f>
        <v>39.422481132075468</v>
      </c>
    </row>
    <row r="17" spans="1:11" x14ac:dyDescent="0.25">
      <c r="A17">
        <v>0.2</v>
      </c>
      <c r="B17" s="146">
        <v>20</v>
      </c>
      <c r="C17" s="146">
        <v>41</v>
      </c>
      <c r="D17" s="146">
        <v>42</v>
      </c>
      <c r="E17" s="146">
        <v>33</v>
      </c>
      <c r="F17" s="146">
        <v>26</v>
      </c>
      <c r="G17" s="22">
        <f t="shared" ref="G17" si="0">SUM(B17:F17)</f>
        <v>162</v>
      </c>
      <c r="H17" s="20"/>
      <c r="I17" s="20"/>
      <c r="J17" t="s">
        <v>137</v>
      </c>
    </row>
    <row r="18" spans="1:11" x14ac:dyDescent="0.25">
      <c r="J18" s="24">
        <f>SUM(I16,I20)</f>
        <v>51.332858490566032</v>
      </c>
    </row>
    <row r="19" spans="1:11" x14ac:dyDescent="0.25">
      <c r="A19" t="s">
        <v>19</v>
      </c>
      <c r="G19" t="s">
        <v>12</v>
      </c>
      <c r="H19" s="1" t="s">
        <v>36</v>
      </c>
      <c r="I19" s="20" t="s">
        <v>8</v>
      </c>
    </row>
    <row r="20" spans="1:11" x14ac:dyDescent="0.25">
      <c r="A20">
        <v>0.2</v>
      </c>
      <c r="B20" s="146">
        <v>14</v>
      </c>
      <c r="C20" s="146">
        <v>7</v>
      </c>
      <c r="D20" s="146">
        <v>11</v>
      </c>
      <c r="E20" s="146">
        <v>9</v>
      </c>
      <c r="F20" s="146">
        <v>11</v>
      </c>
      <c r="G20" s="22">
        <f>SUM(B20:F20)</f>
        <v>52</v>
      </c>
      <c r="H20" s="23">
        <f>AVERAGE(G20:G21)</f>
        <v>50.5</v>
      </c>
      <c r="I20" s="24">
        <f>(H20/I13)*100</f>
        <v>11.910377358490566</v>
      </c>
    </row>
    <row r="21" spans="1:11" x14ac:dyDescent="0.25">
      <c r="A21">
        <v>0.2</v>
      </c>
      <c r="B21" s="146">
        <v>7</v>
      </c>
      <c r="C21" s="146">
        <v>7</v>
      </c>
      <c r="D21" s="146">
        <v>18</v>
      </c>
      <c r="E21" s="146">
        <v>9</v>
      </c>
      <c r="F21" s="146">
        <v>8</v>
      </c>
      <c r="G21" s="22">
        <f t="shared" ref="G21" si="1">SUM(B21:F21)</f>
        <v>49</v>
      </c>
      <c r="H21" s="20"/>
      <c r="I21" s="20"/>
    </row>
    <row r="24" spans="1:11" x14ac:dyDescent="0.25">
      <c r="A24" s="27">
        <v>42748</v>
      </c>
      <c r="B24" t="s">
        <v>11</v>
      </c>
    </row>
    <row r="25" spans="1:11" x14ac:dyDescent="0.25">
      <c r="A25" t="s">
        <v>161</v>
      </c>
    </row>
    <row r="26" spans="1:11" x14ac:dyDescent="0.25">
      <c r="A26" t="s">
        <v>20</v>
      </c>
    </row>
    <row r="27" spans="1:11" x14ac:dyDescent="0.25">
      <c r="A27" t="s">
        <v>21</v>
      </c>
      <c r="J27" s="26" t="s">
        <v>18</v>
      </c>
    </row>
    <row r="28" spans="1:11" x14ac:dyDescent="0.25">
      <c r="A28" t="s">
        <v>5</v>
      </c>
      <c r="G28" s="20" t="s">
        <v>10</v>
      </c>
      <c r="H28" s="20" t="s">
        <v>16</v>
      </c>
      <c r="I28" s="20" t="s">
        <v>2</v>
      </c>
      <c r="J28" s="20">
        <v>339.76</v>
      </c>
      <c r="K28" s="20"/>
    </row>
    <row r="29" spans="1:11" x14ac:dyDescent="0.25">
      <c r="A29" s="1" t="s">
        <v>0</v>
      </c>
      <c r="B29" s="153" t="s">
        <v>1</v>
      </c>
      <c r="C29" s="154"/>
      <c r="D29" s="1" t="s">
        <v>36</v>
      </c>
      <c r="E29" s="1" t="s">
        <v>2</v>
      </c>
      <c r="F29" s="2" t="s">
        <v>3</v>
      </c>
      <c r="G29" s="25">
        <f>E30*B$4</f>
        <v>87000</v>
      </c>
      <c r="H29" s="20">
        <f>K30</f>
        <v>286.18000000000006</v>
      </c>
      <c r="I29" s="21">
        <f>G29/H29</f>
        <v>304.00447270948348</v>
      </c>
      <c r="J29" s="20">
        <v>594.58000000000004</v>
      </c>
      <c r="K29" s="20">
        <f>J29-J28</f>
        <v>254.82000000000005</v>
      </c>
    </row>
    <row r="30" spans="1:11" x14ac:dyDescent="0.25">
      <c r="A30" s="3">
        <v>9.9999999999999995E-8</v>
      </c>
      <c r="B30" s="4">
        <v>100</v>
      </c>
      <c r="C30" s="146">
        <v>74</v>
      </c>
      <c r="D30" s="6">
        <f>AVERAGE(B30:C30)</f>
        <v>87</v>
      </c>
      <c r="E30" s="7">
        <f>D30/A30</f>
        <v>870000000</v>
      </c>
      <c r="F30" s="9">
        <f>LOG(E30)</f>
        <v>8.9395192526186182</v>
      </c>
      <c r="H30">
        <v>250</v>
      </c>
      <c r="I30" s="21">
        <f>G29/H30</f>
        <v>348</v>
      </c>
      <c r="J30" s="20">
        <v>625.94000000000005</v>
      </c>
      <c r="K30" s="20">
        <f>J30-J28</f>
        <v>286.18000000000006</v>
      </c>
    </row>
    <row r="31" spans="1:11" x14ac:dyDescent="0.25">
      <c r="H31">
        <f>H29+H30</f>
        <v>536.18000000000006</v>
      </c>
      <c r="J31" s="20"/>
      <c r="K31" s="20">
        <f>K30-K29</f>
        <v>31.360000000000014</v>
      </c>
    </row>
    <row r="32" spans="1:11" x14ac:dyDescent="0.25">
      <c r="A32" t="s">
        <v>13</v>
      </c>
      <c r="G32" t="s">
        <v>12</v>
      </c>
      <c r="H32" s="1" t="s">
        <v>36</v>
      </c>
      <c r="I32" s="20" t="s">
        <v>8</v>
      </c>
    </row>
    <row r="33" spans="1:10" x14ac:dyDescent="0.25">
      <c r="A33">
        <v>0.2</v>
      </c>
      <c r="B33" s="146">
        <v>21</v>
      </c>
      <c r="C33" s="146">
        <v>34</v>
      </c>
      <c r="D33" s="146">
        <v>40</v>
      </c>
      <c r="E33" s="146">
        <v>25</v>
      </c>
      <c r="F33" s="146">
        <v>36</v>
      </c>
      <c r="G33" s="22">
        <f>SUM(B33:F33)</f>
        <v>156</v>
      </c>
      <c r="H33" s="23">
        <f>AVERAGE(G33:G34)</f>
        <v>138.5</v>
      </c>
      <c r="I33" s="24">
        <f>(H33/I29)*100</f>
        <v>45.558540229885068</v>
      </c>
    </row>
    <row r="34" spans="1:10" x14ac:dyDescent="0.25">
      <c r="A34">
        <v>0.2</v>
      </c>
      <c r="B34" s="146">
        <v>21</v>
      </c>
      <c r="C34" s="146">
        <v>20</v>
      </c>
      <c r="D34" s="146">
        <v>34</v>
      </c>
      <c r="E34" s="146">
        <v>24</v>
      </c>
      <c r="F34" s="146">
        <v>22</v>
      </c>
      <c r="G34" s="22">
        <f t="shared" ref="G34" si="2">SUM(B34:F34)</f>
        <v>121</v>
      </c>
      <c r="H34" s="20"/>
      <c r="I34" s="20"/>
      <c r="J34" t="s">
        <v>137</v>
      </c>
    </row>
    <row r="35" spans="1:10" x14ac:dyDescent="0.25">
      <c r="J35" s="24">
        <f>SUM(I33,I37)</f>
        <v>57.627505747126449</v>
      </c>
    </row>
    <row r="36" spans="1:10" x14ac:dyDescent="0.25">
      <c r="A36" t="s">
        <v>19</v>
      </c>
      <c r="G36" t="s">
        <v>12</v>
      </c>
      <c r="H36" s="1" t="s">
        <v>36</v>
      </c>
      <c r="I36" s="20" t="s">
        <v>8</v>
      </c>
    </row>
    <row r="37" spans="1:10" x14ac:dyDescent="0.25">
      <c r="A37">
        <v>0.2</v>
      </c>
      <c r="B37" s="146">
        <v>9</v>
      </c>
      <c r="C37" s="146">
        <v>11</v>
      </c>
      <c r="D37" s="146">
        <v>7</v>
      </c>
      <c r="E37" s="146">
        <v>12</v>
      </c>
      <c r="F37" s="146">
        <v>7</v>
      </c>
      <c r="G37" s="22">
        <f>SUM(B37:F37)</f>
        <v>46</v>
      </c>
      <c r="H37" s="23">
        <f>AVERAGE(G37:G38)</f>
        <v>42</v>
      </c>
      <c r="I37" s="24">
        <f>(H37/I30)*100</f>
        <v>12.068965517241379</v>
      </c>
    </row>
    <row r="38" spans="1:10" x14ac:dyDescent="0.25">
      <c r="A38">
        <v>0.2</v>
      </c>
      <c r="B38" s="146">
        <v>15</v>
      </c>
      <c r="C38" s="146">
        <v>7</v>
      </c>
      <c r="D38" s="146">
        <v>4</v>
      </c>
      <c r="E38" s="146">
        <v>8</v>
      </c>
      <c r="F38" s="146">
        <v>4</v>
      </c>
      <c r="G38" s="22">
        <f t="shared" ref="G38" si="3">SUM(B38:F38)</f>
        <v>38</v>
      </c>
      <c r="H38" s="20"/>
      <c r="I38" s="20"/>
    </row>
    <row r="41" spans="1:10" x14ac:dyDescent="0.25">
      <c r="A41" s="11">
        <v>42751</v>
      </c>
      <c r="B41" t="s">
        <v>15</v>
      </c>
    </row>
    <row r="42" spans="1:10" x14ac:dyDescent="0.25">
      <c r="A42" t="s">
        <v>162</v>
      </c>
    </row>
    <row r="43" spans="1:10" x14ac:dyDescent="0.25">
      <c r="A43" t="s">
        <v>14</v>
      </c>
    </row>
    <row r="44" spans="1:10" x14ac:dyDescent="0.25">
      <c r="A44" t="s">
        <v>39</v>
      </c>
    </row>
    <row r="45" spans="1:10" x14ac:dyDescent="0.25">
      <c r="A45" t="s">
        <v>5</v>
      </c>
      <c r="G45" t="s">
        <v>10</v>
      </c>
      <c r="H45" t="s">
        <v>16</v>
      </c>
      <c r="I45" t="s">
        <v>2</v>
      </c>
    </row>
    <row r="46" spans="1:10" x14ac:dyDescent="0.25">
      <c r="A46" s="1" t="s">
        <v>0</v>
      </c>
      <c r="B46" s="153" t="s">
        <v>1</v>
      </c>
      <c r="C46" s="154"/>
      <c r="D46" s="144"/>
      <c r="E46" s="1" t="s">
        <v>2</v>
      </c>
      <c r="F46" s="2" t="s">
        <v>3</v>
      </c>
      <c r="G46" s="25">
        <f>E47*B$4</f>
        <v>112000</v>
      </c>
      <c r="H46" s="20">
        <v>250</v>
      </c>
      <c r="I46" s="21">
        <f>G46/H46</f>
        <v>448</v>
      </c>
    </row>
    <row r="47" spans="1:10" x14ac:dyDescent="0.25">
      <c r="A47" s="3">
        <v>9.9999999999999995E-8</v>
      </c>
      <c r="B47" s="4">
        <v>117</v>
      </c>
      <c r="C47" s="146">
        <v>107</v>
      </c>
      <c r="D47" s="6">
        <f>AVERAGE(B47:C47)</f>
        <v>112</v>
      </c>
      <c r="E47" s="7">
        <f t="shared" ref="E47" si="4">D47/A47</f>
        <v>1120000000</v>
      </c>
      <c r="F47" s="9">
        <f>LOG(E47)</f>
        <v>9.0492180226701819</v>
      </c>
      <c r="I47" s="21"/>
    </row>
    <row r="49" spans="1:11" x14ac:dyDescent="0.25">
      <c r="A49" t="s">
        <v>13</v>
      </c>
      <c r="G49" t="s">
        <v>12</v>
      </c>
      <c r="H49" s="1" t="s">
        <v>36</v>
      </c>
      <c r="I49" s="20" t="s">
        <v>8</v>
      </c>
    </row>
    <row r="50" spans="1:11" x14ac:dyDescent="0.25">
      <c r="A50">
        <v>0.2</v>
      </c>
      <c r="B50" s="146">
        <v>45</v>
      </c>
      <c r="C50" s="146">
        <v>25</v>
      </c>
      <c r="D50" s="146">
        <v>43</v>
      </c>
      <c r="E50" s="146">
        <v>30</v>
      </c>
      <c r="F50" s="146">
        <v>28</v>
      </c>
      <c r="G50" s="22">
        <f>SUM(B50:F50)</f>
        <v>171</v>
      </c>
      <c r="H50" s="23">
        <f>AVERAGE(G50:G51)</f>
        <v>161.5</v>
      </c>
      <c r="I50" s="24">
        <f>(H50/I46)*100</f>
        <v>36.049107142857146</v>
      </c>
    </row>
    <row r="51" spans="1:11" x14ac:dyDescent="0.25">
      <c r="A51">
        <v>0.2</v>
      </c>
      <c r="B51" s="146">
        <v>17</v>
      </c>
      <c r="C51" s="146">
        <v>32</v>
      </c>
      <c r="D51" s="146">
        <v>33</v>
      </c>
      <c r="E51" s="146">
        <v>26</v>
      </c>
      <c r="F51" s="146">
        <v>44</v>
      </c>
      <c r="G51" s="22">
        <f t="shared" ref="G51" si="5">SUM(B51:F51)</f>
        <v>152</v>
      </c>
      <c r="H51" s="20"/>
      <c r="I51" s="20"/>
      <c r="J51" t="s">
        <v>137</v>
      </c>
    </row>
    <row r="52" spans="1:11" x14ac:dyDescent="0.25">
      <c r="J52" s="24">
        <f>SUM(I50,I54)</f>
        <v>46.540178571428577</v>
      </c>
    </row>
    <row r="53" spans="1:11" x14ac:dyDescent="0.25">
      <c r="A53" t="s">
        <v>19</v>
      </c>
      <c r="G53" t="s">
        <v>12</v>
      </c>
      <c r="H53" s="1" t="s">
        <v>36</v>
      </c>
      <c r="I53" s="20" t="s">
        <v>8</v>
      </c>
    </row>
    <row r="54" spans="1:11" x14ac:dyDescent="0.25">
      <c r="A54">
        <v>0.2</v>
      </c>
      <c r="B54" s="146">
        <v>17</v>
      </c>
      <c r="C54" s="146">
        <v>8</v>
      </c>
      <c r="D54" s="146">
        <v>9</v>
      </c>
      <c r="E54" s="146">
        <v>6</v>
      </c>
      <c r="F54" s="146">
        <v>11</v>
      </c>
      <c r="G54" s="22">
        <f>SUM(B54:F54)</f>
        <v>51</v>
      </c>
      <c r="H54" s="23">
        <f>AVERAGE(G54:G55)</f>
        <v>47</v>
      </c>
      <c r="I54" s="24">
        <f>(H54/I46)*100</f>
        <v>10.491071428571429</v>
      </c>
    </row>
    <row r="55" spans="1:11" x14ac:dyDescent="0.25">
      <c r="A55">
        <v>0.2</v>
      </c>
      <c r="B55" s="146">
        <v>8</v>
      </c>
      <c r="C55" s="146">
        <v>9</v>
      </c>
      <c r="D55" s="146">
        <v>6</v>
      </c>
      <c r="E55" s="146">
        <v>9</v>
      </c>
      <c r="F55" s="146">
        <v>11</v>
      </c>
      <c r="G55" s="22">
        <f t="shared" ref="G55" si="6">SUM(B55:F55)</f>
        <v>43</v>
      </c>
      <c r="H55" s="20"/>
      <c r="I55" s="20"/>
    </row>
    <row r="58" spans="1:11" x14ac:dyDescent="0.25">
      <c r="A58" s="11">
        <v>42754</v>
      </c>
      <c r="B58" t="s">
        <v>11</v>
      </c>
    </row>
    <row r="59" spans="1:11" x14ac:dyDescent="0.25">
      <c r="A59" t="s">
        <v>163</v>
      </c>
    </row>
    <row r="60" spans="1:11" x14ac:dyDescent="0.25">
      <c r="A60" t="s">
        <v>20</v>
      </c>
    </row>
    <row r="61" spans="1:11" x14ac:dyDescent="0.25">
      <c r="A61" t="s">
        <v>21</v>
      </c>
    </row>
    <row r="62" spans="1:11" x14ac:dyDescent="0.25">
      <c r="A62" t="s">
        <v>5</v>
      </c>
      <c r="G62" t="s">
        <v>10</v>
      </c>
      <c r="H62" t="s">
        <v>16</v>
      </c>
      <c r="I62" t="s">
        <v>2</v>
      </c>
      <c r="J62" s="26" t="s">
        <v>18</v>
      </c>
    </row>
    <row r="63" spans="1:11" x14ac:dyDescent="0.25">
      <c r="A63" s="1" t="s">
        <v>0</v>
      </c>
      <c r="B63" s="153" t="s">
        <v>1</v>
      </c>
      <c r="C63" s="154"/>
      <c r="D63" s="144"/>
      <c r="E63" s="1" t="s">
        <v>2</v>
      </c>
      <c r="F63" s="2" t="s">
        <v>3</v>
      </c>
      <c r="G63" s="25">
        <f>E64*B$4</f>
        <v>126000</v>
      </c>
      <c r="H63" s="20">
        <f>K65</f>
        <v>368.06</v>
      </c>
      <c r="I63" s="21">
        <f>G63/H63</f>
        <v>342.33548877900341</v>
      </c>
      <c r="J63" s="20">
        <v>258.69</v>
      </c>
      <c r="K63" s="20"/>
    </row>
    <row r="64" spans="1:11" x14ac:dyDescent="0.25">
      <c r="A64" s="3">
        <v>9.9999999999999995E-8</v>
      </c>
      <c r="B64" s="4">
        <v>149</v>
      </c>
      <c r="C64" s="146">
        <v>103</v>
      </c>
      <c r="D64" s="6">
        <f>AVERAGE(B64:C64)</f>
        <v>126</v>
      </c>
      <c r="E64" s="7">
        <f t="shared" ref="E64" si="7">D64/A64</f>
        <v>1260000000</v>
      </c>
      <c r="F64" s="9">
        <f>LOG(E64)</f>
        <v>9.1003705451175634</v>
      </c>
      <c r="H64">
        <v>250</v>
      </c>
      <c r="I64" s="21">
        <f>G63/H64</f>
        <v>504</v>
      </c>
      <c r="J64" s="20">
        <v>335</v>
      </c>
      <c r="K64" s="20">
        <f>J64-J63</f>
        <v>76.31</v>
      </c>
    </row>
    <row r="65" spans="1:11" x14ac:dyDescent="0.25">
      <c r="H65">
        <f>SUM(H63:H64)</f>
        <v>618.05999999999995</v>
      </c>
      <c r="J65" s="20">
        <v>626.75</v>
      </c>
      <c r="K65" s="20">
        <f>J65-J63</f>
        <v>368.06</v>
      </c>
    </row>
    <row r="66" spans="1:11" x14ac:dyDescent="0.25">
      <c r="A66" t="s">
        <v>13</v>
      </c>
      <c r="G66" t="s">
        <v>12</v>
      </c>
      <c r="H66" s="1" t="s">
        <v>36</v>
      </c>
      <c r="I66" s="20" t="s">
        <v>8</v>
      </c>
      <c r="J66" s="20"/>
      <c r="K66" s="20">
        <f>K65-K64</f>
        <v>291.75</v>
      </c>
    </row>
    <row r="67" spans="1:11" x14ac:dyDescent="0.25">
      <c r="A67">
        <v>0.2</v>
      </c>
      <c r="B67" s="146">
        <v>15</v>
      </c>
      <c r="C67" s="146">
        <v>10</v>
      </c>
      <c r="D67" s="146">
        <v>24</v>
      </c>
      <c r="E67" s="146">
        <v>21</v>
      </c>
      <c r="F67" s="146">
        <v>26</v>
      </c>
      <c r="G67" s="22">
        <f>SUM(B67:F67)</f>
        <v>96</v>
      </c>
      <c r="H67" s="23">
        <f>AVERAGE(G67:G68)</f>
        <v>93.5</v>
      </c>
      <c r="I67" s="24">
        <f>(H67/I63)*100</f>
        <v>27.31238888888889</v>
      </c>
    </row>
    <row r="68" spans="1:11" x14ac:dyDescent="0.25">
      <c r="A68">
        <v>0.2</v>
      </c>
      <c r="B68" s="146">
        <v>14</v>
      </c>
      <c r="C68" s="146">
        <v>19</v>
      </c>
      <c r="D68" s="146">
        <v>22</v>
      </c>
      <c r="E68" s="146">
        <v>14</v>
      </c>
      <c r="F68" s="146">
        <v>22</v>
      </c>
      <c r="G68" s="22">
        <f t="shared" ref="G68" si="8">SUM(B68:F68)</f>
        <v>91</v>
      </c>
      <c r="H68" s="20"/>
      <c r="I68" s="20"/>
      <c r="J68" t="s">
        <v>137</v>
      </c>
    </row>
    <row r="69" spans="1:11" x14ac:dyDescent="0.25">
      <c r="J69" s="24">
        <f>SUM(I67,I71)</f>
        <v>38.125880952380953</v>
      </c>
    </row>
    <row r="70" spans="1:11" x14ac:dyDescent="0.25">
      <c r="A70" t="s">
        <v>19</v>
      </c>
      <c r="G70" t="s">
        <v>12</v>
      </c>
      <c r="H70" s="1" t="s">
        <v>36</v>
      </c>
      <c r="I70" s="20" t="s">
        <v>8</v>
      </c>
    </row>
    <row r="71" spans="1:11" x14ac:dyDescent="0.25">
      <c r="A71">
        <v>0.2</v>
      </c>
      <c r="B71" s="146">
        <v>9</v>
      </c>
      <c r="C71" s="146">
        <v>8</v>
      </c>
      <c r="D71" s="146">
        <v>9</v>
      </c>
      <c r="E71" s="146">
        <v>17</v>
      </c>
      <c r="F71" s="146">
        <v>9</v>
      </c>
      <c r="G71" s="22">
        <f>SUM(B71:F71)</f>
        <v>52</v>
      </c>
      <c r="H71" s="23">
        <f>AVERAGE(G71:G72)</f>
        <v>54.5</v>
      </c>
      <c r="I71" s="24">
        <f>(H71/I64)*100</f>
        <v>10.813492063492063</v>
      </c>
    </row>
    <row r="72" spans="1:11" x14ac:dyDescent="0.25">
      <c r="A72">
        <v>0.2</v>
      </c>
      <c r="B72" s="146">
        <v>9</v>
      </c>
      <c r="C72" s="146">
        <v>13</v>
      </c>
      <c r="D72" s="146">
        <v>15</v>
      </c>
      <c r="E72" s="146">
        <v>11</v>
      </c>
      <c r="F72" s="146">
        <v>9</v>
      </c>
      <c r="G72" s="22">
        <f t="shared" ref="G72" si="9">SUM(B72:F72)</f>
        <v>57</v>
      </c>
      <c r="H72" s="20"/>
      <c r="I72" s="20"/>
    </row>
    <row r="75" spans="1:11" x14ac:dyDescent="0.25">
      <c r="A75" s="11">
        <v>42760</v>
      </c>
      <c r="B75" t="s">
        <v>11</v>
      </c>
    </row>
    <row r="76" spans="1:11" x14ac:dyDescent="0.25">
      <c r="A76" t="s">
        <v>163</v>
      </c>
    </row>
    <row r="77" spans="1:11" x14ac:dyDescent="0.25">
      <c r="A77" t="s">
        <v>20</v>
      </c>
    </row>
    <row r="78" spans="1:11" x14ac:dyDescent="0.25">
      <c r="A78" t="s">
        <v>21</v>
      </c>
    </row>
    <row r="79" spans="1:11" x14ac:dyDescent="0.25">
      <c r="A79" t="s">
        <v>5</v>
      </c>
      <c r="G79" t="s">
        <v>10</v>
      </c>
      <c r="H79" t="s">
        <v>16</v>
      </c>
      <c r="I79" t="s">
        <v>2</v>
      </c>
      <c r="J79" s="26" t="s">
        <v>18</v>
      </c>
    </row>
    <row r="80" spans="1:11" x14ac:dyDescent="0.25">
      <c r="A80" s="1" t="s">
        <v>0</v>
      </c>
      <c r="B80" s="153" t="s">
        <v>1</v>
      </c>
      <c r="C80" s="154"/>
      <c r="D80" s="144"/>
      <c r="E80" s="1" t="s">
        <v>2</v>
      </c>
      <c r="F80" s="2" t="s">
        <v>3</v>
      </c>
      <c r="G80" s="25">
        <f>E81*B$4</f>
        <v>101500</v>
      </c>
      <c r="H80" s="20">
        <f>K82</f>
        <v>226.60000000000002</v>
      </c>
      <c r="I80" s="21">
        <f>G80/H80</f>
        <v>447.92586054721971</v>
      </c>
      <c r="J80" s="20">
        <v>277.89999999999998</v>
      </c>
      <c r="K80" s="20"/>
    </row>
    <row r="81" spans="1:11" x14ac:dyDescent="0.25">
      <c r="A81" s="3">
        <v>9.9999999999999995E-8</v>
      </c>
      <c r="B81" s="4">
        <v>108</v>
      </c>
      <c r="C81" s="146">
        <v>95</v>
      </c>
      <c r="D81" s="6">
        <f>AVERAGE(B81:C81)</f>
        <v>101.5</v>
      </c>
      <c r="E81" s="7">
        <f t="shared" ref="E81" si="10">D81/A81</f>
        <v>1015000000</v>
      </c>
      <c r="F81" s="9">
        <f>LOG(E81)</f>
        <v>9.0064660422492313</v>
      </c>
      <c r="H81">
        <v>250</v>
      </c>
      <c r="I81" s="21">
        <f>G80/H81</f>
        <v>406</v>
      </c>
      <c r="J81" s="20">
        <v>460.5</v>
      </c>
      <c r="K81" s="20">
        <f>J81-J80</f>
        <v>182.60000000000002</v>
      </c>
    </row>
    <row r="82" spans="1:11" x14ac:dyDescent="0.25">
      <c r="H82">
        <f>SUM(H80:H81)</f>
        <v>476.6</v>
      </c>
      <c r="J82" s="20">
        <f>479.5+25</f>
        <v>504.5</v>
      </c>
      <c r="K82" s="20">
        <f>J82-J80</f>
        <v>226.60000000000002</v>
      </c>
    </row>
    <row r="83" spans="1:11" x14ac:dyDescent="0.25">
      <c r="A83" t="s">
        <v>13</v>
      </c>
      <c r="G83" t="s">
        <v>12</v>
      </c>
      <c r="H83" s="1" t="s">
        <v>36</v>
      </c>
      <c r="I83" s="20" t="s">
        <v>8</v>
      </c>
      <c r="J83" s="20"/>
      <c r="K83" s="20">
        <f>K82-K81</f>
        <v>44</v>
      </c>
    </row>
    <row r="84" spans="1:11" x14ac:dyDescent="0.25">
      <c r="A84">
        <v>0.2</v>
      </c>
      <c r="B84" s="146">
        <v>26</v>
      </c>
      <c r="C84" s="146">
        <v>32</v>
      </c>
      <c r="D84" s="146">
        <v>19</v>
      </c>
      <c r="E84" s="146">
        <v>24</v>
      </c>
      <c r="F84" s="146">
        <v>21</v>
      </c>
      <c r="G84" s="22">
        <f>SUM(B84:F84)</f>
        <v>122</v>
      </c>
      <c r="H84" s="23">
        <f>AVERAGE(G84:G85)</f>
        <v>136.5</v>
      </c>
      <c r="I84" s="24">
        <f>(H84/I80)*100</f>
        <v>30.473793103448283</v>
      </c>
    </row>
    <row r="85" spans="1:11" x14ac:dyDescent="0.25">
      <c r="A85">
        <v>0.2</v>
      </c>
      <c r="B85" s="146">
        <v>22</v>
      </c>
      <c r="C85" s="146">
        <v>36</v>
      </c>
      <c r="D85" s="146">
        <v>27</v>
      </c>
      <c r="E85" s="146">
        <v>35</v>
      </c>
      <c r="F85" s="146">
        <v>31</v>
      </c>
      <c r="G85" s="22">
        <f t="shared" ref="G85" si="11">SUM(B85:F85)</f>
        <v>151</v>
      </c>
      <c r="H85" s="20"/>
      <c r="I85" s="20"/>
      <c r="J85" t="s">
        <v>137</v>
      </c>
    </row>
    <row r="86" spans="1:11" x14ac:dyDescent="0.25">
      <c r="J86" s="24">
        <f>SUM(I84,I88)</f>
        <v>40.941773399014785</v>
      </c>
    </row>
    <row r="87" spans="1:11" x14ac:dyDescent="0.25">
      <c r="A87" t="s">
        <v>19</v>
      </c>
      <c r="G87" t="s">
        <v>12</v>
      </c>
      <c r="H87" s="1" t="s">
        <v>36</v>
      </c>
      <c r="I87" s="20" t="s">
        <v>8</v>
      </c>
    </row>
    <row r="88" spans="1:11" x14ac:dyDescent="0.25">
      <c r="A88">
        <v>0.2</v>
      </c>
      <c r="B88" s="146">
        <v>5</v>
      </c>
      <c r="C88" s="146">
        <v>9</v>
      </c>
      <c r="D88" s="146">
        <v>6</v>
      </c>
      <c r="E88" s="146">
        <v>7</v>
      </c>
      <c r="F88" s="146">
        <v>4</v>
      </c>
      <c r="G88" s="22">
        <f>SUM(B88:F88)</f>
        <v>31</v>
      </c>
      <c r="H88" s="23">
        <f>AVERAGE(G88:G89)</f>
        <v>42.5</v>
      </c>
      <c r="I88" s="24">
        <f>(H88/I81)*100</f>
        <v>10.467980295566502</v>
      </c>
    </row>
    <row r="89" spans="1:11" x14ac:dyDescent="0.25">
      <c r="A89">
        <v>0.2</v>
      </c>
      <c r="B89" s="146">
        <v>14</v>
      </c>
      <c r="C89" s="146">
        <v>15</v>
      </c>
      <c r="D89" s="146">
        <v>8</v>
      </c>
      <c r="E89" s="146">
        <v>9</v>
      </c>
      <c r="F89" s="146">
        <v>8</v>
      </c>
      <c r="G89" s="22">
        <f t="shared" ref="G89" si="12">SUM(B89:F89)</f>
        <v>54</v>
      </c>
      <c r="H89" s="20"/>
      <c r="I89" s="20"/>
    </row>
    <row r="92" spans="1:11" x14ac:dyDescent="0.25">
      <c r="A92" s="11">
        <v>42765</v>
      </c>
      <c r="B92" t="s">
        <v>11</v>
      </c>
    </row>
    <row r="93" spans="1:11" x14ac:dyDescent="0.25">
      <c r="A93" t="s">
        <v>164</v>
      </c>
    </row>
    <row r="94" spans="1:11" x14ac:dyDescent="0.25">
      <c r="A94" t="s">
        <v>20</v>
      </c>
    </row>
    <row r="95" spans="1:11" x14ac:dyDescent="0.25">
      <c r="A95" t="s">
        <v>21</v>
      </c>
    </row>
    <row r="96" spans="1:11" x14ac:dyDescent="0.25">
      <c r="A96" t="s">
        <v>5</v>
      </c>
      <c r="G96" t="s">
        <v>10</v>
      </c>
      <c r="H96" t="s">
        <v>16</v>
      </c>
      <c r="I96" t="s">
        <v>2</v>
      </c>
      <c r="J96" s="26" t="s">
        <v>18</v>
      </c>
    </row>
    <row r="97" spans="1:11" x14ac:dyDescent="0.25">
      <c r="A97" s="1" t="s">
        <v>0</v>
      </c>
      <c r="B97" s="153" t="s">
        <v>1</v>
      </c>
      <c r="C97" s="154"/>
      <c r="D97" s="144"/>
      <c r="E97" s="1" t="s">
        <v>2</v>
      </c>
      <c r="F97" s="2" t="s">
        <v>3</v>
      </c>
      <c r="G97" s="25">
        <f>E98*B$4</f>
        <v>94500</v>
      </c>
      <c r="H97" s="20">
        <f>K99</f>
        <v>429.48</v>
      </c>
      <c r="I97" s="21">
        <f>G97/H97</f>
        <v>220.03352891869235</v>
      </c>
      <c r="J97" s="20">
        <v>274.35000000000002</v>
      </c>
      <c r="K97" s="20"/>
    </row>
    <row r="98" spans="1:11" x14ac:dyDescent="0.25">
      <c r="A98" s="3">
        <v>9.9999999999999995E-8</v>
      </c>
      <c r="B98" s="4">
        <v>106</v>
      </c>
      <c r="C98" s="146">
        <v>83</v>
      </c>
      <c r="D98" s="6">
        <f>AVERAGE(B98:C98)</f>
        <v>94.5</v>
      </c>
      <c r="E98" s="7">
        <f>D98/A98</f>
        <v>945000000</v>
      </c>
      <c r="F98" s="9">
        <f>LOG(E98)</f>
        <v>8.9754318085092635</v>
      </c>
      <c r="H98">
        <v>270</v>
      </c>
      <c r="I98" s="21">
        <f>G97/H98</f>
        <v>350</v>
      </c>
      <c r="J98" s="20">
        <v>604.55999999999995</v>
      </c>
      <c r="K98" s="20">
        <f>J98-J97</f>
        <v>330.20999999999992</v>
      </c>
    </row>
    <row r="99" spans="1:11" x14ac:dyDescent="0.25">
      <c r="H99">
        <f>SUM(H97:H98)</f>
        <v>699.48</v>
      </c>
      <c r="J99" s="20">
        <f>678.83+25</f>
        <v>703.83</v>
      </c>
      <c r="K99" s="20">
        <f>J99-J97</f>
        <v>429.48</v>
      </c>
    </row>
    <row r="100" spans="1:11" x14ac:dyDescent="0.25">
      <c r="A100" t="s">
        <v>13</v>
      </c>
      <c r="G100" t="s">
        <v>12</v>
      </c>
      <c r="H100" s="1" t="s">
        <v>36</v>
      </c>
      <c r="I100" s="20" t="s">
        <v>8</v>
      </c>
      <c r="J100" s="20"/>
      <c r="K100" s="20">
        <f>K99-K98</f>
        <v>99.270000000000095</v>
      </c>
    </row>
    <row r="101" spans="1:11" x14ac:dyDescent="0.25">
      <c r="A101">
        <v>0.2</v>
      </c>
      <c r="B101" s="146">
        <v>15</v>
      </c>
      <c r="C101" s="146">
        <v>20</v>
      </c>
      <c r="D101" s="146">
        <v>22</v>
      </c>
      <c r="E101" s="146">
        <v>21</v>
      </c>
      <c r="F101" s="146">
        <v>21</v>
      </c>
      <c r="G101" s="22">
        <f>SUM(B101:F101)</f>
        <v>99</v>
      </c>
      <c r="H101" s="23">
        <f>AVERAGE(G101:G102)</f>
        <v>93.5</v>
      </c>
      <c r="I101" s="24">
        <f>(H101/I97)*100</f>
        <v>42.493523809523815</v>
      </c>
    </row>
    <row r="102" spans="1:11" x14ac:dyDescent="0.25">
      <c r="A102">
        <v>0.2</v>
      </c>
      <c r="B102" s="146">
        <v>18</v>
      </c>
      <c r="C102" s="146">
        <v>17</v>
      </c>
      <c r="D102" s="146">
        <v>19</v>
      </c>
      <c r="E102" s="146">
        <v>19</v>
      </c>
      <c r="F102" s="146">
        <v>15</v>
      </c>
      <c r="G102" s="22">
        <f t="shared" ref="G102" si="13">SUM(B102:F102)</f>
        <v>88</v>
      </c>
      <c r="H102" s="20"/>
      <c r="I102" s="20"/>
      <c r="J102" t="s">
        <v>137</v>
      </c>
    </row>
    <row r="103" spans="1:11" x14ac:dyDescent="0.25">
      <c r="J103" s="24">
        <f>SUM(I101,I105)</f>
        <v>51.493523809523815</v>
      </c>
    </row>
    <row r="104" spans="1:11" x14ac:dyDescent="0.25">
      <c r="A104" t="s">
        <v>19</v>
      </c>
      <c r="G104" t="s">
        <v>12</v>
      </c>
      <c r="H104" s="1" t="s">
        <v>36</v>
      </c>
      <c r="I104" s="20" t="s">
        <v>8</v>
      </c>
    </row>
    <row r="105" spans="1:11" x14ac:dyDescent="0.25">
      <c r="A105">
        <v>0.2</v>
      </c>
      <c r="B105" s="146">
        <v>5</v>
      </c>
      <c r="C105" s="146">
        <v>4</v>
      </c>
      <c r="D105" s="146">
        <v>5</v>
      </c>
      <c r="E105" s="146">
        <v>5</v>
      </c>
      <c r="F105" s="146">
        <v>9</v>
      </c>
      <c r="G105" s="22">
        <f>SUM(B105:F105)</f>
        <v>28</v>
      </c>
      <c r="H105" s="23">
        <f>AVERAGE(G105:G106)</f>
        <v>31.5</v>
      </c>
      <c r="I105" s="24">
        <f>(H105/I98)*100</f>
        <v>9</v>
      </c>
    </row>
    <row r="106" spans="1:11" x14ac:dyDescent="0.25">
      <c r="A106">
        <v>0.2</v>
      </c>
      <c r="B106" s="146">
        <v>4</v>
      </c>
      <c r="C106" s="146">
        <v>5</v>
      </c>
      <c r="D106" s="146">
        <v>6</v>
      </c>
      <c r="E106" s="146">
        <v>9</v>
      </c>
      <c r="F106" s="146">
        <v>11</v>
      </c>
      <c r="G106" s="22">
        <f t="shared" ref="G106" si="14">SUM(B106:F106)</f>
        <v>35</v>
      </c>
      <c r="H106" s="20"/>
      <c r="I106" s="20"/>
    </row>
    <row r="109" spans="1:11" x14ac:dyDescent="0.25">
      <c r="A109" s="11">
        <v>42772</v>
      </c>
      <c r="B109" t="s">
        <v>11</v>
      </c>
    </row>
    <row r="110" spans="1:11" x14ac:dyDescent="0.25">
      <c r="A110" t="s">
        <v>164</v>
      </c>
    </row>
    <row r="111" spans="1:11" x14ac:dyDescent="0.25">
      <c r="A111" t="s">
        <v>20</v>
      </c>
    </row>
    <row r="112" spans="1:11" x14ac:dyDescent="0.25">
      <c r="A112" t="s">
        <v>21</v>
      </c>
    </row>
    <row r="113" spans="1:11" x14ac:dyDescent="0.25">
      <c r="A113" t="s">
        <v>5</v>
      </c>
      <c r="G113" t="s">
        <v>10</v>
      </c>
      <c r="H113" t="s">
        <v>16</v>
      </c>
      <c r="I113" t="s">
        <v>2</v>
      </c>
      <c r="J113" s="26" t="s">
        <v>18</v>
      </c>
    </row>
    <row r="114" spans="1:11" x14ac:dyDescent="0.25">
      <c r="A114" s="1" t="s">
        <v>0</v>
      </c>
      <c r="B114" s="153" t="s">
        <v>1</v>
      </c>
      <c r="C114" s="154"/>
      <c r="D114" s="144"/>
      <c r="E114" s="1" t="s">
        <v>2</v>
      </c>
      <c r="F114" s="2" t="s">
        <v>3</v>
      </c>
      <c r="G114" s="25">
        <f>E115*B$4</f>
        <v>112000</v>
      </c>
      <c r="H114" s="20">
        <f>K116</f>
        <v>299.10000000000002</v>
      </c>
      <c r="I114" s="21">
        <f>G114/H114</f>
        <v>374.45670344366431</v>
      </c>
      <c r="J114" s="20">
        <v>275.35000000000002</v>
      </c>
      <c r="K114" s="20"/>
    </row>
    <row r="115" spans="1:11" x14ac:dyDescent="0.25">
      <c r="A115" s="3">
        <v>9.9999999999999995E-8</v>
      </c>
      <c r="B115" s="4">
        <v>115</v>
      </c>
      <c r="C115" s="146">
        <v>109</v>
      </c>
      <c r="D115" s="6">
        <f>AVERAGE(B115:C115)</f>
        <v>112</v>
      </c>
      <c r="E115" s="7">
        <f t="shared" ref="E115" si="15">D115/A115</f>
        <v>1120000000</v>
      </c>
      <c r="F115" s="9">
        <f>LOG(E115)</f>
        <v>9.0492180226701819</v>
      </c>
      <c r="H115">
        <v>260</v>
      </c>
      <c r="I115" s="21">
        <f>G114/H115</f>
        <v>430.76923076923077</v>
      </c>
      <c r="J115" s="20">
        <v>487.88</v>
      </c>
      <c r="K115" s="20">
        <f>J115-J114</f>
        <v>212.52999999999997</v>
      </c>
    </row>
    <row r="116" spans="1:11" x14ac:dyDescent="0.25">
      <c r="H116">
        <f>SUM(H114:H115)</f>
        <v>559.1</v>
      </c>
      <c r="J116" s="20">
        <f>549.45+25</f>
        <v>574.45000000000005</v>
      </c>
      <c r="K116" s="20">
        <f>J116-J114</f>
        <v>299.10000000000002</v>
      </c>
    </row>
    <row r="117" spans="1:11" x14ac:dyDescent="0.25">
      <c r="A117" t="s">
        <v>13</v>
      </c>
      <c r="G117" t="s">
        <v>12</v>
      </c>
      <c r="H117" s="1" t="s">
        <v>36</v>
      </c>
      <c r="I117" s="20" t="s">
        <v>8</v>
      </c>
      <c r="J117" s="20"/>
      <c r="K117" s="20">
        <f>K116-K115</f>
        <v>86.57000000000005</v>
      </c>
    </row>
    <row r="118" spans="1:11" x14ac:dyDescent="0.25">
      <c r="A118">
        <v>0.2</v>
      </c>
      <c r="B118" s="146">
        <v>17</v>
      </c>
      <c r="C118" s="146">
        <v>32</v>
      </c>
      <c r="D118" s="146">
        <v>36</v>
      </c>
      <c r="E118" s="146">
        <v>23</v>
      </c>
      <c r="F118" s="146">
        <v>28</v>
      </c>
      <c r="G118" s="22">
        <f>SUM(B118:F118)</f>
        <v>136</v>
      </c>
      <c r="H118" s="23">
        <f>AVERAGE(G118:G119)</f>
        <v>132.5</v>
      </c>
      <c r="I118" s="24">
        <f>(H118/I114)*100</f>
        <v>35.384598214285717</v>
      </c>
    </row>
    <row r="119" spans="1:11" x14ac:dyDescent="0.25">
      <c r="A119">
        <v>0.2</v>
      </c>
      <c r="B119" s="146">
        <v>26</v>
      </c>
      <c r="C119" s="146">
        <v>22</v>
      </c>
      <c r="D119" s="146">
        <v>24</v>
      </c>
      <c r="E119" s="146">
        <v>25</v>
      </c>
      <c r="F119" s="146">
        <v>32</v>
      </c>
      <c r="G119" s="22">
        <f t="shared" ref="G119" si="16">SUM(B119:F119)</f>
        <v>129</v>
      </c>
      <c r="H119" s="20"/>
      <c r="I119" s="20"/>
      <c r="J119" t="s">
        <v>137</v>
      </c>
    </row>
    <row r="120" spans="1:11" x14ac:dyDescent="0.25">
      <c r="J120" s="24">
        <f>SUM(I118,I122)</f>
        <v>44.089955357142856</v>
      </c>
    </row>
    <row r="121" spans="1:11" x14ac:dyDescent="0.25">
      <c r="A121" t="s">
        <v>19</v>
      </c>
      <c r="G121" t="s">
        <v>12</v>
      </c>
      <c r="H121" s="1" t="s">
        <v>36</v>
      </c>
      <c r="I121" s="20" t="s">
        <v>8</v>
      </c>
    </row>
    <row r="122" spans="1:11" x14ac:dyDescent="0.25">
      <c r="A122">
        <v>0.2</v>
      </c>
      <c r="B122" s="146">
        <v>10</v>
      </c>
      <c r="C122" s="146">
        <v>11</v>
      </c>
      <c r="D122" s="146">
        <v>10</v>
      </c>
      <c r="E122" s="146">
        <v>6</v>
      </c>
      <c r="F122" s="146">
        <v>3</v>
      </c>
      <c r="G122" s="22">
        <f>SUM(B122:F122)</f>
        <v>40</v>
      </c>
      <c r="H122" s="23">
        <f>AVERAGE(G122:G123)</f>
        <v>37.5</v>
      </c>
      <c r="I122" s="24">
        <f>(H122/I115)*100</f>
        <v>8.7053571428571423</v>
      </c>
    </row>
    <row r="123" spans="1:11" x14ac:dyDescent="0.25">
      <c r="A123">
        <v>0.2</v>
      </c>
      <c r="B123" s="146">
        <v>7</v>
      </c>
      <c r="C123" s="146">
        <v>4</v>
      </c>
      <c r="D123" s="146">
        <v>8</v>
      </c>
      <c r="E123" s="146">
        <v>10</v>
      </c>
      <c r="F123" s="146">
        <v>6</v>
      </c>
      <c r="G123" s="22">
        <f t="shared" ref="G123" si="17">SUM(B123:F123)</f>
        <v>35</v>
      </c>
      <c r="H123" s="20"/>
      <c r="I123" s="20"/>
    </row>
    <row r="126" spans="1:11" x14ac:dyDescent="0.25">
      <c r="A126" s="11">
        <v>42779</v>
      </c>
      <c r="B126" t="s">
        <v>11</v>
      </c>
    </row>
    <row r="127" spans="1:11" x14ac:dyDescent="0.25">
      <c r="A127" t="s">
        <v>164</v>
      </c>
    </row>
    <row r="128" spans="1:11" x14ac:dyDescent="0.25">
      <c r="A128" t="s">
        <v>20</v>
      </c>
    </row>
    <row r="129" spans="1:11" x14ac:dyDescent="0.25">
      <c r="A129" t="s">
        <v>21</v>
      </c>
    </row>
    <row r="130" spans="1:11" x14ac:dyDescent="0.25">
      <c r="A130" t="s">
        <v>5</v>
      </c>
      <c r="G130" t="s">
        <v>10</v>
      </c>
      <c r="H130" t="s">
        <v>16</v>
      </c>
      <c r="I130" t="s">
        <v>2</v>
      </c>
      <c r="J130" s="26" t="s">
        <v>18</v>
      </c>
    </row>
    <row r="131" spans="1:11" x14ac:dyDescent="0.25">
      <c r="A131" s="1" t="s">
        <v>0</v>
      </c>
      <c r="B131" s="153" t="s">
        <v>1</v>
      </c>
      <c r="C131" s="154"/>
      <c r="D131" s="144"/>
      <c r="E131" s="1" t="s">
        <v>2</v>
      </c>
      <c r="F131" s="2" t="s">
        <v>3</v>
      </c>
      <c r="G131" s="25">
        <f>E132*B$4</f>
        <v>99500</v>
      </c>
      <c r="H131" s="20">
        <f>K133</f>
        <v>427.69999999999993</v>
      </c>
      <c r="I131" s="21">
        <f>G131/H131</f>
        <v>232.63970072480714</v>
      </c>
      <c r="J131" s="20">
        <v>258.22000000000003</v>
      </c>
      <c r="K131" s="20"/>
    </row>
    <row r="132" spans="1:11" x14ac:dyDescent="0.25">
      <c r="A132" s="3">
        <v>9.9999999999999995E-8</v>
      </c>
      <c r="B132" s="4">
        <v>112</v>
      </c>
      <c r="C132" s="146">
        <v>87</v>
      </c>
      <c r="D132" s="6">
        <f>AVERAGE(B132:C132)</f>
        <v>99.5</v>
      </c>
      <c r="E132" s="7">
        <f t="shared" ref="E132" si="18">D132/A132</f>
        <v>995000000</v>
      </c>
      <c r="F132" s="9">
        <f>LOG(E132)</f>
        <v>8.9978230807457251</v>
      </c>
      <c r="H132">
        <v>250</v>
      </c>
      <c r="I132" s="21">
        <f>G131/H132</f>
        <v>398</v>
      </c>
      <c r="J132" s="20">
        <v>600.77</v>
      </c>
      <c r="K132" s="20">
        <f>J132-J131</f>
        <v>342.54999999999995</v>
      </c>
    </row>
    <row r="133" spans="1:11" x14ac:dyDescent="0.25">
      <c r="H133">
        <f>SUM(H131:H132)</f>
        <v>677.69999999999993</v>
      </c>
      <c r="J133" s="20">
        <f>660.92+25</f>
        <v>685.92</v>
      </c>
      <c r="K133" s="20">
        <f>J133-J131</f>
        <v>427.69999999999993</v>
      </c>
    </row>
    <row r="134" spans="1:11" x14ac:dyDescent="0.25">
      <c r="A134" t="s">
        <v>13</v>
      </c>
      <c r="G134" t="s">
        <v>12</v>
      </c>
      <c r="H134" s="1" t="s">
        <v>36</v>
      </c>
      <c r="I134" s="20" t="s">
        <v>8</v>
      </c>
      <c r="J134" s="20"/>
      <c r="K134" s="20">
        <f>K133-K132</f>
        <v>85.149999999999977</v>
      </c>
    </row>
    <row r="135" spans="1:11" x14ac:dyDescent="0.25">
      <c r="A135">
        <v>0.2</v>
      </c>
      <c r="B135" s="146">
        <v>17</v>
      </c>
      <c r="C135" s="146">
        <v>15</v>
      </c>
      <c r="D135" s="146">
        <v>20</v>
      </c>
      <c r="E135" s="146">
        <v>19</v>
      </c>
      <c r="F135" s="146">
        <v>14</v>
      </c>
      <c r="G135" s="22">
        <f>SUM(B135:F135)</f>
        <v>85</v>
      </c>
      <c r="H135" s="23">
        <f>AVERAGE(G135:G136)</f>
        <v>87.5</v>
      </c>
      <c r="I135" s="24">
        <f>(H135/I131)*100</f>
        <v>37.611809045226124</v>
      </c>
    </row>
    <row r="136" spans="1:11" x14ac:dyDescent="0.25">
      <c r="A136">
        <v>0.2</v>
      </c>
      <c r="B136" s="146">
        <v>24</v>
      </c>
      <c r="C136" s="146">
        <v>16</v>
      </c>
      <c r="D136" s="146">
        <v>18</v>
      </c>
      <c r="E136" s="146">
        <v>13</v>
      </c>
      <c r="F136" s="146">
        <v>19</v>
      </c>
      <c r="G136" s="22">
        <f t="shared" ref="G136" si="19">SUM(B136:F136)</f>
        <v>90</v>
      </c>
      <c r="H136" s="20"/>
      <c r="I136" s="20"/>
      <c r="J136" t="s">
        <v>137</v>
      </c>
    </row>
    <row r="137" spans="1:11" x14ac:dyDescent="0.25">
      <c r="J137" s="24">
        <f>SUM(I135,I139)</f>
        <v>42.511306532663312</v>
      </c>
    </row>
    <row r="138" spans="1:11" x14ac:dyDescent="0.25">
      <c r="A138" t="s">
        <v>19</v>
      </c>
      <c r="G138" t="s">
        <v>12</v>
      </c>
      <c r="H138" s="1" t="s">
        <v>36</v>
      </c>
      <c r="I138" s="20" t="s">
        <v>8</v>
      </c>
    </row>
    <row r="139" spans="1:11" x14ac:dyDescent="0.25">
      <c r="A139">
        <v>0.2</v>
      </c>
      <c r="B139" s="146">
        <v>4</v>
      </c>
      <c r="C139" s="146">
        <v>4</v>
      </c>
      <c r="D139" s="146">
        <v>2</v>
      </c>
      <c r="E139" s="146">
        <v>4</v>
      </c>
      <c r="F139" s="146">
        <v>7</v>
      </c>
      <c r="G139" s="22">
        <f>SUM(B139:F139)</f>
        <v>21</v>
      </c>
      <c r="H139" s="23">
        <f>AVERAGE(G139:G140)</f>
        <v>19.5</v>
      </c>
      <c r="I139" s="24">
        <f>(H139/I132)*100</f>
        <v>4.8994974874371859</v>
      </c>
    </row>
    <row r="140" spans="1:11" x14ac:dyDescent="0.25">
      <c r="A140">
        <v>0.2</v>
      </c>
      <c r="B140" s="146">
        <v>2</v>
      </c>
      <c r="C140" s="146">
        <v>4</v>
      </c>
      <c r="D140" s="146">
        <v>3</v>
      </c>
      <c r="E140" s="146">
        <v>2</v>
      </c>
      <c r="F140" s="146">
        <v>7</v>
      </c>
      <c r="G140" s="22">
        <f t="shared" ref="G140" si="20">SUM(B140:F140)</f>
        <v>18</v>
      </c>
      <c r="H140" s="20"/>
      <c r="I140" s="20"/>
    </row>
    <row r="143" spans="1:11" x14ac:dyDescent="0.25">
      <c r="A143" s="27">
        <v>42780</v>
      </c>
      <c r="B143" t="s">
        <v>22</v>
      </c>
    </row>
    <row r="144" spans="1:11" x14ac:dyDescent="0.25">
      <c r="A144" t="s">
        <v>165</v>
      </c>
    </row>
    <row r="145" spans="1:11" x14ac:dyDescent="0.25">
      <c r="A145" t="s">
        <v>21</v>
      </c>
      <c r="J145" s="26"/>
    </row>
    <row r="146" spans="1:11" x14ac:dyDescent="0.25">
      <c r="A146" t="s">
        <v>5</v>
      </c>
      <c r="G146" t="s">
        <v>10</v>
      </c>
      <c r="H146" t="s">
        <v>16</v>
      </c>
      <c r="I146" t="s">
        <v>2</v>
      </c>
      <c r="J146" s="26" t="s">
        <v>18</v>
      </c>
    </row>
    <row r="147" spans="1:11" x14ac:dyDescent="0.25">
      <c r="A147" s="1" t="s">
        <v>0</v>
      </c>
      <c r="B147" s="153" t="s">
        <v>1</v>
      </c>
      <c r="C147" s="154"/>
      <c r="D147" s="144"/>
      <c r="E147" s="1" t="s">
        <v>2</v>
      </c>
      <c r="F147" s="2" t="s">
        <v>3</v>
      </c>
      <c r="G147" s="25">
        <f>E148*B$4</f>
        <v>100500</v>
      </c>
      <c r="H147" s="20">
        <f>K149</f>
        <v>393.91999999999996</v>
      </c>
      <c r="I147" s="21">
        <f>G147/H147</f>
        <v>255.12794476035745</v>
      </c>
      <c r="J147" s="20">
        <v>274.14</v>
      </c>
      <c r="K147" s="20"/>
    </row>
    <row r="148" spans="1:11" x14ac:dyDescent="0.25">
      <c r="A148" s="3">
        <v>9.9999999999999995E-8</v>
      </c>
      <c r="B148" s="4">
        <v>99</v>
      </c>
      <c r="C148" s="146">
        <v>102</v>
      </c>
      <c r="D148" s="6">
        <f>AVERAGE(B148:C148)</f>
        <v>100.5</v>
      </c>
      <c r="E148" s="7">
        <f t="shared" ref="E148" si="21">D148/A148</f>
        <v>1005000000</v>
      </c>
      <c r="F148" s="62">
        <f>LOG(E148)</f>
        <v>9.0021660617565082</v>
      </c>
      <c r="H148">
        <v>250</v>
      </c>
      <c r="I148" s="21">
        <f>G147/H148</f>
        <v>402</v>
      </c>
      <c r="J148" s="20">
        <v>571.77</v>
      </c>
      <c r="K148" s="20">
        <f>J148-J147</f>
        <v>297.63</v>
      </c>
    </row>
    <row r="149" spans="1:11" x14ac:dyDescent="0.25">
      <c r="H149">
        <f>SUM(H147:H148)</f>
        <v>643.91999999999996</v>
      </c>
      <c r="J149" s="20">
        <f>643.06+25</f>
        <v>668.06</v>
      </c>
      <c r="K149" s="20">
        <f>J149-J147</f>
        <v>393.91999999999996</v>
      </c>
    </row>
    <row r="150" spans="1:11" x14ac:dyDescent="0.25">
      <c r="A150" t="s">
        <v>44</v>
      </c>
      <c r="G150" t="s">
        <v>12</v>
      </c>
      <c r="H150" s="1" t="s">
        <v>36</v>
      </c>
      <c r="I150" s="20" t="s">
        <v>8</v>
      </c>
      <c r="J150" s="20"/>
      <c r="K150" s="20">
        <f>K149-K148</f>
        <v>96.289999999999964</v>
      </c>
    </row>
    <row r="151" spans="1:11" x14ac:dyDescent="0.25">
      <c r="A151">
        <v>0.2</v>
      </c>
      <c r="B151" s="146">
        <v>12</v>
      </c>
      <c r="C151" s="146">
        <v>17</v>
      </c>
      <c r="D151" s="146">
        <v>18</v>
      </c>
      <c r="E151" s="146">
        <v>9</v>
      </c>
      <c r="F151" s="146">
        <v>11</v>
      </c>
      <c r="G151" s="22">
        <f>SUM(B151:F151)</f>
        <v>67</v>
      </c>
      <c r="H151" s="23">
        <f>AVERAGE(G151:G152)</f>
        <v>69.5</v>
      </c>
      <c r="I151" s="24">
        <f>(H151/I147)*100</f>
        <v>27.241233830845768</v>
      </c>
    </row>
    <row r="152" spans="1:11" x14ac:dyDescent="0.25">
      <c r="A152">
        <v>0.2</v>
      </c>
      <c r="B152" s="146">
        <v>12</v>
      </c>
      <c r="C152" s="146">
        <v>15</v>
      </c>
      <c r="D152" s="146">
        <v>15</v>
      </c>
      <c r="E152" s="146">
        <v>14</v>
      </c>
      <c r="F152" s="146">
        <v>16</v>
      </c>
      <c r="G152" s="22">
        <f t="shared" ref="G152" si="22">SUM(B152:F152)</f>
        <v>72</v>
      </c>
      <c r="H152" s="20"/>
      <c r="I152" s="20"/>
      <c r="J152" t="s">
        <v>137</v>
      </c>
    </row>
    <row r="153" spans="1:11" x14ac:dyDescent="0.25">
      <c r="J153" s="24">
        <f>SUM(I151,I155)</f>
        <v>33.087004975124373</v>
      </c>
    </row>
    <row r="154" spans="1:11" x14ac:dyDescent="0.25">
      <c r="A154" t="s">
        <v>19</v>
      </c>
      <c r="G154" t="s">
        <v>12</v>
      </c>
      <c r="H154" s="1" t="s">
        <v>36</v>
      </c>
      <c r="I154" s="20" t="s">
        <v>8</v>
      </c>
    </row>
    <row r="155" spans="1:11" x14ac:dyDescent="0.25">
      <c r="A155">
        <v>0.2</v>
      </c>
      <c r="B155" s="146">
        <v>4</v>
      </c>
      <c r="C155" s="146">
        <v>11</v>
      </c>
      <c r="D155" s="146">
        <v>3</v>
      </c>
      <c r="E155" s="146">
        <v>6</v>
      </c>
      <c r="F155" s="146">
        <v>5</v>
      </c>
      <c r="G155" s="22">
        <f>SUM(B155:F155)</f>
        <v>29</v>
      </c>
      <c r="H155" s="23">
        <f>AVERAGE(G155:G156)</f>
        <v>23.5</v>
      </c>
      <c r="I155" s="24">
        <f>(H155/I148)*100</f>
        <v>5.8457711442786069</v>
      </c>
    </row>
    <row r="156" spans="1:11" x14ac:dyDescent="0.25">
      <c r="A156">
        <v>0.2</v>
      </c>
      <c r="B156" s="146">
        <v>1</v>
      </c>
      <c r="C156" s="146">
        <v>5</v>
      </c>
      <c r="D156" s="146">
        <v>7</v>
      </c>
      <c r="E156" s="146">
        <v>3</v>
      </c>
      <c r="F156" s="146">
        <v>2</v>
      </c>
      <c r="G156" s="22">
        <f t="shared" ref="G156" si="23">SUM(B156:F156)</f>
        <v>18</v>
      </c>
      <c r="H156" s="20"/>
      <c r="I156" s="20"/>
    </row>
    <row r="159" spans="1:11" x14ac:dyDescent="0.25">
      <c r="A159" s="31">
        <v>42787</v>
      </c>
      <c r="B159" t="s">
        <v>11</v>
      </c>
    </row>
    <row r="160" spans="1:11" x14ac:dyDescent="0.25">
      <c r="A160" t="s">
        <v>163</v>
      </c>
    </row>
    <row r="161" spans="1:11" x14ac:dyDescent="0.25">
      <c r="A161" t="s">
        <v>20</v>
      </c>
    </row>
    <row r="162" spans="1:11" x14ac:dyDescent="0.25">
      <c r="A162" t="s">
        <v>21</v>
      </c>
    </row>
    <row r="163" spans="1:11" x14ac:dyDescent="0.25">
      <c r="A163" t="s">
        <v>5</v>
      </c>
      <c r="G163" t="s">
        <v>10</v>
      </c>
      <c r="H163" t="s">
        <v>16</v>
      </c>
      <c r="I163" t="s">
        <v>2</v>
      </c>
      <c r="J163" s="26" t="s">
        <v>18</v>
      </c>
    </row>
    <row r="164" spans="1:11" x14ac:dyDescent="0.25">
      <c r="A164" s="1" t="s">
        <v>0</v>
      </c>
      <c r="B164" s="153" t="s">
        <v>1</v>
      </c>
      <c r="C164" s="154"/>
      <c r="D164" s="144"/>
      <c r="E164" s="1" t="s">
        <v>2</v>
      </c>
      <c r="F164" s="2" t="s">
        <v>3</v>
      </c>
      <c r="G164" s="25">
        <f>E165*B$4</f>
        <v>84000</v>
      </c>
      <c r="H164" s="20">
        <f>294+25</f>
        <v>319</v>
      </c>
      <c r="I164" s="21">
        <f>G164/H164</f>
        <v>263.32288401253919</v>
      </c>
      <c r="J164" s="20"/>
      <c r="K164" s="20"/>
    </row>
    <row r="165" spans="1:11" x14ac:dyDescent="0.25">
      <c r="A165" s="3">
        <v>9.9999999999999995E-8</v>
      </c>
      <c r="B165" s="4">
        <v>86</v>
      </c>
      <c r="C165" s="146">
        <v>82</v>
      </c>
      <c r="D165" s="6">
        <f>AVERAGE(B165:C165)</f>
        <v>84</v>
      </c>
      <c r="E165" s="7">
        <f t="shared" ref="E165" si="24">D165/A165</f>
        <v>840000000</v>
      </c>
      <c r="F165" s="62">
        <f>LOG(E165)</f>
        <v>8.924279286061882</v>
      </c>
      <c r="H165">
        <v>250</v>
      </c>
      <c r="I165" s="21">
        <f>G164/H165</f>
        <v>336</v>
      </c>
      <c r="J165" s="20"/>
      <c r="K165" s="20"/>
    </row>
    <row r="166" spans="1:11" x14ac:dyDescent="0.25">
      <c r="J166" s="20"/>
      <c r="K166" s="20"/>
    </row>
    <row r="167" spans="1:11" x14ac:dyDescent="0.25">
      <c r="A167" t="s">
        <v>13</v>
      </c>
      <c r="G167" t="s">
        <v>12</v>
      </c>
      <c r="H167" s="1" t="s">
        <v>36</v>
      </c>
      <c r="I167" s="20" t="s">
        <v>8</v>
      </c>
      <c r="J167" s="20"/>
      <c r="K167" s="20"/>
    </row>
    <row r="168" spans="1:11" x14ac:dyDescent="0.25">
      <c r="A168">
        <v>0.2</v>
      </c>
      <c r="B168" s="146">
        <v>27</v>
      </c>
      <c r="C168" s="146">
        <v>22</v>
      </c>
      <c r="D168" s="146">
        <v>28</v>
      </c>
      <c r="E168" s="146">
        <v>21</v>
      </c>
      <c r="F168" s="146">
        <v>22</v>
      </c>
      <c r="G168" s="22">
        <f>SUM(B168:F168)</f>
        <v>120</v>
      </c>
      <c r="H168" s="23">
        <f>AVERAGE(G168:G169)</f>
        <v>111.5</v>
      </c>
      <c r="I168" s="24">
        <f>(H168/I164)*100</f>
        <v>42.343452380952378</v>
      </c>
    </row>
    <row r="169" spans="1:11" x14ac:dyDescent="0.25">
      <c r="A169">
        <v>0.2</v>
      </c>
      <c r="B169" s="146">
        <v>10</v>
      </c>
      <c r="C169" s="146">
        <v>22</v>
      </c>
      <c r="D169" s="146">
        <v>26</v>
      </c>
      <c r="E169" s="146">
        <v>23</v>
      </c>
      <c r="F169" s="146">
        <v>22</v>
      </c>
      <c r="G169" s="22">
        <f t="shared" ref="G169" si="25">SUM(B169:F169)</f>
        <v>103</v>
      </c>
      <c r="H169" s="20"/>
      <c r="I169" s="20"/>
      <c r="J169" t="s">
        <v>137</v>
      </c>
    </row>
    <row r="170" spans="1:11" x14ac:dyDescent="0.25">
      <c r="J170" s="24">
        <f>SUM(I168,I172)</f>
        <v>51.272023809523809</v>
      </c>
    </row>
    <row r="171" spans="1:11" x14ac:dyDescent="0.25">
      <c r="A171" t="s">
        <v>19</v>
      </c>
      <c r="G171" t="s">
        <v>12</v>
      </c>
      <c r="H171" s="1" t="s">
        <v>36</v>
      </c>
      <c r="I171" s="20" t="s">
        <v>8</v>
      </c>
    </row>
    <row r="172" spans="1:11" x14ac:dyDescent="0.25">
      <c r="A172">
        <v>0.2</v>
      </c>
      <c r="B172" s="146">
        <v>6</v>
      </c>
      <c r="C172" s="146">
        <v>7</v>
      </c>
      <c r="D172" s="146">
        <v>7</v>
      </c>
      <c r="E172" s="146">
        <v>5</v>
      </c>
      <c r="F172" s="146">
        <v>3</v>
      </c>
      <c r="G172" s="22">
        <f>SUM(B172:F172)</f>
        <v>28</v>
      </c>
      <c r="H172" s="23">
        <f>AVERAGE(G172:G173)</f>
        <v>30</v>
      </c>
      <c r="I172" s="24">
        <f>(H172/I165)*100</f>
        <v>8.9285714285714288</v>
      </c>
    </row>
    <row r="173" spans="1:11" x14ac:dyDescent="0.25">
      <c r="A173">
        <v>0.2</v>
      </c>
      <c r="B173" s="146">
        <v>5</v>
      </c>
      <c r="C173" s="146">
        <v>7</v>
      </c>
      <c r="D173" s="146">
        <v>4</v>
      </c>
      <c r="E173" s="146">
        <v>14</v>
      </c>
      <c r="F173" s="146">
        <v>2</v>
      </c>
      <c r="G173" s="22">
        <f t="shared" ref="G173" si="26">SUM(B173:F173)</f>
        <v>32</v>
      </c>
      <c r="H173" s="20"/>
      <c r="I173" s="20"/>
    </row>
    <row r="176" spans="1:11" x14ac:dyDescent="0.25">
      <c r="A176" s="27">
        <v>42789</v>
      </c>
      <c r="B176" t="s">
        <v>11</v>
      </c>
    </row>
    <row r="177" spans="1:11" x14ac:dyDescent="0.25">
      <c r="A177" t="s">
        <v>163</v>
      </c>
    </row>
    <row r="178" spans="1:11" x14ac:dyDescent="0.25">
      <c r="A178" t="s">
        <v>20</v>
      </c>
    </row>
    <row r="179" spans="1:11" x14ac:dyDescent="0.25">
      <c r="A179" t="s">
        <v>21</v>
      </c>
      <c r="J179" s="26"/>
    </row>
    <row r="180" spans="1:11" x14ac:dyDescent="0.25">
      <c r="A180" t="s">
        <v>5</v>
      </c>
      <c r="G180" t="s">
        <v>10</v>
      </c>
      <c r="H180" t="s">
        <v>16</v>
      </c>
      <c r="I180" t="s">
        <v>2</v>
      </c>
      <c r="J180" s="26" t="s">
        <v>18</v>
      </c>
    </row>
    <row r="181" spans="1:11" x14ac:dyDescent="0.25">
      <c r="A181" s="1" t="s">
        <v>0</v>
      </c>
      <c r="B181" s="153" t="s">
        <v>1</v>
      </c>
      <c r="C181" s="154"/>
      <c r="D181" s="144"/>
      <c r="E181" s="1" t="s">
        <v>2</v>
      </c>
      <c r="F181" s="2" t="s">
        <v>3</v>
      </c>
      <c r="G181" s="25">
        <f>E182*B$4</f>
        <v>100000</v>
      </c>
      <c r="H181" s="20">
        <f>K183</f>
        <v>405.07</v>
      </c>
      <c r="I181" s="21">
        <f>G181/H181</f>
        <v>246.87091120053324</v>
      </c>
      <c r="J181" s="20">
        <v>274.56</v>
      </c>
      <c r="K181" s="20"/>
    </row>
    <row r="182" spans="1:11" x14ac:dyDescent="0.25">
      <c r="A182" s="3">
        <v>9.9999999999999995E-8</v>
      </c>
      <c r="B182" s="4">
        <v>109</v>
      </c>
      <c r="C182" s="146">
        <v>91</v>
      </c>
      <c r="D182" s="6">
        <f>AVERAGE(B182:C182)</f>
        <v>100</v>
      </c>
      <c r="E182" s="7">
        <f t="shared" ref="E182" si="27">D182/A182</f>
        <v>1000000000</v>
      </c>
      <c r="F182" s="62">
        <f>LOG(E182)</f>
        <v>9</v>
      </c>
      <c r="H182">
        <v>250</v>
      </c>
      <c r="I182" s="21">
        <f>G181/H182</f>
        <v>400</v>
      </c>
      <c r="J182" s="20">
        <v>604.36</v>
      </c>
      <c r="K182" s="20">
        <f>J182-J181</f>
        <v>329.8</v>
      </c>
    </row>
    <row r="183" spans="1:11" x14ac:dyDescent="0.25">
      <c r="H183">
        <f>SUM(H181:H182)</f>
        <v>655.06999999999994</v>
      </c>
      <c r="J183" s="20">
        <f>654.63+25</f>
        <v>679.63</v>
      </c>
      <c r="K183" s="20">
        <f>J183-J181</f>
        <v>405.07</v>
      </c>
    </row>
    <row r="184" spans="1:11" x14ac:dyDescent="0.25">
      <c r="A184" t="s">
        <v>13</v>
      </c>
      <c r="G184" t="s">
        <v>12</v>
      </c>
      <c r="H184" s="1" t="s">
        <v>36</v>
      </c>
      <c r="I184" s="20" t="s">
        <v>8</v>
      </c>
      <c r="J184" s="20"/>
      <c r="K184" s="20">
        <f>K183-K182</f>
        <v>75.269999999999982</v>
      </c>
    </row>
    <row r="185" spans="1:11" x14ac:dyDescent="0.25">
      <c r="A185">
        <v>0.2</v>
      </c>
      <c r="B185" s="146">
        <v>13</v>
      </c>
      <c r="C185" s="146">
        <v>22</v>
      </c>
      <c r="D185" s="146">
        <v>12</v>
      </c>
      <c r="E185" s="146">
        <v>15</v>
      </c>
      <c r="F185" s="146">
        <v>18</v>
      </c>
      <c r="G185" s="22">
        <f>SUM(B185:F185)</f>
        <v>80</v>
      </c>
      <c r="H185" s="23">
        <f>AVERAGE(G185:G186)</f>
        <v>78.5</v>
      </c>
      <c r="I185" s="24">
        <f>(H185/I181)*100</f>
        <v>31.797995</v>
      </c>
    </row>
    <row r="186" spans="1:11" x14ac:dyDescent="0.25">
      <c r="A186">
        <v>0.2</v>
      </c>
      <c r="B186" s="146">
        <v>20</v>
      </c>
      <c r="C186" s="146">
        <v>10</v>
      </c>
      <c r="D186" s="146">
        <v>16</v>
      </c>
      <c r="E186" s="146">
        <v>21</v>
      </c>
      <c r="F186" s="146">
        <v>10</v>
      </c>
      <c r="G186" s="22">
        <f t="shared" ref="G186" si="28">SUM(B186:F186)</f>
        <v>77</v>
      </c>
      <c r="H186" s="20"/>
      <c r="I186" s="20"/>
      <c r="J186" t="s">
        <v>137</v>
      </c>
    </row>
    <row r="187" spans="1:11" x14ac:dyDescent="0.25">
      <c r="J187" s="24">
        <f>SUM(I185,I189)</f>
        <v>37.422995</v>
      </c>
    </row>
    <row r="188" spans="1:11" x14ac:dyDescent="0.25">
      <c r="A188" t="s">
        <v>19</v>
      </c>
      <c r="G188" t="s">
        <v>12</v>
      </c>
      <c r="H188" s="1" t="s">
        <v>36</v>
      </c>
      <c r="I188" s="20" t="s">
        <v>8</v>
      </c>
    </row>
    <row r="189" spans="1:11" x14ac:dyDescent="0.25">
      <c r="A189">
        <v>0.2</v>
      </c>
      <c r="B189" s="146">
        <v>2</v>
      </c>
      <c r="C189" s="146">
        <v>5</v>
      </c>
      <c r="D189" s="146">
        <v>3</v>
      </c>
      <c r="E189" s="146">
        <v>5</v>
      </c>
      <c r="F189" s="146">
        <v>0</v>
      </c>
      <c r="G189" s="22">
        <f>SUM(B189:F189)</f>
        <v>15</v>
      </c>
      <c r="H189" s="23">
        <f>AVERAGE(G189:G190)</f>
        <v>22.5</v>
      </c>
      <c r="I189" s="24">
        <f>(H189/I182)*100</f>
        <v>5.625</v>
      </c>
    </row>
    <row r="190" spans="1:11" x14ac:dyDescent="0.25">
      <c r="A190">
        <v>0.2</v>
      </c>
      <c r="B190" s="146">
        <v>2</v>
      </c>
      <c r="C190" s="146">
        <v>11</v>
      </c>
      <c r="D190" s="146">
        <v>7</v>
      </c>
      <c r="E190" s="146">
        <v>3</v>
      </c>
      <c r="F190" s="146">
        <v>7</v>
      </c>
      <c r="G190" s="22">
        <f t="shared" ref="G190" si="29">SUM(B190:F190)</f>
        <v>30</v>
      </c>
      <c r="H190" s="20"/>
      <c r="I190" s="20"/>
    </row>
    <row r="193" spans="1:11" x14ac:dyDescent="0.25">
      <c r="A193" s="27">
        <v>42793</v>
      </c>
      <c r="B193" t="s">
        <v>22</v>
      </c>
    </row>
    <row r="194" spans="1:11" x14ac:dyDescent="0.25">
      <c r="A194" t="s">
        <v>165</v>
      </c>
    </row>
    <row r="195" spans="1:11" x14ac:dyDescent="0.25">
      <c r="A195" t="s">
        <v>21</v>
      </c>
      <c r="J195" s="26"/>
    </row>
    <row r="196" spans="1:11" x14ac:dyDescent="0.25">
      <c r="A196" t="s">
        <v>5</v>
      </c>
      <c r="G196" t="s">
        <v>10</v>
      </c>
      <c r="H196" t="s">
        <v>16</v>
      </c>
      <c r="I196" t="s">
        <v>2</v>
      </c>
      <c r="J196" s="26" t="s">
        <v>18</v>
      </c>
    </row>
    <row r="197" spans="1:11" x14ac:dyDescent="0.25">
      <c r="A197" s="1" t="s">
        <v>0</v>
      </c>
      <c r="B197" s="153" t="s">
        <v>1</v>
      </c>
      <c r="C197" s="154"/>
      <c r="D197" s="144"/>
      <c r="E197" s="1" t="s">
        <v>2</v>
      </c>
      <c r="F197" s="2" t="s">
        <v>3</v>
      </c>
      <c r="G197" s="25">
        <f>E198*B$4</f>
        <v>100000</v>
      </c>
      <c r="H197" s="20">
        <f>K199</f>
        <v>400.40000000000003</v>
      </c>
      <c r="I197" s="21">
        <f>G197/H197</f>
        <v>249.75024975024974</v>
      </c>
      <c r="J197" s="20">
        <v>273.33</v>
      </c>
      <c r="K197" s="20"/>
    </row>
    <row r="198" spans="1:11" x14ac:dyDescent="0.25">
      <c r="A198" s="3">
        <v>9.9999999999999995E-8</v>
      </c>
      <c r="B198" s="4">
        <v>101</v>
      </c>
      <c r="C198" s="146">
        <v>99</v>
      </c>
      <c r="D198" s="6">
        <f>AVERAGE(B198:C198)</f>
        <v>100</v>
      </c>
      <c r="E198" s="7">
        <f t="shared" ref="E198" si="30">D198/A198</f>
        <v>1000000000</v>
      </c>
      <c r="F198" s="62">
        <f>LOG(E198)</f>
        <v>9</v>
      </c>
      <c r="H198">
        <v>250</v>
      </c>
      <c r="I198" s="21">
        <f>G197/H198</f>
        <v>400</v>
      </c>
      <c r="J198" s="20">
        <v>574.85</v>
      </c>
      <c r="K198" s="20">
        <f>J198-J197</f>
        <v>301.52000000000004</v>
      </c>
    </row>
    <row r="199" spans="1:11" x14ac:dyDescent="0.25">
      <c r="H199">
        <f>SUM(H197:H198)</f>
        <v>650.40000000000009</v>
      </c>
      <c r="J199" s="20">
        <f>648.73+25</f>
        <v>673.73</v>
      </c>
      <c r="K199" s="20">
        <f>J199-J197</f>
        <v>400.40000000000003</v>
      </c>
    </row>
    <row r="200" spans="1:11" x14ac:dyDescent="0.25">
      <c r="A200" t="s">
        <v>44</v>
      </c>
      <c r="G200" t="s">
        <v>12</v>
      </c>
      <c r="H200" s="1" t="s">
        <v>36</v>
      </c>
      <c r="I200" s="20" t="s">
        <v>8</v>
      </c>
      <c r="J200" s="20"/>
      <c r="K200" s="20">
        <f>K199-K198</f>
        <v>98.88</v>
      </c>
    </row>
    <row r="201" spans="1:11" x14ac:dyDescent="0.25">
      <c r="A201">
        <v>0.2</v>
      </c>
      <c r="B201" s="146">
        <v>12</v>
      </c>
      <c r="C201" s="146">
        <v>14</v>
      </c>
      <c r="D201" s="146">
        <v>18</v>
      </c>
      <c r="E201" s="146">
        <v>17</v>
      </c>
      <c r="F201" s="146">
        <v>12</v>
      </c>
      <c r="G201" s="22">
        <f>SUM(B201:F201)</f>
        <v>73</v>
      </c>
      <c r="H201" s="23">
        <f>AVERAGE(G201:G202)</f>
        <v>80</v>
      </c>
      <c r="I201" s="24">
        <f>(H201/I197)*100</f>
        <v>32.031999999999996</v>
      </c>
    </row>
    <row r="202" spans="1:11" x14ac:dyDescent="0.25">
      <c r="A202">
        <v>0.2</v>
      </c>
      <c r="B202" s="146">
        <v>15</v>
      </c>
      <c r="C202" s="146">
        <v>15</v>
      </c>
      <c r="D202" s="146">
        <v>19</v>
      </c>
      <c r="E202" s="146">
        <v>18</v>
      </c>
      <c r="F202" s="146">
        <v>20</v>
      </c>
      <c r="G202" s="22">
        <f t="shared" ref="G202" si="31">SUM(B202:F202)</f>
        <v>87</v>
      </c>
      <c r="H202" s="20"/>
      <c r="I202" s="20"/>
      <c r="J202" t="s">
        <v>137</v>
      </c>
    </row>
    <row r="203" spans="1:11" x14ac:dyDescent="0.25">
      <c r="J203" s="24">
        <f>SUM(I201,I205)</f>
        <v>39.781999999999996</v>
      </c>
    </row>
    <row r="204" spans="1:11" x14ac:dyDescent="0.25">
      <c r="A204" t="s">
        <v>19</v>
      </c>
      <c r="G204" t="s">
        <v>12</v>
      </c>
      <c r="H204" s="1" t="s">
        <v>36</v>
      </c>
      <c r="I204" s="20" t="s">
        <v>8</v>
      </c>
    </row>
    <row r="205" spans="1:11" x14ac:dyDescent="0.25">
      <c r="A205">
        <v>0.2</v>
      </c>
      <c r="B205" s="146">
        <v>6</v>
      </c>
      <c r="C205" s="146">
        <v>8</v>
      </c>
      <c r="D205" s="146">
        <v>6</v>
      </c>
      <c r="E205" s="146">
        <v>7</v>
      </c>
      <c r="F205" s="146">
        <v>4</v>
      </c>
      <c r="G205" s="22">
        <f>SUM(B205:F205)</f>
        <v>31</v>
      </c>
      <c r="H205" s="23">
        <f>AVERAGE(G205:G206)</f>
        <v>31</v>
      </c>
      <c r="I205" s="24">
        <f>(H205/I198)*100</f>
        <v>7.75</v>
      </c>
    </row>
    <row r="206" spans="1:11" x14ac:dyDescent="0.25">
      <c r="A206">
        <v>0.2</v>
      </c>
      <c r="B206" s="146">
        <v>9</v>
      </c>
      <c r="C206" s="146">
        <v>8</v>
      </c>
      <c r="D206" s="146">
        <v>2</v>
      </c>
      <c r="E206" s="146">
        <v>8</v>
      </c>
      <c r="F206" s="146">
        <v>4</v>
      </c>
      <c r="G206" s="22">
        <f t="shared" ref="G206" si="32">SUM(B206:F206)</f>
        <v>31</v>
      </c>
      <c r="H206" s="20"/>
      <c r="I206" s="20"/>
    </row>
    <row r="209" spans="1:11" x14ac:dyDescent="0.25">
      <c r="A209" s="27">
        <v>42808</v>
      </c>
      <c r="B209" t="s">
        <v>11</v>
      </c>
    </row>
    <row r="210" spans="1:11" x14ac:dyDescent="0.25">
      <c r="A210" t="s">
        <v>166</v>
      </c>
    </row>
    <row r="211" spans="1:11" x14ac:dyDescent="0.25">
      <c r="A211" t="s">
        <v>20</v>
      </c>
    </row>
    <row r="212" spans="1:11" x14ac:dyDescent="0.25">
      <c r="A212" t="s">
        <v>21</v>
      </c>
      <c r="J212" s="26"/>
    </row>
    <row r="213" spans="1:11" x14ac:dyDescent="0.25">
      <c r="A213" t="s">
        <v>5</v>
      </c>
      <c r="G213" t="s">
        <v>10</v>
      </c>
      <c r="H213" t="s">
        <v>16</v>
      </c>
      <c r="I213" t="s">
        <v>2</v>
      </c>
      <c r="J213" s="26" t="s">
        <v>18</v>
      </c>
    </row>
    <row r="214" spans="1:11" x14ac:dyDescent="0.25">
      <c r="A214" s="1" t="s">
        <v>0</v>
      </c>
      <c r="B214" s="153" t="s">
        <v>1</v>
      </c>
      <c r="C214" s="154"/>
      <c r="D214" s="144"/>
      <c r="E214" s="1" t="s">
        <v>2</v>
      </c>
      <c r="F214" s="2" t="s">
        <v>3</v>
      </c>
      <c r="G214" s="25">
        <f>E215*B$4</f>
        <v>88000</v>
      </c>
      <c r="H214" s="20">
        <f>K216</f>
        <v>195.68999999999994</v>
      </c>
      <c r="I214" s="21">
        <f>G214/H214</f>
        <v>449.69083754918506</v>
      </c>
      <c r="J214" s="20">
        <v>340.6</v>
      </c>
      <c r="K214" s="20"/>
    </row>
    <row r="215" spans="1:11" x14ac:dyDescent="0.25">
      <c r="A215" s="3">
        <v>9.9999999999999995E-8</v>
      </c>
      <c r="B215" s="4">
        <v>90</v>
      </c>
      <c r="C215" s="146">
        <v>86</v>
      </c>
      <c r="D215" s="6">
        <f>AVERAGE(B215:C215)</f>
        <v>88</v>
      </c>
      <c r="E215" s="7">
        <f t="shared" ref="E215" si="33">D215/A215</f>
        <v>880000000</v>
      </c>
      <c r="F215" s="62">
        <f>LOG(E215)</f>
        <v>8.9444826721501691</v>
      </c>
      <c r="H215">
        <v>250</v>
      </c>
      <c r="I215" s="21">
        <f>G214/H215</f>
        <v>352</v>
      </c>
      <c r="J215" s="20">
        <v>435.52</v>
      </c>
      <c r="K215" s="20">
        <f>J215-J214</f>
        <v>94.919999999999959</v>
      </c>
    </row>
    <row r="216" spans="1:11" x14ac:dyDescent="0.25">
      <c r="H216">
        <f>SUM(H214:H215)</f>
        <v>445.68999999999994</v>
      </c>
      <c r="J216" s="20">
        <f>511.29+25</f>
        <v>536.29</v>
      </c>
      <c r="K216" s="20">
        <f>J216-J214</f>
        <v>195.68999999999994</v>
      </c>
    </row>
    <row r="217" spans="1:11" x14ac:dyDescent="0.25">
      <c r="A217" t="s">
        <v>13</v>
      </c>
      <c r="G217" t="s">
        <v>12</v>
      </c>
      <c r="H217" s="1" t="s">
        <v>36</v>
      </c>
      <c r="I217" s="20" t="s">
        <v>8</v>
      </c>
      <c r="J217" s="20"/>
      <c r="K217" s="20">
        <f>K216-K215</f>
        <v>100.76999999999998</v>
      </c>
    </row>
    <row r="218" spans="1:11" x14ac:dyDescent="0.25">
      <c r="A218">
        <v>0.2</v>
      </c>
      <c r="B218" s="146">
        <v>20</v>
      </c>
      <c r="C218" s="146">
        <v>28</v>
      </c>
      <c r="D218" s="146">
        <v>37</v>
      </c>
      <c r="E218" s="146">
        <v>37</v>
      </c>
      <c r="F218" s="146">
        <v>39</v>
      </c>
      <c r="G218" s="22">
        <f>SUM(B218:F218)</f>
        <v>161</v>
      </c>
      <c r="H218" s="23">
        <f>AVERAGE(G218:G219)</f>
        <v>154.5</v>
      </c>
      <c r="I218" s="24">
        <f>(H218/I214)*100</f>
        <v>34.356937499999987</v>
      </c>
    </row>
    <row r="219" spans="1:11" x14ac:dyDescent="0.25">
      <c r="A219">
        <v>0.2</v>
      </c>
      <c r="B219" s="146">
        <v>31</v>
      </c>
      <c r="C219" s="146">
        <v>30</v>
      </c>
      <c r="D219" s="146">
        <v>30</v>
      </c>
      <c r="E219" s="146">
        <v>35</v>
      </c>
      <c r="F219" s="146">
        <v>22</v>
      </c>
      <c r="G219" s="22">
        <f t="shared" ref="G219" si="34">SUM(B219:F219)</f>
        <v>148</v>
      </c>
      <c r="H219" s="20"/>
      <c r="I219" s="20"/>
      <c r="J219" t="s">
        <v>137</v>
      </c>
    </row>
    <row r="220" spans="1:11" x14ac:dyDescent="0.25">
      <c r="J220" s="24">
        <f>SUM(I218,I222)</f>
        <v>49.271710227272713</v>
      </c>
    </row>
    <row r="221" spans="1:11" x14ac:dyDescent="0.25">
      <c r="A221" t="s">
        <v>19</v>
      </c>
      <c r="G221" t="s">
        <v>12</v>
      </c>
      <c r="H221" s="1" t="s">
        <v>36</v>
      </c>
      <c r="I221" s="20" t="s">
        <v>8</v>
      </c>
    </row>
    <row r="222" spans="1:11" x14ac:dyDescent="0.25">
      <c r="A222">
        <v>0.2</v>
      </c>
      <c r="B222" s="146">
        <v>5</v>
      </c>
      <c r="C222" s="146">
        <v>12</v>
      </c>
      <c r="D222" s="146">
        <v>11</v>
      </c>
      <c r="E222" s="146">
        <v>8</v>
      </c>
      <c r="F222" s="146">
        <v>12</v>
      </c>
      <c r="G222" s="22">
        <f>SUM(B222:F222)</f>
        <v>48</v>
      </c>
      <c r="H222" s="23">
        <f>AVERAGE(G222:G223)</f>
        <v>52.5</v>
      </c>
      <c r="I222" s="24">
        <f>(H222/I215)*100</f>
        <v>14.914772727272727</v>
      </c>
    </row>
    <row r="223" spans="1:11" x14ac:dyDescent="0.25">
      <c r="A223">
        <v>0.2</v>
      </c>
      <c r="B223" s="146">
        <v>14</v>
      </c>
      <c r="C223" s="146">
        <v>16</v>
      </c>
      <c r="D223" s="146">
        <v>11</v>
      </c>
      <c r="E223" s="146">
        <v>10</v>
      </c>
      <c r="F223" s="146">
        <v>6</v>
      </c>
      <c r="G223" s="22">
        <f t="shared" ref="G223" si="35">SUM(B223:F223)</f>
        <v>57</v>
      </c>
      <c r="H223" s="20"/>
      <c r="I223" s="20"/>
    </row>
    <row r="226" spans="1:11" x14ac:dyDescent="0.25">
      <c r="A226" s="27">
        <v>42817</v>
      </c>
      <c r="B226" t="s">
        <v>22</v>
      </c>
    </row>
    <row r="227" spans="1:11" x14ac:dyDescent="0.25">
      <c r="A227" t="s">
        <v>165</v>
      </c>
    </row>
    <row r="228" spans="1:11" x14ac:dyDescent="0.25">
      <c r="A228" t="s">
        <v>21</v>
      </c>
      <c r="J228" s="26"/>
    </row>
    <row r="229" spans="1:11" x14ac:dyDescent="0.25">
      <c r="A229" t="s">
        <v>5</v>
      </c>
      <c r="G229" t="s">
        <v>10</v>
      </c>
      <c r="H229" t="s">
        <v>16</v>
      </c>
      <c r="I229" t="s">
        <v>2</v>
      </c>
      <c r="J229" s="26" t="s">
        <v>18</v>
      </c>
    </row>
    <row r="230" spans="1:11" x14ac:dyDescent="0.25">
      <c r="A230" s="1" t="s">
        <v>0</v>
      </c>
      <c r="B230" s="153" t="s">
        <v>1</v>
      </c>
      <c r="C230" s="154"/>
      <c r="D230" s="144"/>
      <c r="E230" s="1" t="s">
        <v>2</v>
      </c>
      <c r="F230" s="2" t="s">
        <v>3</v>
      </c>
      <c r="G230" s="25">
        <f>E231*B$4</f>
        <v>110500</v>
      </c>
      <c r="H230" s="20">
        <f>K232</f>
        <v>221.99</v>
      </c>
      <c r="I230" s="21">
        <f>G230/H230</f>
        <v>497.77016982746966</v>
      </c>
      <c r="J230" s="20">
        <v>274.70999999999998</v>
      </c>
      <c r="K230" s="20"/>
    </row>
    <row r="231" spans="1:11" x14ac:dyDescent="0.25">
      <c r="A231" s="3">
        <v>9.9999999999999995E-8</v>
      </c>
      <c r="B231" s="4">
        <v>124</v>
      </c>
      <c r="C231" s="146">
        <v>97</v>
      </c>
      <c r="D231" s="6">
        <f>AVERAGE(B231:C231)</f>
        <v>110.5</v>
      </c>
      <c r="E231" s="7">
        <f t="shared" ref="E231" si="36">D231/A231</f>
        <v>1105000000</v>
      </c>
      <c r="F231" s="62">
        <f>LOG(E231)</f>
        <v>9.0433622780211298</v>
      </c>
      <c r="H231">
        <v>250</v>
      </c>
      <c r="I231" s="21">
        <f>G230/H231</f>
        <v>442</v>
      </c>
      <c r="J231" s="20">
        <v>374.3</v>
      </c>
      <c r="K231" s="20">
        <f>J231-J230</f>
        <v>99.590000000000032</v>
      </c>
    </row>
    <row r="232" spans="1:11" x14ac:dyDescent="0.25">
      <c r="H232">
        <f>SUM(H230:H231)</f>
        <v>471.99</v>
      </c>
      <c r="J232" s="20">
        <f>471.7+25</f>
        <v>496.7</v>
      </c>
      <c r="K232" s="20">
        <f>J232-J230</f>
        <v>221.99</v>
      </c>
    </row>
    <row r="233" spans="1:11" x14ac:dyDescent="0.25">
      <c r="A233" t="s">
        <v>44</v>
      </c>
      <c r="G233" t="s">
        <v>12</v>
      </c>
      <c r="H233" s="1" t="s">
        <v>36</v>
      </c>
      <c r="I233" s="20" t="s">
        <v>8</v>
      </c>
      <c r="J233" s="20"/>
      <c r="K233" s="20">
        <f>K232-K231</f>
        <v>122.39999999999998</v>
      </c>
    </row>
    <row r="234" spans="1:11" x14ac:dyDescent="0.25">
      <c r="A234">
        <v>0.2</v>
      </c>
      <c r="B234" s="146">
        <v>17</v>
      </c>
      <c r="C234" s="146">
        <v>21</v>
      </c>
      <c r="D234" s="146">
        <v>20</v>
      </c>
      <c r="E234" s="146">
        <v>21</v>
      </c>
      <c r="F234" s="146">
        <v>16</v>
      </c>
      <c r="G234" s="22">
        <f>SUM(B234:F234)</f>
        <v>95</v>
      </c>
      <c r="H234" s="23">
        <f>AVERAGE(G234:G235)</f>
        <v>94</v>
      </c>
      <c r="I234" s="24">
        <f>(H234/I230)*100</f>
        <v>18.884217194570137</v>
      </c>
    </row>
    <row r="235" spans="1:11" x14ac:dyDescent="0.25">
      <c r="A235">
        <v>0.2</v>
      </c>
      <c r="B235" s="146">
        <v>11</v>
      </c>
      <c r="C235" s="146">
        <v>22</v>
      </c>
      <c r="D235" s="146">
        <v>23</v>
      </c>
      <c r="E235" s="146">
        <v>19</v>
      </c>
      <c r="F235" s="146">
        <v>18</v>
      </c>
      <c r="G235" s="22">
        <f t="shared" ref="G235" si="37">SUM(B235:F235)</f>
        <v>93</v>
      </c>
      <c r="H235" s="20"/>
      <c r="I235" s="20"/>
      <c r="J235" t="s">
        <v>137</v>
      </c>
    </row>
    <row r="236" spans="1:11" x14ac:dyDescent="0.25">
      <c r="J236" s="24">
        <f>SUM(I234,I238)</f>
        <v>32.119511312217199</v>
      </c>
    </row>
    <row r="237" spans="1:11" x14ac:dyDescent="0.25">
      <c r="A237" t="s">
        <v>19</v>
      </c>
      <c r="G237" t="s">
        <v>12</v>
      </c>
      <c r="H237" s="1" t="s">
        <v>36</v>
      </c>
      <c r="I237" s="20" t="s">
        <v>8</v>
      </c>
    </row>
    <row r="238" spans="1:11" x14ac:dyDescent="0.25">
      <c r="A238">
        <v>0.2</v>
      </c>
      <c r="B238" s="146">
        <v>15</v>
      </c>
      <c r="C238" s="146">
        <v>11</v>
      </c>
      <c r="D238" s="146">
        <v>3</v>
      </c>
      <c r="E238" s="146">
        <v>13</v>
      </c>
      <c r="F238" s="146">
        <v>12</v>
      </c>
      <c r="G238" s="22">
        <f>SUM(B238:F238)</f>
        <v>54</v>
      </c>
      <c r="H238" s="23">
        <f>AVERAGE(G238:G239)</f>
        <v>58.5</v>
      </c>
      <c r="I238" s="24">
        <f>(H238/I231)*100</f>
        <v>13.23529411764706</v>
      </c>
    </row>
    <row r="239" spans="1:11" x14ac:dyDescent="0.25">
      <c r="A239">
        <v>0.2</v>
      </c>
      <c r="B239" s="146">
        <v>11</v>
      </c>
      <c r="C239" s="146">
        <v>16</v>
      </c>
      <c r="D239" s="146">
        <v>11</v>
      </c>
      <c r="E239" s="146">
        <v>8</v>
      </c>
      <c r="F239" s="146">
        <v>17</v>
      </c>
      <c r="G239" s="22">
        <f t="shared" ref="G239" si="38">SUM(B239:F239)</f>
        <v>63</v>
      </c>
      <c r="H239" s="20"/>
      <c r="I239" s="20"/>
    </row>
    <row r="241" spans="1:11" x14ac:dyDescent="0.25">
      <c r="A241" s="32" t="s">
        <v>50</v>
      </c>
    </row>
    <row r="243" spans="1:11" x14ac:dyDescent="0.25">
      <c r="A243" s="27">
        <v>42822</v>
      </c>
      <c r="B243" t="s">
        <v>11</v>
      </c>
    </row>
    <row r="244" spans="1:11" x14ac:dyDescent="0.25">
      <c r="A244" t="s">
        <v>167</v>
      </c>
    </row>
    <row r="245" spans="1:11" x14ac:dyDescent="0.25">
      <c r="A245" t="s">
        <v>51</v>
      </c>
    </row>
    <row r="246" spans="1:11" x14ac:dyDescent="0.25">
      <c r="A246" t="s">
        <v>21</v>
      </c>
      <c r="J246" s="40"/>
    </row>
    <row r="247" spans="1:11" x14ac:dyDescent="0.25">
      <c r="A247" t="s">
        <v>5</v>
      </c>
      <c r="G247" t="s">
        <v>10</v>
      </c>
      <c r="H247" t="s">
        <v>16</v>
      </c>
      <c r="I247" t="s">
        <v>2</v>
      </c>
      <c r="J247" s="26" t="s">
        <v>18</v>
      </c>
    </row>
    <row r="248" spans="1:11" x14ac:dyDescent="0.25">
      <c r="A248" s="1" t="s">
        <v>0</v>
      </c>
      <c r="B248" s="153" t="s">
        <v>1</v>
      </c>
      <c r="C248" s="154"/>
      <c r="D248" s="144"/>
      <c r="E248" s="1" t="s">
        <v>2</v>
      </c>
      <c r="F248" s="2" t="s">
        <v>3</v>
      </c>
      <c r="G248" s="25" t="e">
        <f>E249*#REF!</f>
        <v>#REF!</v>
      </c>
      <c r="H248" s="20">
        <f>K250</f>
        <v>117.07</v>
      </c>
      <c r="I248" s="21" t="e">
        <f>G248/H248</f>
        <v>#REF!</v>
      </c>
      <c r="J248" s="20">
        <v>274.74</v>
      </c>
      <c r="K248" s="20"/>
    </row>
    <row r="249" spans="1:11" x14ac:dyDescent="0.25">
      <c r="A249" s="3">
        <v>9.9999999999999995E-8</v>
      </c>
      <c r="B249" s="4">
        <v>92</v>
      </c>
      <c r="C249" s="146">
        <v>50</v>
      </c>
      <c r="D249" s="6">
        <f>AVERAGE(B249:C249)</f>
        <v>71</v>
      </c>
      <c r="E249" s="7">
        <f t="shared" ref="E249" si="39">D249/A249</f>
        <v>710000000</v>
      </c>
      <c r="F249" s="9">
        <f>LOG(E249)</f>
        <v>8.8512583487190746</v>
      </c>
      <c r="H249">
        <v>250</v>
      </c>
      <c r="I249" s="21" t="e">
        <f>G248/H249</f>
        <v>#REF!</v>
      </c>
      <c r="J249" s="20">
        <v>327.52999999999997</v>
      </c>
      <c r="K249" s="20">
        <f>J249-J248</f>
        <v>52.789999999999964</v>
      </c>
    </row>
    <row r="250" spans="1:11" x14ac:dyDescent="0.25">
      <c r="J250" s="20">
        <v>391.81</v>
      </c>
      <c r="K250" s="20">
        <f>J250-J248</f>
        <v>117.07</v>
      </c>
    </row>
    <row r="251" spans="1:11" x14ac:dyDescent="0.25">
      <c r="A251" t="s">
        <v>13</v>
      </c>
      <c r="G251" t="s">
        <v>54</v>
      </c>
      <c r="H251" t="s">
        <v>12</v>
      </c>
      <c r="I251" s="146" t="s">
        <v>8</v>
      </c>
      <c r="J251" s="20"/>
      <c r="K251" s="20">
        <f>K250-K249</f>
        <v>64.28000000000003</v>
      </c>
    </row>
    <row r="252" spans="1:11" x14ac:dyDescent="0.25">
      <c r="A252" t="s">
        <v>52</v>
      </c>
      <c r="B252" s="146"/>
      <c r="C252" s="146"/>
      <c r="D252" s="146"/>
      <c r="E252" s="146"/>
      <c r="F252" s="146"/>
      <c r="G252" s="22">
        <f>SUM(B252:F252)</f>
        <v>0</v>
      </c>
      <c r="H252" s="6"/>
      <c r="I252" s="28" t="e">
        <f>(H252/I248)*100</f>
        <v>#REF!</v>
      </c>
    </row>
    <row r="254" spans="1:11" x14ac:dyDescent="0.25">
      <c r="A254" t="s">
        <v>19</v>
      </c>
      <c r="G254" t="s">
        <v>54</v>
      </c>
      <c r="H254" t="s">
        <v>12</v>
      </c>
      <c r="I254" s="146" t="s">
        <v>8</v>
      </c>
    </row>
    <row r="255" spans="1:11" x14ac:dyDescent="0.25">
      <c r="A255" t="s">
        <v>53</v>
      </c>
      <c r="B255" s="146"/>
      <c r="C255" s="146"/>
      <c r="D255" s="146"/>
      <c r="E255" s="146"/>
      <c r="F255" s="146"/>
      <c r="G255" s="22">
        <f>SUM(B255:F255)</f>
        <v>0</v>
      </c>
      <c r="H255" s="6"/>
      <c r="I255" s="28" t="e">
        <f>(H255/I249)*100</f>
        <v>#REF!</v>
      </c>
    </row>
    <row r="258" spans="1:11" x14ac:dyDescent="0.25">
      <c r="A258" s="27">
        <v>42835</v>
      </c>
      <c r="B258" t="s">
        <v>11</v>
      </c>
    </row>
    <row r="259" spans="1:11" x14ac:dyDescent="0.25">
      <c r="A259" t="s">
        <v>167</v>
      </c>
    </row>
    <row r="260" spans="1:11" x14ac:dyDescent="0.25">
      <c r="A260" t="s">
        <v>51</v>
      </c>
    </row>
    <row r="261" spans="1:11" x14ac:dyDescent="0.25">
      <c r="A261" t="s">
        <v>55</v>
      </c>
      <c r="J261" s="40"/>
    </row>
    <row r="262" spans="1:11" x14ac:dyDescent="0.25">
      <c r="A262" t="s">
        <v>56</v>
      </c>
      <c r="H262" t="s">
        <v>59</v>
      </c>
      <c r="J262" s="40"/>
    </row>
    <row r="263" spans="1:11" x14ac:dyDescent="0.25">
      <c r="A263" t="s">
        <v>5</v>
      </c>
      <c r="G263" t="s">
        <v>10</v>
      </c>
      <c r="H263" t="s">
        <v>16</v>
      </c>
      <c r="I263" t="s">
        <v>2</v>
      </c>
      <c r="J263" s="26" t="s">
        <v>18</v>
      </c>
    </row>
    <row r="264" spans="1:11" x14ac:dyDescent="0.25">
      <c r="A264" s="1" t="s">
        <v>0</v>
      </c>
      <c r="B264" s="153" t="s">
        <v>1</v>
      </c>
      <c r="C264" s="154"/>
      <c r="D264" s="144"/>
      <c r="E264" s="1" t="s">
        <v>2</v>
      </c>
      <c r="F264" s="2" t="s">
        <v>3</v>
      </c>
      <c r="G264" s="25" t="e">
        <f>E265*#REF!</f>
        <v>#REF!</v>
      </c>
      <c r="H264" s="20">
        <f>K266+250</f>
        <v>469.38</v>
      </c>
      <c r="I264" s="21" t="e">
        <f>G264/H264</f>
        <v>#REF!</v>
      </c>
      <c r="J264" s="20">
        <v>333.74</v>
      </c>
      <c r="K264" s="20"/>
    </row>
    <row r="265" spans="1:11" x14ac:dyDescent="0.25">
      <c r="A265" s="3">
        <v>9.9999999999999995E-8</v>
      </c>
      <c r="B265" s="4">
        <v>87</v>
      </c>
      <c r="C265" s="146">
        <v>81</v>
      </c>
      <c r="D265" s="6">
        <f>AVERAGE(B265:C265)</f>
        <v>84</v>
      </c>
      <c r="E265" s="7">
        <f t="shared" ref="E265" si="40">D265/A265</f>
        <v>840000000</v>
      </c>
      <c r="F265" s="9">
        <f>LOG(E265)</f>
        <v>8.924279286061882</v>
      </c>
      <c r="I265" s="21"/>
      <c r="J265" s="20">
        <v>444.68</v>
      </c>
      <c r="K265" s="20">
        <f>J265-J264</f>
        <v>110.94</v>
      </c>
    </row>
    <row r="266" spans="1:11" x14ac:dyDescent="0.25">
      <c r="J266" s="20">
        <v>553.12</v>
      </c>
      <c r="K266" s="20">
        <f>J266-J264</f>
        <v>219.38</v>
      </c>
    </row>
    <row r="267" spans="1:11" x14ac:dyDescent="0.25">
      <c r="A267" t="s">
        <v>57</v>
      </c>
      <c r="G267" t="s">
        <v>54</v>
      </c>
      <c r="H267" t="s">
        <v>12</v>
      </c>
      <c r="I267" s="146" t="s">
        <v>8</v>
      </c>
      <c r="J267" s="20"/>
      <c r="K267" s="20">
        <f>K266-K265</f>
        <v>108.44</v>
      </c>
    </row>
    <row r="268" spans="1:11" x14ac:dyDescent="0.25">
      <c r="A268" t="s">
        <v>58</v>
      </c>
      <c r="B268" s="146">
        <v>2</v>
      </c>
      <c r="C268" s="146">
        <v>0</v>
      </c>
      <c r="D268" s="146">
        <v>0</v>
      </c>
      <c r="E268" s="146">
        <v>0</v>
      </c>
      <c r="F268" s="146">
        <v>0</v>
      </c>
      <c r="G268" s="22">
        <f>SUM(B268:F268)</f>
        <v>2</v>
      </c>
      <c r="H268" s="6">
        <v>2</v>
      </c>
      <c r="I268" s="28" t="e">
        <f>(H268/I264)*100</f>
        <v>#REF!</v>
      </c>
    </row>
    <row r="270" spans="1:11" x14ac:dyDescent="0.25">
      <c r="G270" t="s">
        <v>54</v>
      </c>
      <c r="H270" t="s">
        <v>12</v>
      </c>
      <c r="I270" s="146" t="s">
        <v>8</v>
      </c>
    </row>
    <row r="271" spans="1:11" x14ac:dyDescent="0.25">
      <c r="A271" t="s">
        <v>9</v>
      </c>
      <c r="B271" s="146"/>
      <c r="C271" s="146"/>
      <c r="D271" s="146"/>
      <c r="E271" s="146"/>
      <c r="F271" s="146"/>
      <c r="G271" s="22">
        <f>SUM(B271:F271)</f>
        <v>0</v>
      </c>
      <c r="H271" s="6">
        <f>G271</f>
        <v>0</v>
      </c>
      <c r="I271" s="28" t="e">
        <f>(H271/I265)*100</f>
        <v>#DIV/0!</v>
      </c>
    </row>
    <row r="275" spans="1:10" x14ac:dyDescent="0.25">
      <c r="A275" s="11">
        <v>42894</v>
      </c>
      <c r="B275" t="s">
        <v>60</v>
      </c>
    </row>
    <row r="276" spans="1:10" x14ac:dyDescent="0.25">
      <c r="A276" s="1" t="s">
        <v>0</v>
      </c>
      <c r="B276" s="153" t="s">
        <v>1</v>
      </c>
      <c r="C276" s="154"/>
      <c r="D276" s="144"/>
      <c r="E276" s="1" t="s">
        <v>84</v>
      </c>
      <c r="F276" s="2" t="s">
        <v>3</v>
      </c>
      <c r="G276" s="41" t="s">
        <v>61</v>
      </c>
    </row>
    <row r="277" spans="1:10" x14ac:dyDescent="0.25">
      <c r="A277" s="3">
        <v>1.0000000000000001E-9</v>
      </c>
      <c r="B277" s="4">
        <v>99</v>
      </c>
      <c r="C277" s="146">
        <v>76</v>
      </c>
      <c r="D277" s="6">
        <f>AVERAGE(B277:C277)</f>
        <v>87.5</v>
      </c>
      <c r="E277" s="7">
        <f t="shared" ref="E277" si="41">D277/A277</f>
        <v>87500000000</v>
      </c>
      <c r="F277" s="9">
        <f>LOG(E277)</f>
        <v>10.942008053022313</v>
      </c>
    </row>
    <row r="278" spans="1:10" x14ac:dyDescent="0.25">
      <c r="A278" s="3">
        <v>9.9999999999999995E-7</v>
      </c>
      <c r="G278" s="10">
        <f>F277*A278</f>
        <v>1.0942008053022312E-5</v>
      </c>
    </row>
    <row r="279" spans="1:10" x14ac:dyDescent="0.25">
      <c r="A279" s="3">
        <v>1.0000000000000001E-5</v>
      </c>
      <c r="G279" s="10">
        <f>F277*A279</f>
        <v>1.0942008053022313E-4</v>
      </c>
    </row>
    <row r="280" spans="1:10" x14ac:dyDescent="0.25">
      <c r="A280" s="3">
        <v>1E-4</v>
      </c>
    </row>
    <row r="283" spans="1:10" x14ac:dyDescent="0.25">
      <c r="A283" s="27">
        <v>42899</v>
      </c>
      <c r="B283" t="s">
        <v>63</v>
      </c>
    </row>
    <row r="284" spans="1:10" x14ac:dyDescent="0.25">
      <c r="A284" t="s">
        <v>168</v>
      </c>
    </row>
    <row r="285" spans="1:10" x14ac:dyDescent="0.25">
      <c r="A285" t="s">
        <v>20</v>
      </c>
    </row>
    <row r="286" spans="1:10" x14ac:dyDescent="0.25">
      <c r="A286" t="s">
        <v>64</v>
      </c>
    </row>
    <row r="287" spans="1:10" x14ac:dyDescent="0.25">
      <c r="A287" t="s">
        <v>5</v>
      </c>
      <c r="H287" s="20" t="s">
        <v>10</v>
      </c>
      <c r="I287" t="s">
        <v>62</v>
      </c>
      <c r="J287" t="s">
        <v>2</v>
      </c>
    </row>
    <row r="288" spans="1:10" x14ac:dyDescent="0.25">
      <c r="A288" s="1" t="s">
        <v>0</v>
      </c>
      <c r="B288" s="153" t="s">
        <v>1</v>
      </c>
      <c r="C288" s="154"/>
      <c r="D288" s="144"/>
      <c r="E288" s="144" t="s">
        <v>36</v>
      </c>
      <c r="F288" s="1" t="s">
        <v>84</v>
      </c>
      <c r="G288" s="2" t="s">
        <v>3</v>
      </c>
      <c r="H288" s="25">
        <f>F289*A$278</f>
        <v>78000</v>
      </c>
      <c r="I288" s="20">
        <f>J294</f>
        <v>415.29</v>
      </c>
      <c r="J288" s="21">
        <f>H288/I288</f>
        <v>187.82055912735677</v>
      </c>
    </row>
    <row r="289" spans="1:10" x14ac:dyDescent="0.25">
      <c r="A289" s="3">
        <v>1.0000000000000001E-9</v>
      </c>
      <c r="B289" s="4">
        <v>79</v>
      </c>
      <c r="C289" s="146">
        <v>88</v>
      </c>
      <c r="D289" s="146">
        <v>67</v>
      </c>
      <c r="E289" s="6">
        <f>AVERAGE(B289:D289)</f>
        <v>78</v>
      </c>
      <c r="F289" s="7">
        <f>E289/A289</f>
        <v>78000000000</v>
      </c>
      <c r="G289" s="9">
        <f>LOG(F289)</f>
        <v>10.892094602690481</v>
      </c>
      <c r="J289" s="21"/>
    </row>
    <row r="290" spans="1:10" x14ac:dyDescent="0.25">
      <c r="I290" s="40"/>
    </row>
    <row r="291" spans="1:10" x14ac:dyDescent="0.25">
      <c r="A291" t="s">
        <v>13</v>
      </c>
      <c r="E291" s="144" t="s">
        <v>36</v>
      </c>
      <c r="F291" s="1" t="s">
        <v>84</v>
      </c>
      <c r="G291" s="43" t="s">
        <v>8</v>
      </c>
      <c r="I291" s="26" t="s">
        <v>18</v>
      </c>
      <c r="J291" s="26" t="s">
        <v>65</v>
      </c>
    </row>
    <row r="292" spans="1:10" x14ac:dyDescent="0.25">
      <c r="A292">
        <v>1</v>
      </c>
      <c r="B292" s="146">
        <v>107</v>
      </c>
      <c r="C292" s="146">
        <v>103</v>
      </c>
      <c r="D292" s="146">
        <v>114</v>
      </c>
      <c r="E292" s="6">
        <f>AVERAGE(B292:D292)</f>
        <v>108</v>
      </c>
      <c r="F292" s="44">
        <f>E292/A292</f>
        <v>108</v>
      </c>
      <c r="G292" s="28">
        <f>(F292/J288)*100</f>
        <v>57.501692307692309</v>
      </c>
      <c r="H292" s="46" t="s">
        <v>68</v>
      </c>
      <c r="I292" s="20">
        <v>333.84</v>
      </c>
      <c r="J292" s="20"/>
    </row>
    <row r="293" spans="1:10" x14ac:dyDescent="0.25">
      <c r="H293" s="46" t="s">
        <v>67</v>
      </c>
      <c r="I293" s="20">
        <v>417.04</v>
      </c>
      <c r="J293" s="20">
        <f>I293-I292</f>
        <v>83.200000000000045</v>
      </c>
    </row>
    <row r="294" spans="1:10" x14ac:dyDescent="0.25">
      <c r="H294" s="46" t="s">
        <v>66</v>
      </c>
      <c r="I294" s="20">
        <v>749.13</v>
      </c>
      <c r="J294" s="20">
        <f>I294-I292</f>
        <v>415.29</v>
      </c>
    </row>
    <row r="295" spans="1:10" x14ac:dyDescent="0.25">
      <c r="H295" s="47" t="s">
        <v>69</v>
      </c>
      <c r="I295" s="20"/>
      <c r="J295" s="20">
        <f>J294-J293</f>
        <v>332.09</v>
      </c>
    </row>
    <row r="297" spans="1:10" x14ac:dyDescent="0.25">
      <c r="A297" s="27">
        <v>42906</v>
      </c>
      <c r="B297" t="s">
        <v>63</v>
      </c>
    </row>
    <row r="298" spans="1:10" x14ac:dyDescent="0.25">
      <c r="A298" t="s">
        <v>168</v>
      </c>
    </row>
    <row r="299" spans="1:10" x14ac:dyDescent="0.25">
      <c r="A299" t="s">
        <v>20</v>
      </c>
    </row>
    <row r="300" spans="1:10" x14ac:dyDescent="0.25">
      <c r="A300" t="s">
        <v>64</v>
      </c>
    </row>
    <row r="301" spans="1:10" x14ac:dyDescent="0.25">
      <c r="A301" t="s">
        <v>5</v>
      </c>
      <c r="H301" s="20" t="s">
        <v>10</v>
      </c>
      <c r="I301" t="s">
        <v>62</v>
      </c>
      <c r="J301" t="s">
        <v>2</v>
      </c>
    </row>
    <row r="302" spans="1:10" x14ac:dyDescent="0.25">
      <c r="A302" s="1" t="s">
        <v>0</v>
      </c>
      <c r="B302" s="153" t="s">
        <v>1</v>
      </c>
      <c r="C302" s="154"/>
      <c r="D302" s="144"/>
      <c r="E302" s="144" t="s">
        <v>36</v>
      </c>
      <c r="F302" s="1" t="s">
        <v>84</v>
      </c>
      <c r="G302" s="2" t="s">
        <v>3</v>
      </c>
      <c r="H302" s="25">
        <f>F303*A$278</f>
        <v>77666.666666666672</v>
      </c>
      <c r="I302" s="20">
        <f>J308</f>
        <v>488.27</v>
      </c>
      <c r="J302" s="21">
        <f>H302/I302</f>
        <v>159.06499819089166</v>
      </c>
    </row>
    <row r="303" spans="1:10" x14ac:dyDescent="0.25">
      <c r="A303" s="3">
        <v>1.0000000000000001E-9</v>
      </c>
      <c r="B303" s="4">
        <v>71</v>
      </c>
      <c r="C303" s="146">
        <v>85</v>
      </c>
      <c r="D303" s="146">
        <v>77</v>
      </c>
      <c r="E303" s="48">
        <f>AVERAGE(B303:D303)</f>
        <v>77.666666666666671</v>
      </c>
      <c r="F303" s="7">
        <f>E303/A303</f>
        <v>77666666666.666672</v>
      </c>
      <c r="G303" s="9">
        <f>LOG(F303)</f>
        <v>10.890234666306357</v>
      </c>
      <c r="J303" s="21"/>
    </row>
    <row r="304" spans="1:10" x14ac:dyDescent="0.25">
      <c r="I304" s="40"/>
    </row>
    <row r="305" spans="1:10" x14ac:dyDescent="0.25">
      <c r="A305" t="s">
        <v>13</v>
      </c>
      <c r="E305" s="144" t="s">
        <v>36</v>
      </c>
      <c r="F305" s="1" t="s">
        <v>84</v>
      </c>
      <c r="G305" s="43" t="s">
        <v>8</v>
      </c>
      <c r="I305" s="26" t="s">
        <v>18</v>
      </c>
      <c r="J305" s="26" t="s">
        <v>65</v>
      </c>
    </row>
    <row r="306" spans="1:10" x14ac:dyDescent="0.25">
      <c r="A306">
        <v>1</v>
      </c>
      <c r="B306" s="146">
        <v>59</v>
      </c>
      <c r="C306" s="146">
        <v>65</v>
      </c>
      <c r="D306" s="146">
        <v>68</v>
      </c>
      <c r="E306" s="49">
        <f>AVERAGE(B306:D306)</f>
        <v>64</v>
      </c>
      <c r="F306" s="44">
        <f>E306/A306</f>
        <v>64</v>
      </c>
      <c r="G306" s="28">
        <f>(F306/J302)*100</f>
        <v>40.235124463519313</v>
      </c>
      <c r="H306" s="46" t="s">
        <v>68</v>
      </c>
      <c r="I306" s="20">
        <v>340.99</v>
      </c>
      <c r="J306" s="20"/>
    </row>
    <row r="307" spans="1:10" x14ac:dyDescent="0.25">
      <c r="H307" s="46" t="s">
        <v>67</v>
      </c>
      <c r="I307" s="20">
        <v>490.8</v>
      </c>
      <c r="J307" s="20">
        <f>I307-I306</f>
        <v>149.81</v>
      </c>
    </row>
    <row r="308" spans="1:10" x14ac:dyDescent="0.25">
      <c r="H308" s="46" t="s">
        <v>66</v>
      </c>
      <c r="I308" s="20">
        <v>829.26</v>
      </c>
      <c r="J308" s="20">
        <f>I308-I306</f>
        <v>488.27</v>
      </c>
    </row>
    <row r="309" spans="1:10" x14ac:dyDescent="0.25">
      <c r="H309" s="47" t="s">
        <v>69</v>
      </c>
      <c r="I309" s="20"/>
      <c r="J309" s="20">
        <f>J308-J307</f>
        <v>338.46</v>
      </c>
    </row>
    <row r="311" spans="1:10" x14ac:dyDescent="0.25">
      <c r="A311" s="27">
        <v>42922</v>
      </c>
      <c r="B311" t="s">
        <v>63</v>
      </c>
    </row>
    <row r="312" spans="1:10" x14ac:dyDescent="0.25">
      <c r="A312" t="s">
        <v>168</v>
      </c>
    </row>
    <row r="313" spans="1:10" x14ac:dyDescent="0.25">
      <c r="A313" t="s">
        <v>20</v>
      </c>
    </row>
    <row r="314" spans="1:10" x14ac:dyDescent="0.25">
      <c r="A314" t="s">
        <v>64</v>
      </c>
    </row>
    <row r="315" spans="1:10" x14ac:dyDescent="0.25">
      <c r="A315" t="s">
        <v>5</v>
      </c>
      <c r="H315" s="20" t="s">
        <v>10</v>
      </c>
      <c r="I315" t="s">
        <v>62</v>
      </c>
      <c r="J315" t="s">
        <v>2</v>
      </c>
    </row>
    <row r="316" spans="1:10" x14ac:dyDescent="0.25">
      <c r="A316" s="1" t="s">
        <v>0</v>
      </c>
      <c r="B316" s="153" t="s">
        <v>1</v>
      </c>
      <c r="C316" s="154"/>
      <c r="D316" s="144"/>
      <c r="E316" s="144" t="s">
        <v>36</v>
      </c>
      <c r="F316" s="1" t="s">
        <v>84</v>
      </c>
      <c r="G316" s="2" t="s">
        <v>3</v>
      </c>
      <c r="H316" s="25">
        <f>F317*A$278</f>
        <v>60666.666666666664</v>
      </c>
      <c r="I316" s="20">
        <f>J322</f>
        <v>476.52000000000004</v>
      </c>
      <c r="J316" s="21">
        <f>H316/I316</f>
        <v>127.31190016508575</v>
      </c>
    </row>
    <row r="317" spans="1:10" x14ac:dyDescent="0.25">
      <c r="A317" s="3">
        <v>1.0000000000000001E-9</v>
      </c>
      <c r="B317" s="4">
        <v>60</v>
      </c>
      <c r="C317" s="146">
        <v>57</v>
      </c>
      <c r="D317" s="146">
        <v>65</v>
      </c>
      <c r="E317" s="48">
        <f>AVERAGE(B317:D317)</f>
        <v>60.666666666666664</v>
      </c>
      <c r="F317" s="7">
        <f>E317/A317</f>
        <v>60666666666.666664</v>
      </c>
      <c r="G317" s="9">
        <f>LOG(F317)</f>
        <v>10.782950133265413</v>
      </c>
      <c r="J317" s="21"/>
    </row>
    <row r="318" spans="1:10" x14ac:dyDescent="0.25">
      <c r="I318" s="40"/>
    </row>
    <row r="319" spans="1:10" x14ac:dyDescent="0.25">
      <c r="A319" t="s">
        <v>13</v>
      </c>
      <c r="E319" s="144" t="s">
        <v>36</v>
      </c>
      <c r="F319" s="1" t="s">
        <v>84</v>
      </c>
      <c r="G319" s="43" t="s">
        <v>8</v>
      </c>
      <c r="I319" s="26" t="s">
        <v>18</v>
      </c>
      <c r="J319" s="26" t="s">
        <v>65</v>
      </c>
    </row>
    <row r="320" spans="1:10" x14ac:dyDescent="0.25">
      <c r="A320">
        <v>1</v>
      </c>
      <c r="B320" s="146">
        <v>1</v>
      </c>
      <c r="C320" s="146">
        <v>2</v>
      </c>
      <c r="D320" s="146">
        <v>9</v>
      </c>
      <c r="E320" s="49">
        <f>AVERAGE(B320:D320)</f>
        <v>4</v>
      </c>
      <c r="F320" s="44">
        <f>E320/A320</f>
        <v>4</v>
      </c>
      <c r="G320" s="28">
        <f>(F320/J316)*100</f>
        <v>3.14189010989011</v>
      </c>
      <c r="H320" s="46" t="s">
        <v>68</v>
      </c>
      <c r="I320" s="20">
        <v>271.81</v>
      </c>
      <c r="J320" s="20"/>
    </row>
    <row r="321" spans="1:12" x14ac:dyDescent="0.25">
      <c r="H321" s="46" t="s">
        <v>67</v>
      </c>
      <c r="I321" s="20">
        <v>411.86</v>
      </c>
      <c r="J321" s="20">
        <f>I321-I320</f>
        <v>140.05000000000001</v>
      </c>
    </row>
    <row r="322" spans="1:12" x14ac:dyDescent="0.25">
      <c r="H322" s="46" t="s">
        <v>66</v>
      </c>
      <c r="I322" s="20">
        <v>748.33</v>
      </c>
      <c r="J322" s="20">
        <f>I322-I320</f>
        <v>476.52000000000004</v>
      </c>
    </row>
    <row r="323" spans="1:12" x14ac:dyDescent="0.25">
      <c r="A323" t="s">
        <v>70</v>
      </c>
      <c r="H323" s="47" t="s">
        <v>69</v>
      </c>
      <c r="I323" s="20"/>
      <c r="J323" s="20">
        <f>J322-J321</f>
        <v>336.47</v>
      </c>
    </row>
    <row r="324" spans="1:12" x14ac:dyDescent="0.25">
      <c r="A324" t="s">
        <v>71</v>
      </c>
    </row>
    <row r="326" spans="1:12" x14ac:dyDescent="0.25">
      <c r="A326" s="27">
        <v>42929</v>
      </c>
      <c r="B326" t="s">
        <v>63</v>
      </c>
    </row>
    <row r="327" spans="1:12" x14ac:dyDescent="0.25">
      <c r="A327" t="s">
        <v>168</v>
      </c>
    </row>
    <row r="328" spans="1:12" x14ac:dyDescent="0.25">
      <c r="A328" t="s">
        <v>20</v>
      </c>
    </row>
    <row r="329" spans="1:12" x14ac:dyDescent="0.25">
      <c r="A329" t="s">
        <v>64</v>
      </c>
    </row>
    <row r="330" spans="1:12" x14ac:dyDescent="0.25">
      <c r="A330" t="s">
        <v>5</v>
      </c>
      <c r="H330" s="20" t="s">
        <v>10</v>
      </c>
      <c r="I330" t="s">
        <v>62</v>
      </c>
      <c r="J330" t="s">
        <v>2</v>
      </c>
    </row>
    <row r="331" spans="1:12" x14ac:dyDescent="0.25">
      <c r="A331" s="1" t="s">
        <v>0</v>
      </c>
      <c r="B331" s="153" t="s">
        <v>1</v>
      </c>
      <c r="C331" s="154"/>
      <c r="D331" s="144"/>
      <c r="E331" s="144" t="s">
        <v>36</v>
      </c>
      <c r="F331" s="1" t="s">
        <v>84</v>
      </c>
      <c r="G331" s="2" t="s">
        <v>3</v>
      </c>
      <c r="H331" s="25">
        <f>F332*A$278</f>
        <v>65333.333333333328</v>
      </c>
      <c r="I331" s="20">
        <f>J337</f>
        <v>534.68000000000006</v>
      </c>
      <c r="J331" s="21">
        <f>H331/I331</f>
        <v>122.19146654696888</v>
      </c>
      <c r="L331" t="s">
        <v>72</v>
      </c>
    </row>
    <row r="332" spans="1:12" x14ac:dyDescent="0.25">
      <c r="A332" s="3">
        <v>1.0000000000000001E-9</v>
      </c>
      <c r="B332" s="4">
        <v>75</v>
      </c>
      <c r="C332" s="146">
        <v>71</v>
      </c>
      <c r="D332" s="146">
        <v>50</v>
      </c>
      <c r="E332" s="48">
        <f>AVERAGE(B332:D332)</f>
        <v>65.333333333333329</v>
      </c>
      <c r="F332" s="7">
        <f>E332/A332</f>
        <v>65333333333.333328</v>
      </c>
      <c r="G332" s="9">
        <f>LOG(F332)</f>
        <v>10.815134816636814</v>
      </c>
      <c r="J332" s="21"/>
      <c r="L332" s="12">
        <f>AVERAGE(H288,H302,H331)</f>
        <v>73666.666666666672</v>
      </c>
    </row>
    <row r="333" spans="1:12" x14ac:dyDescent="0.25">
      <c r="I333" s="40"/>
    </row>
    <row r="334" spans="1:12" x14ac:dyDescent="0.25">
      <c r="A334" t="s">
        <v>13</v>
      </c>
      <c r="E334" s="144" t="s">
        <v>36</v>
      </c>
      <c r="F334" s="1" t="s">
        <v>84</v>
      </c>
      <c r="G334" s="43" t="s">
        <v>8</v>
      </c>
      <c r="I334" s="26" t="s">
        <v>18</v>
      </c>
      <c r="J334" s="26" t="s">
        <v>65</v>
      </c>
    </row>
    <row r="335" spans="1:12" x14ac:dyDescent="0.25">
      <c r="A335">
        <v>1</v>
      </c>
      <c r="B335" s="146">
        <v>50</v>
      </c>
      <c r="C335" s="146">
        <v>45</v>
      </c>
      <c r="D335" s="146">
        <v>40</v>
      </c>
      <c r="E335" s="49">
        <f>AVERAGE(B335:D335)</f>
        <v>45</v>
      </c>
      <c r="F335" s="44">
        <f>E335/A335</f>
        <v>45</v>
      </c>
      <c r="G335" s="28">
        <f>(F335/J331)*100</f>
        <v>36.827448979591843</v>
      </c>
      <c r="H335" s="46" t="s">
        <v>68</v>
      </c>
      <c r="I335" s="20">
        <v>274.77</v>
      </c>
      <c r="J335" s="20"/>
    </row>
    <row r="336" spans="1:12" x14ac:dyDescent="0.25">
      <c r="H336" s="46" t="s">
        <v>67</v>
      </c>
      <c r="I336" s="20"/>
      <c r="J336" s="20"/>
    </row>
    <row r="337" spans="1:10" x14ac:dyDescent="0.25">
      <c r="H337" s="46" t="s">
        <v>66</v>
      </c>
      <c r="I337" s="20">
        <v>809.45</v>
      </c>
      <c r="J337" s="20">
        <f>I337-I335</f>
        <v>534.68000000000006</v>
      </c>
    </row>
    <row r="338" spans="1:10" x14ac:dyDescent="0.25">
      <c r="H338" s="47" t="s">
        <v>69</v>
      </c>
      <c r="I338" s="20"/>
      <c r="J338" s="20"/>
    </row>
    <row r="340" spans="1:10" x14ac:dyDescent="0.25">
      <c r="E340" t="s">
        <v>58</v>
      </c>
      <c r="F340" t="s">
        <v>77</v>
      </c>
    </row>
    <row r="341" spans="1:10" x14ac:dyDescent="0.25">
      <c r="A341" s="11">
        <v>43014</v>
      </c>
      <c r="B341" t="s">
        <v>76</v>
      </c>
      <c r="E341" s="41" t="s">
        <v>61</v>
      </c>
    </row>
    <row r="342" spans="1:10" x14ac:dyDescent="0.25">
      <c r="A342" s="3">
        <v>1.0000000000000001E-5</v>
      </c>
      <c r="B342">
        <v>486</v>
      </c>
      <c r="C342" s="7">
        <f>B342/A342</f>
        <v>48599999.999999993</v>
      </c>
      <c r="D342" s="9">
        <f>LOG(C342)</f>
        <v>7.6866362692622934</v>
      </c>
    </row>
    <row r="343" spans="1:10" x14ac:dyDescent="0.25">
      <c r="A343" s="3">
        <v>1E-3</v>
      </c>
      <c r="E343" s="10">
        <f>C342*A343</f>
        <v>48599.999999999993</v>
      </c>
      <c r="F343" s="10"/>
    </row>
    <row r="344" spans="1:10" x14ac:dyDescent="0.25">
      <c r="E344" s="10"/>
      <c r="F344" s="10">
        <f>E343*2</f>
        <v>97199.999999999985</v>
      </c>
    </row>
    <row r="345" spans="1:10" x14ac:dyDescent="0.25">
      <c r="E345" s="10"/>
    </row>
    <row r="346" spans="1:10" x14ac:dyDescent="0.25">
      <c r="A346" s="27">
        <v>43020</v>
      </c>
      <c r="B346" t="s">
        <v>78</v>
      </c>
    </row>
    <row r="347" spans="1:10" x14ac:dyDescent="0.25">
      <c r="A347" t="s">
        <v>169</v>
      </c>
    </row>
    <row r="348" spans="1:10" x14ac:dyDescent="0.25">
      <c r="A348" t="s">
        <v>20</v>
      </c>
    </row>
    <row r="349" spans="1:10" x14ac:dyDescent="0.25">
      <c r="A349" t="s">
        <v>64</v>
      </c>
    </row>
    <row r="350" spans="1:10" x14ac:dyDescent="0.25">
      <c r="A350" t="s">
        <v>5</v>
      </c>
      <c r="H350" s="20" t="s">
        <v>10</v>
      </c>
      <c r="I350" t="s">
        <v>62</v>
      </c>
      <c r="J350" t="s">
        <v>2</v>
      </c>
    </row>
    <row r="351" spans="1:10" x14ac:dyDescent="0.25">
      <c r="A351" s="1" t="s">
        <v>0</v>
      </c>
      <c r="B351" s="153" t="s">
        <v>1</v>
      </c>
      <c r="C351" s="154"/>
      <c r="D351" s="144"/>
      <c r="E351" s="144" t="s">
        <v>36</v>
      </c>
      <c r="F351" s="1" t="s">
        <v>84</v>
      </c>
      <c r="G351" s="2" t="s">
        <v>3</v>
      </c>
      <c r="H351" s="25" t="e">
        <f>F352*A$278</f>
        <v>#DIV/0!</v>
      </c>
      <c r="I351" s="20">
        <f>J357</f>
        <v>515.5</v>
      </c>
      <c r="J351" s="21" t="e">
        <f>H351/I351</f>
        <v>#DIV/0!</v>
      </c>
    </row>
    <row r="352" spans="1:10" x14ac:dyDescent="0.25">
      <c r="A352" s="3">
        <v>1.0000000000000001E-9</v>
      </c>
      <c r="B352" s="4"/>
      <c r="C352" s="146"/>
      <c r="D352" s="146"/>
      <c r="E352" s="48" t="e">
        <f>AVERAGE(B352:D352)</f>
        <v>#DIV/0!</v>
      </c>
      <c r="F352" s="7" t="e">
        <f>E352/A352</f>
        <v>#DIV/0!</v>
      </c>
      <c r="G352" s="9" t="e">
        <f>LOG(F352)</f>
        <v>#DIV/0!</v>
      </c>
      <c r="J352" s="21"/>
    </row>
    <row r="353" spans="1:10" x14ac:dyDescent="0.25">
      <c r="I353" s="40"/>
    </row>
    <row r="354" spans="1:10" x14ac:dyDescent="0.25">
      <c r="A354" t="s">
        <v>13</v>
      </c>
      <c r="E354" s="144" t="s">
        <v>36</v>
      </c>
      <c r="F354" s="1" t="s">
        <v>84</v>
      </c>
      <c r="G354" s="43" t="s">
        <v>8</v>
      </c>
      <c r="I354" s="26" t="s">
        <v>18</v>
      </c>
      <c r="J354" s="26" t="s">
        <v>65</v>
      </c>
    </row>
    <row r="355" spans="1:10" x14ac:dyDescent="0.25">
      <c r="A355">
        <v>1</v>
      </c>
      <c r="B355" s="146"/>
      <c r="C355" s="146"/>
      <c r="D355" s="146"/>
      <c r="E355" s="49" t="e">
        <f>AVERAGE(B355:D355)</f>
        <v>#DIV/0!</v>
      </c>
      <c r="F355" s="44" t="e">
        <f>E355/A355</f>
        <v>#DIV/0!</v>
      </c>
      <c r="G355" s="28" t="e">
        <f>(F355/J351)*100</f>
        <v>#DIV/0!</v>
      </c>
      <c r="H355" s="46" t="s">
        <v>68</v>
      </c>
      <c r="I355" s="20">
        <v>280.36</v>
      </c>
      <c r="J355" s="20"/>
    </row>
    <row r="356" spans="1:10" x14ac:dyDescent="0.25">
      <c r="H356" s="46" t="s">
        <v>67</v>
      </c>
      <c r="I356" s="20">
        <v>413.79</v>
      </c>
      <c r="J356" s="20">
        <f>I356-I355</f>
        <v>133.43</v>
      </c>
    </row>
    <row r="357" spans="1:10" x14ac:dyDescent="0.25">
      <c r="H357" s="46" t="s">
        <v>66</v>
      </c>
      <c r="I357" s="20">
        <v>795.86</v>
      </c>
      <c r="J357" s="20">
        <f>I357-I355</f>
        <v>515.5</v>
      </c>
    </row>
    <row r="358" spans="1:10" x14ac:dyDescent="0.25">
      <c r="A358" t="s">
        <v>79</v>
      </c>
      <c r="H358" s="47" t="s">
        <v>69</v>
      </c>
      <c r="I358" s="20"/>
      <c r="J358" s="20">
        <f>J357-J356</f>
        <v>382.07</v>
      </c>
    </row>
    <row r="360" spans="1:10" x14ac:dyDescent="0.25">
      <c r="E360" t="s">
        <v>58</v>
      </c>
    </row>
    <row r="361" spans="1:10" x14ac:dyDescent="0.25">
      <c r="A361" s="11">
        <v>43026</v>
      </c>
      <c r="B361" t="s">
        <v>76</v>
      </c>
      <c r="E361" s="41" t="s">
        <v>61</v>
      </c>
    </row>
    <row r="362" spans="1:10" x14ac:dyDescent="0.25">
      <c r="A362" s="3">
        <v>9.9999999999999995E-7</v>
      </c>
      <c r="B362">
        <v>136</v>
      </c>
      <c r="C362" s="7">
        <f>B362/A362</f>
        <v>136000000</v>
      </c>
      <c r="D362" s="9">
        <f>LOG(C362)</f>
        <v>8.1335389083702179</v>
      </c>
    </row>
    <row r="363" spans="1:10" x14ac:dyDescent="0.25">
      <c r="A363" s="3">
        <v>1E-3</v>
      </c>
      <c r="E363" s="10">
        <f>C362*A363</f>
        <v>136000</v>
      </c>
    </row>
    <row r="366" spans="1:10" x14ac:dyDescent="0.25">
      <c r="A366" s="27">
        <v>43027</v>
      </c>
      <c r="B366" t="s">
        <v>78</v>
      </c>
    </row>
    <row r="367" spans="1:10" x14ac:dyDescent="0.25">
      <c r="A367" t="s">
        <v>169</v>
      </c>
    </row>
    <row r="368" spans="1:10" x14ac:dyDescent="0.25">
      <c r="A368" t="s">
        <v>20</v>
      </c>
    </row>
    <row r="369" spans="1:10" x14ac:dyDescent="0.25">
      <c r="A369" t="s">
        <v>64</v>
      </c>
    </row>
    <row r="370" spans="1:10" x14ac:dyDescent="0.25">
      <c r="A370" t="s">
        <v>5</v>
      </c>
      <c r="H370" s="20" t="s">
        <v>10</v>
      </c>
      <c r="I370" t="s">
        <v>62</v>
      </c>
      <c r="J370" t="s">
        <v>2</v>
      </c>
    </row>
    <row r="371" spans="1:10" x14ac:dyDescent="0.25">
      <c r="A371" s="1" t="s">
        <v>0</v>
      </c>
      <c r="B371" s="153" t="s">
        <v>1</v>
      </c>
      <c r="C371" s="154"/>
      <c r="D371" s="144"/>
      <c r="E371" s="144" t="s">
        <v>36</v>
      </c>
      <c r="F371" s="1" t="s">
        <v>84</v>
      </c>
      <c r="G371" s="2" t="s">
        <v>3</v>
      </c>
      <c r="H371" s="25">
        <f>F372*A363</f>
        <v>50000</v>
      </c>
      <c r="I371" s="20">
        <f>J377</f>
        <v>500.11</v>
      </c>
      <c r="J371" s="21">
        <f>H371/I371</f>
        <v>99.978004838935433</v>
      </c>
    </row>
    <row r="372" spans="1:10" x14ac:dyDescent="0.25">
      <c r="A372" s="3">
        <v>9.9999999999999995E-7</v>
      </c>
      <c r="B372" s="4">
        <v>50</v>
      </c>
      <c r="C372" s="146"/>
      <c r="D372" s="146"/>
      <c r="E372" s="48">
        <f>AVERAGE(B372:D372)</f>
        <v>50</v>
      </c>
      <c r="F372" s="7">
        <f>E372/A372</f>
        <v>50000000</v>
      </c>
      <c r="G372" s="9">
        <f>LOG(F372)</f>
        <v>7.6989700043360187</v>
      </c>
      <c r="J372" s="21"/>
    </row>
    <row r="373" spans="1:10" x14ac:dyDescent="0.25">
      <c r="I373" s="40"/>
    </row>
    <row r="374" spans="1:10" x14ac:dyDescent="0.25">
      <c r="A374" t="s">
        <v>13</v>
      </c>
      <c r="E374" s="144" t="s">
        <v>36</v>
      </c>
      <c r="F374" s="1" t="s">
        <v>84</v>
      </c>
      <c r="G374" s="43" t="s">
        <v>8</v>
      </c>
      <c r="I374" s="26" t="s">
        <v>18</v>
      </c>
      <c r="J374" s="26" t="s">
        <v>65</v>
      </c>
    </row>
    <row r="375" spans="1:10" x14ac:dyDescent="0.25">
      <c r="A375">
        <v>1</v>
      </c>
      <c r="B375" s="146">
        <v>0</v>
      </c>
      <c r="C375" s="146">
        <v>0</v>
      </c>
      <c r="D375" s="146">
        <v>0</v>
      </c>
      <c r="E375" s="49">
        <f>AVERAGE(B375:D375)</f>
        <v>0</v>
      </c>
      <c r="F375" s="44">
        <f>E375/A375</f>
        <v>0</v>
      </c>
      <c r="G375" s="28">
        <f>(F375/J371)*100</f>
        <v>0</v>
      </c>
      <c r="H375" s="46" t="s">
        <v>68</v>
      </c>
      <c r="I375" s="20">
        <v>274.14999999999998</v>
      </c>
      <c r="J375" s="20"/>
    </row>
    <row r="376" spans="1:10" x14ac:dyDescent="0.25">
      <c r="H376" s="46" t="s">
        <v>67</v>
      </c>
      <c r="I376" s="20">
        <v>404.77</v>
      </c>
      <c r="J376" s="20">
        <f>I376-I375</f>
        <v>130.62</v>
      </c>
    </row>
    <row r="377" spans="1:10" x14ac:dyDescent="0.25">
      <c r="H377" s="46" t="s">
        <v>66</v>
      </c>
      <c r="I377" s="20">
        <v>774.26</v>
      </c>
      <c r="J377" s="20">
        <f>I377-I375</f>
        <v>500.11</v>
      </c>
    </row>
    <row r="378" spans="1:10" x14ac:dyDescent="0.25">
      <c r="A378" t="s">
        <v>79</v>
      </c>
      <c r="H378" s="47" t="s">
        <v>69</v>
      </c>
      <c r="I378" s="20"/>
      <c r="J378" s="20">
        <f>J377-J376</f>
        <v>369.49</v>
      </c>
    </row>
    <row r="379" spans="1:10" x14ac:dyDescent="0.25">
      <c r="H379" s="47"/>
      <c r="I379" s="20"/>
      <c r="J379" s="20"/>
    </row>
    <row r="381" spans="1:10" x14ac:dyDescent="0.25">
      <c r="A381" s="27">
        <v>43034</v>
      </c>
      <c r="B381" t="s">
        <v>78</v>
      </c>
    </row>
    <row r="382" spans="1:10" x14ac:dyDescent="0.25">
      <c r="A382" t="s">
        <v>170</v>
      </c>
    </row>
    <row r="383" spans="1:10" x14ac:dyDescent="0.25">
      <c r="A383" t="s">
        <v>20</v>
      </c>
    </row>
    <row r="384" spans="1:10" x14ac:dyDescent="0.25">
      <c r="A384" t="s">
        <v>64</v>
      </c>
    </row>
    <row r="385" spans="1:10" x14ac:dyDescent="0.25">
      <c r="A385" t="s">
        <v>5</v>
      </c>
      <c r="H385" s="20" t="s">
        <v>10</v>
      </c>
      <c r="I385" t="s">
        <v>62</v>
      </c>
      <c r="J385" t="s">
        <v>2</v>
      </c>
    </row>
    <row r="386" spans="1:10" x14ac:dyDescent="0.25">
      <c r="A386" s="1" t="s">
        <v>0</v>
      </c>
      <c r="B386" s="153" t="s">
        <v>1</v>
      </c>
      <c r="C386" s="154"/>
      <c r="D386" s="144"/>
      <c r="E386" s="144" t="s">
        <v>36</v>
      </c>
      <c r="F386" s="1" t="s">
        <v>84</v>
      </c>
      <c r="G386" s="2" t="s">
        <v>3</v>
      </c>
      <c r="H386" s="25">
        <f>(F387*A$363)*2</f>
        <v>68000</v>
      </c>
      <c r="I386" s="20">
        <f>J392</f>
        <v>516.97</v>
      </c>
      <c r="J386" s="21">
        <f>H386/I386</f>
        <v>131.5356790529431</v>
      </c>
    </row>
    <row r="387" spans="1:10" x14ac:dyDescent="0.25">
      <c r="A387" s="3">
        <v>9.9999999999999995E-7</v>
      </c>
      <c r="B387" s="4">
        <v>42</v>
      </c>
      <c r="C387" s="146">
        <v>26</v>
      </c>
      <c r="D387" s="146"/>
      <c r="E387" s="48">
        <f>AVERAGE(B387:D387)</f>
        <v>34</v>
      </c>
      <c r="F387" s="7">
        <f>E387/A387</f>
        <v>34000000</v>
      </c>
      <c r="G387" s="9">
        <f>LOG(F387)</f>
        <v>7.5314789170422554</v>
      </c>
      <c r="J387" s="21"/>
    </row>
    <row r="388" spans="1:10" x14ac:dyDescent="0.25">
      <c r="I388" s="40"/>
    </row>
    <row r="389" spans="1:10" x14ac:dyDescent="0.25">
      <c r="A389" t="s">
        <v>13</v>
      </c>
      <c r="E389" s="144" t="s">
        <v>36</v>
      </c>
      <c r="F389" s="1" t="s">
        <v>84</v>
      </c>
      <c r="G389" s="43" t="s">
        <v>8</v>
      </c>
      <c r="I389" s="26" t="s">
        <v>18</v>
      </c>
      <c r="J389" s="26" t="s">
        <v>65</v>
      </c>
    </row>
    <row r="390" spans="1:10" x14ac:dyDescent="0.25">
      <c r="A390">
        <v>2</v>
      </c>
      <c r="B390" s="146">
        <v>4</v>
      </c>
      <c r="C390" s="146">
        <v>4</v>
      </c>
      <c r="D390" s="146">
        <v>3</v>
      </c>
      <c r="E390" s="49">
        <f>AVERAGE(B390:D390)</f>
        <v>3.6666666666666665</v>
      </c>
      <c r="F390" s="44">
        <f>E390/A390</f>
        <v>1.8333333333333333</v>
      </c>
      <c r="G390" s="28">
        <f>(F390/J386)*100</f>
        <v>1.3937916666666668</v>
      </c>
      <c r="H390" s="46" t="s">
        <v>68</v>
      </c>
      <c r="I390" s="20">
        <v>274.77999999999997</v>
      </c>
      <c r="J390" s="20"/>
    </row>
    <row r="391" spans="1:10" x14ac:dyDescent="0.25">
      <c r="H391" s="46" t="s">
        <v>67</v>
      </c>
      <c r="I391" s="20">
        <v>417</v>
      </c>
      <c r="J391" s="20">
        <f>I391-I390</f>
        <v>142.22000000000003</v>
      </c>
    </row>
    <row r="392" spans="1:10" x14ac:dyDescent="0.25">
      <c r="H392" s="46" t="s">
        <v>66</v>
      </c>
      <c r="I392" s="20">
        <v>791.75</v>
      </c>
      <c r="J392" s="20">
        <f>I392-I390</f>
        <v>516.97</v>
      </c>
    </row>
    <row r="393" spans="1:10" x14ac:dyDescent="0.25">
      <c r="H393" s="47" t="s">
        <v>69</v>
      </c>
      <c r="I393" s="20"/>
      <c r="J393" s="20">
        <f>J392-J391</f>
        <v>374.75</v>
      </c>
    </row>
    <row r="395" spans="1:10" x14ac:dyDescent="0.25">
      <c r="A395" s="27">
        <v>43048</v>
      </c>
      <c r="B395" t="s">
        <v>80</v>
      </c>
    </row>
    <row r="396" spans="1:10" x14ac:dyDescent="0.25">
      <c r="A396" t="s">
        <v>171</v>
      </c>
    </row>
    <row r="397" spans="1:10" x14ac:dyDescent="0.25">
      <c r="A397" t="s">
        <v>20</v>
      </c>
    </row>
    <row r="398" spans="1:10" x14ac:dyDescent="0.25">
      <c r="A398" t="s">
        <v>64</v>
      </c>
    </row>
    <row r="399" spans="1:10" x14ac:dyDescent="0.25">
      <c r="A399" t="s">
        <v>81</v>
      </c>
    </row>
    <row r="400" spans="1:10" x14ac:dyDescent="0.25">
      <c r="A400" t="s">
        <v>5</v>
      </c>
      <c r="H400" s="20" t="s">
        <v>10</v>
      </c>
      <c r="I400" t="s">
        <v>62</v>
      </c>
      <c r="J400" t="s">
        <v>2</v>
      </c>
    </row>
    <row r="401" spans="1:10" x14ac:dyDescent="0.25">
      <c r="A401" s="1" t="s">
        <v>0</v>
      </c>
      <c r="B401" s="153" t="s">
        <v>1</v>
      </c>
      <c r="C401" s="154"/>
      <c r="D401" s="144"/>
      <c r="E401" s="144" t="s">
        <v>36</v>
      </c>
      <c r="F401" s="1" t="s">
        <v>84</v>
      </c>
      <c r="G401" s="2" t="s">
        <v>3</v>
      </c>
      <c r="H401" s="25">
        <f>(F402*A$363)*2</f>
        <v>156000</v>
      </c>
      <c r="I401" s="20">
        <f>J407</f>
        <v>492.51</v>
      </c>
      <c r="J401" s="21">
        <f>H401/I401</f>
        <v>316.74483766827069</v>
      </c>
    </row>
    <row r="402" spans="1:10" x14ac:dyDescent="0.25">
      <c r="A402" s="3">
        <v>9.9999999999999995E-7</v>
      </c>
      <c r="B402" s="4">
        <v>90</v>
      </c>
      <c r="C402" s="146">
        <v>66</v>
      </c>
      <c r="D402" s="146"/>
      <c r="E402" s="48">
        <f>AVERAGE(B402:D402)</f>
        <v>78</v>
      </c>
      <c r="F402" s="7">
        <f>E402/A402</f>
        <v>78000000</v>
      </c>
      <c r="G402" s="9">
        <f>LOG(F402)</f>
        <v>7.8920946026904808</v>
      </c>
      <c r="J402" s="21"/>
    </row>
    <row r="403" spans="1:10" x14ac:dyDescent="0.25">
      <c r="I403" s="40"/>
    </row>
    <row r="404" spans="1:10" x14ac:dyDescent="0.25">
      <c r="A404" t="s">
        <v>13</v>
      </c>
      <c r="E404" s="144" t="s">
        <v>36</v>
      </c>
      <c r="F404" s="1" t="s">
        <v>84</v>
      </c>
      <c r="G404" s="43" t="s">
        <v>8</v>
      </c>
      <c r="I404" s="26" t="s">
        <v>18</v>
      </c>
      <c r="J404" s="26" t="s">
        <v>65</v>
      </c>
    </row>
    <row r="405" spans="1:10" x14ac:dyDescent="0.25">
      <c r="A405">
        <v>2</v>
      </c>
      <c r="B405" s="146">
        <v>0</v>
      </c>
      <c r="C405" s="146">
        <v>0</v>
      </c>
      <c r="D405" s="146">
        <v>0</v>
      </c>
      <c r="E405" s="49">
        <f>AVERAGE(B405:D405)</f>
        <v>0</v>
      </c>
      <c r="F405" s="44">
        <f>E405/A405</f>
        <v>0</v>
      </c>
      <c r="G405" s="28">
        <f>(F405/J401)*100</f>
        <v>0</v>
      </c>
      <c r="H405" s="46" t="s">
        <v>68</v>
      </c>
      <c r="I405" s="20">
        <v>267.61</v>
      </c>
      <c r="J405" s="20"/>
    </row>
    <row r="406" spans="1:10" x14ac:dyDescent="0.25">
      <c r="H406" s="46" t="s">
        <v>67</v>
      </c>
      <c r="I406" s="20">
        <v>389.9</v>
      </c>
      <c r="J406" s="20">
        <f>I406-I405</f>
        <v>122.28999999999996</v>
      </c>
    </row>
    <row r="407" spans="1:10" x14ac:dyDescent="0.25">
      <c r="H407" s="46" t="s">
        <v>66</v>
      </c>
      <c r="I407" s="20">
        <v>760.12</v>
      </c>
      <c r="J407" s="20">
        <f>I407-I405</f>
        <v>492.51</v>
      </c>
    </row>
    <row r="408" spans="1:10" x14ac:dyDescent="0.25">
      <c r="H408" s="47" t="s">
        <v>69</v>
      </c>
      <c r="I408" s="20"/>
      <c r="J408" s="20">
        <f>J407-J406</f>
        <v>370.22</v>
      </c>
    </row>
    <row r="410" spans="1:10" x14ac:dyDescent="0.25">
      <c r="E410" t="s">
        <v>58</v>
      </c>
      <c r="F410" t="s">
        <v>83</v>
      </c>
    </row>
    <row r="411" spans="1:10" x14ac:dyDescent="0.25">
      <c r="A411" s="11">
        <v>43138</v>
      </c>
      <c r="B411" t="s">
        <v>82</v>
      </c>
      <c r="E411" s="41" t="s">
        <v>61</v>
      </c>
    </row>
    <row r="412" spans="1:10" x14ac:dyDescent="0.25">
      <c r="A412" s="3">
        <v>1.0000000000000001E-5</v>
      </c>
      <c r="B412">
        <v>142</v>
      </c>
      <c r="C412" s="7">
        <f>B412/A412</f>
        <v>14199999.999999998</v>
      </c>
      <c r="D412" s="62">
        <f>LOG(C412)</f>
        <v>7.1522883443830567</v>
      </c>
    </row>
    <row r="413" spans="1:10" x14ac:dyDescent="0.25">
      <c r="A413" s="3">
        <v>0.01</v>
      </c>
      <c r="E413" s="10">
        <f>C412*A413</f>
        <v>141999.99999999997</v>
      </c>
      <c r="F413" s="10">
        <f>E413*0.75</f>
        <v>106499.99999999997</v>
      </c>
    </row>
    <row r="414" spans="1:10" x14ac:dyDescent="0.25">
      <c r="A414" s="11">
        <v>43143</v>
      </c>
      <c r="B414">
        <v>32</v>
      </c>
      <c r="C414" s="10">
        <f>(B412+B414)/A412</f>
        <v>17400000</v>
      </c>
      <c r="D414" s="62">
        <f>LOG(C414)</f>
        <v>7.2405492482825995</v>
      </c>
      <c r="E414" s="10">
        <f>C414*A413</f>
        <v>174000</v>
      </c>
      <c r="F414" s="10">
        <f>E414*0.75</f>
        <v>130500</v>
      </c>
    </row>
    <row r="415" spans="1:10" x14ac:dyDescent="0.25">
      <c r="E415" s="10">
        <f>AVERAGE(E413:E414)</f>
        <v>158000</v>
      </c>
      <c r="F415" s="10">
        <f>E415*0.75</f>
        <v>118500</v>
      </c>
    </row>
    <row r="417" spans="1:9" x14ac:dyDescent="0.25">
      <c r="G417" t="s">
        <v>58</v>
      </c>
      <c r="H417" t="s">
        <v>83</v>
      </c>
    </row>
    <row r="418" spans="1:9" x14ac:dyDescent="0.25">
      <c r="A418" s="11">
        <v>43151</v>
      </c>
      <c r="B418" t="s">
        <v>82</v>
      </c>
      <c r="D418" s="144" t="s">
        <v>36</v>
      </c>
      <c r="E418" s="1" t="s">
        <v>84</v>
      </c>
      <c r="F418" s="2" t="s">
        <v>3</v>
      </c>
      <c r="G418" s="41" t="s">
        <v>61</v>
      </c>
    </row>
    <row r="419" spans="1:9" x14ac:dyDescent="0.25">
      <c r="A419" s="3">
        <v>9.9999999999999995E-7</v>
      </c>
      <c r="B419" s="51">
        <v>202</v>
      </c>
      <c r="C419">
        <v>137</v>
      </c>
      <c r="D419" s="48">
        <f>AVERAGE(B419:C419)</f>
        <v>169.5</v>
      </c>
      <c r="E419" s="7">
        <f>D419/A419</f>
        <v>169500000</v>
      </c>
      <c r="F419" s="62">
        <f>LOG(E419)</f>
        <v>8.2291697025391013</v>
      </c>
    </row>
    <row r="420" spans="1:9" x14ac:dyDescent="0.25">
      <c r="A420" s="3">
        <v>1E-3</v>
      </c>
      <c r="B420" s="14"/>
      <c r="G420" s="10">
        <f>E419*A420</f>
        <v>169500</v>
      </c>
      <c r="H420" s="10">
        <f>G420*0.75</f>
        <v>127125</v>
      </c>
    </row>
    <row r="421" spans="1:9" x14ac:dyDescent="0.25">
      <c r="A421" s="3">
        <v>0.01</v>
      </c>
      <c r="G421" s="10">
        <f>E419*A421</f>
        <v>1695000</v>
      </c>
      <c r="H421" s="10">
        <f>G421*0.75</f>
        <v>1271250</v>
      </c>
      <c r="I421" s="12">
        <f>H421/500</f>
        <v>2542.5</v>
      </c>
    </row>
    <row r="423" spans="1:9" x14ac:dyDescent="0.25">
      <c r="G423" s="10"/>
    </row>
    <row r="424" spans="1:9" x14ac:dyDescent="0.25">
      <c r="A424" t="s">
        <v>160</v>
      </c>
    </row>
    <row r="426" spans="1:9" x14ac:dyDescent="0.25">
      <c r="C426" s="26" t="s">
        <v>18</v>
      </c>
      <c r="D426" s="26" t="s">
        <v>65</v>
      </c>
      <c r="E426" t="s">
        <v>96</v>
      </c>
    </row>
    <row r="427" spans="1:9" x14ac:dyDescent="0.25">
      <c r="B427" s="46" t="s">
        <v>68</v>
      </c>
      <c r="C427" s="20">
        <v>261.69</v>
      </c>
      <c r="D427" s="20"/>
    </row>
    <row r="428" spans="1:9" x14ac:dyDescent="0.25">
      <c r="B428" s="46" t="s">
        <v>67</v>
      </c>
      <c r="C428" s="20">
        <v>620.22</v>
      </c>
      <c r="D428" s="20">
        <f>C428-C427</f>
        <v>358.53000000000003</v>
      </c>
    </row>
    <row r="429" spans="1:9" x14ac:dyDescent="0.25">
      <c r="B429" s="46" t="s">
        <v>85</v>
      </c>
      <c r="C429" s="20">
        <v>710.64</v>
      </c>
      <c r="D429" s="20">
        <f>C429-C427</f>
        <v>448.95</v>
      </c>
      <c r="E429">
        <f>D429-D428</f>
        <v>90.419999999999959</v>
      </c>
    </row>
    <row r="430" spans="1:9" x14ac:dyDescent="0.25">
      <c r="B430" s="47" t="s">
        <v>86</v>
      </c>
      <c r="C430" s="20">
        <v>1025.74</v>
      </c>
      <c r="D430" s="20">
        <f>C430-C427</f>
        <v>764.05</v>
      </c>
      <c r="E430">
        <f>D430-D429</f>
        <v>315.09999999999997</v>
      </c>
      <c r="F430">
        <f>E430-250</f>
        <v>65.099999999999966</v>
      </c>
    </row>
    <row r="433" spans="1:11" x14ac:dyDescent="0.25">
      <c r="A433" s="11">
        <v>43182</v>
      </c>
      <c r="B433" t="s">
        <v>15</v>
      </c>
    </row>
    <row r="434" spans="1:11" x14ac:dyDescent="0.25">
      <c r="A434" t="s">
        <v>172</v>
      </c>
    </row>
    <row r="435" spans="1:11" x14ac:dyDescent="0.25">
      <c r="A435" t="s">
        <v>14</v>
      </c>
    </row>
    <row r="436" spans="1:11" x14ac:dyDescent="0.25">
      <c r="A436" t="s">
        <v>39</v>
      </c>
    </row>
    <row r="437" spans="1:11" x14ac:dyDescent="0.25">
      <c r="A437" t="s">
        <v>5</v>
      </c>
      <c r="G437" t="s">
        <v>10</v>
      </c>
      <c r="H437" t="s">
        <v>16</v>
      </c>
      <c r="I437" t="s">
        <v>2</v>
      </c>
      <c r="J437" t="s">
        <v>90</v>
      </c>
      <c r="K437" t="s">
        <v>97</v>
      </c>
    </row>
    <row r="438" spans="1:11" x14ac:dyDescent="0.25">
      <c r="A438" s="1" t="s">
        <v>0</v>
      </c>
      <c r="B438" s="153" t="s">
        <v>1</v>
      </c>
      <c r="C438" s="154"/>
      <c r="D438" s="144"/>
      <c r="E438" s="1" t="s">
        <v>2</v>
      </c>
      <c r="F438" s="2" t="s">
        <v>3</v>
      </c>
      <c r="G438" s="25" t="e">
        <f>E439*B$4</f>
        <v>#DIV/0!</v>
      </c>
      <c r="H438" s="20">
        <f>J439-K438</f>
        <v>519.75</v>
      </c>
      <c r="I438" s="21" t="e">
        <f>G438/H438</f>
        <v>#DIV/0!</v>
      </c>
      <c r="J438">
        <v>604.84</v>
      </c>
      <c r="K438">
        <f>J438-250</f>
        <v>354.84000000000003</v>
      </c>
    </row>
    <row r="439" spans="1:11" x14ac:dyDescent="0.25">
      <c r="A439" s="3">
        <v>9.9999999999999995E-8</v>
      </c>
      <c r="B439" s="4"/>
      <c r="C439" s="146"/>
      <c r="D439" s="6" t="e">
        <f>AVERAGE(B439:C439)</f>
        <v>#DIV/0!</v>
      </c>
      <c r="E439" s="7" t="e">
        <f t="shared" ref="E439" si="42">D439/A439</f>
        <v>#DIV/0!</v>
      </c>
      <c r="F439" s="62" t="e">
        <f>LOG(E439)</f>
        <v>#DIV/0!</v>
      </c>
      <c r="I439" s="21"/>
      <c r="J439">
        <v>874.59</v>
      </c>
    </row>
    <row r="441" spans="1:11" x14ac:dyDescent="0.25">
      <c r="A441" t="s">
        <v>13</v>
      </c>
      <c r="G441" t="s">
        <v>12</v>
      </c>
      <c r="H441" s="1" t="s">
        <v>36</v>
      </c>
      <c r="I441" s="20" t="s">
        <v>8</v>
      </c>
    </row>
    <row r="442" spans="1:11" x14ac:dyDescent="0.25">
      <c r="A442">
        <v>0.2</v>
      </c>
      <c r="B442" s="146"/>
      <c r="C442" s="146"/>
      <c r="D442" s="146"/>
      <c r="E442" s="146"/>
      <c r="F442" s="146"/>
      <c r="G442" s="22">
        <f>SUM(B442:F442)</f>
        <v>0</v>
      </c>
      <c r="H442" s="23">
        <f>AVERAGE(G442:G443)</f>
        <v>0</v>
      </c>
      <c r="I442" s="24" t="e">
        <f>(H442/I438)*100</f>
        <v>#DIV/0!</v>
      </c>
    </row>
    <row r="443" spans="1:11" x14ac:dyDescent="0.25">
      <c r="A443">
        <v>0.2</v>
      </c>
      <c r="B443" s="146"/>
      <c r="C443" s="146"/>
      <c r="D443" s="146"/>
      <c r="E443" s="146"/>
      <c r="F443" s="146"/>
      <c r="G443" s="22">
        <f t="shared" ref="G443" si="43">SUM(B443:F443)</f>
        <v>0</v>
      </c>
      <c r="H443" s="20"/>
      <c r="I443" s="20"/>
    </row>
    <row r="444" spans="1:11" x14ac:dyDescent="0.25">
      <c r="A444" t="s">
        <v>93</v>
      </c>
    </row>
    <row r="447" spans="1:11" x14ac:dyDescent="0.25">
      <c r="A447" s="11">
        <v>43185</v>
      </c>
      <c r="B447" t="s">
        <v>91</v>
      </c>
    </row>
    <row r="448" spans="1:11" x14ac:dyDescent="0.25">
      <c r="A448" s="1" t="s">
        <v>0</v>
      </c>
      <c r="B448" s="153" t="s">
        <v>1</v>
      </c>
      <c r="C448" s="154"/>
      <c r="D448" s="144"/>
      <c r="E448" s="1" t="s">
        <v>2</v>
      </c>
      <c r="F448" s="1" t="s">
        <v>36</v>
      </c>
      <c r="G448" s="2" t="s">
        <v>3</v>
      </c>
    </row>
    <row r="449" spans="1:11" x14ac:dyDescent="0.25">
      <c r="A449" s="3">
        <v>9.9999999999999995E-7</v>
      </c>
      <c r="B449" s="4"/>
      <c r="C449" s="146"/>
      <c r="D449" s="6" t="e">
        <f>AVERAGE(B449:C449)</f>
        <v>#DIV/0!</v>
      </c>
      <c r="E449" s="7" t="e">
        <f>(D449/A449)/0.1</f>
        <v>#DIV/0!</v>
      </c>
      <c r="F449" s="8"/>
      <c r="G449" s="62" t="e">
        <f>LOG(E449)</f>
        <v>#DIV/0!</v>
      </c>
    </row>
    <row r="450" spans="1:11" x14ac:dyDescent="0.25">
      <c r="A450" s="3">
        <v>9.9999999999999995E-8</v>
      </c>
      <c r="B450" s="4">
        <v>62</v>
      </c>
      <c r="C450" s="146">
        <v>28</v>
      </c>
      <c r="D450" s="6">
        <f>AVERAGE(B450:C450)</f>
        <v>45</v>
      </c>
      <c r="E450" s="7">
        <f>(D450/A450)/0.1</f>
        <v>4500000000</v>
      </c>
      <c r="F450" s="8"/>
      <c r="G450" s="62">
        <f>LOG(E450)</f>
        <v>9.653212513775344</v>
      </c>
    </row>
    <row r="451" spans="1:11" x14ac:dyDescent="0.25">
      <c r="F451" t="s">
        <v>88</v>
      </c>
    </row>
    <row r="452" spans="1:11" x14ac:dyDescent="0.25">
      <c r="B452" t="s">
        <v>92</v>
      </c>
      <c r="C452" t="s">
        <v>4</v>
      </c>
      <c r="D452" t="s">
        <v>6</v>
      </c>
      <c r="E452" t="s">
        <v>7</v>
      </c>
      <c r="F452" s="54">
        <v>1</v>
      </c>
      <c r="G452" s="54">
        <v>0.5</v>
      </c>
    </row>
    <row r="453" spans="1:11" x14ac:dyDescent="0.25">
      <c r="A453" s="3">
        <v>1E-4</v>
      </c>
      <c r="B453">
        <v>1</v>
      </c>
      <c r="C453" s="19">
        <f>E450*A453*B453</f>
        <v>450000</v>
      </c>
      <c r="D453">
        <v>550</v>
      </c>
      <c r="E453" s="13">
        <f>C453/D453</f>
        <v>818.18181818181813</v>
      </c>
      <c r="F453" s="19">
        <f>E453/5</f>
        <v>163.63636363636363</v>
      </c>
      <c r="G453" s="19">
        <f>F453/2</f>
        <v>81.818181818181813</v>
      </c>
    </row>
    <row r="454" spans="1:11" x14ac:dyDescent="0.25">
      <c r="A454" s="3">
        <v>1.0000000000000001E-5</v>
      </c>
      <c r="B454">
        <v>2</v>
      </c>
      <c r="C454" s="19">
        <f>E450*A454*B454</f>
        <v>90000.000000000015</v>
      </c>
      <c r="D454">
        <v>550</v>
      </c>
      <c r="E454" s="13">
        <f>C454/D454</f>
        <v>163.63636363636365</v>
      </c>
      <c r="F454" s="19">
        <f>E454/5</f>
        <v>32.727272727272734</v>
      </c>
      <c r="G454" s="19">
        <f>F454/2</f>
        <v>16.363636363636367</v>
      </c>
    </row>
    <row r="455" spans="1:11" x14ac:dyDescent="0.25">
      <c r="A455" s="32" t="s">
        <v>138</v>
      </c>
    </row>
    <row r="457" spans="1:11" x14ac:dyDescent="0.25">
      <c r="A457" s="11">
        <v>43186</v>
      </c>
      <c r="B457" t="s">
        <v>15</v>
      </c>
    </row>
    <row r="458" spans="1:11" x14ac:dyDescent="0.25">
      <c r="A458" t="s">
        <v>173</v>
      </c>
    </row>
    <row r="459" spans="1:11" x14ac:dyDescent="0.25">
      <c r="A459" t="s">
        <v>14</v>
      </c>
    </row>
    <row r="460" spans="1:11" x14ac:dyDescent="0.25">
      <c r="A460" t="s">
        <v>39</v>
      </c>
    </row>
    <row r="461" spans="1:11" x14ac:dyDescent="0.25">
      <c r="A461" t="s">
        <v>5</v>
      </c>
      <c r="G461" t="s">
        <v>10</v>
      </c>
      <c r="H461" t="s">
        <v>16</v>
      </c>
      <c r="I461" t="s">
        <v>2</v>
      </c>
      <c r="J461" t="s">
        <v>90</v>
      </c>
      <c r="K461" t="s">
        <v>97</v>
      </c>
    </row>
    <row r="462" spans="1:11" x14ac:dyDescent="0.25">
      <c r="A462" s="1" t="s">
        <v>0</v>
      </c>
      <c r="B462" s="153" t="s">
        <v>1</v>
      </c>
      <c r="C462" s="154"/>
      <c r="D462" s="144"/>
      <c r="E462" s="1" t="s">
        <v>2</v>
      </c>
      <c r="F462" s="2" t="s">
        <v>3</v>
      </c>
      <c r="G462" s="25">
        <f>(E463*B$3)*2</f>
        <v>88000</v>
      </c>
      <c r="H462" s="20">
        <f>J463-K462</f>
        <v>540.33000000000004</v>
      </c>
      <c r="I462" s="21">
        <f>G462/H462</f>
        <v>162.86343530805249</v>
      </c>
      <c r="J462">
        <v>594.64</v>
      </c>
      <c r="K462">
        <f>J462-250</f>
        <v>344.64</v>
      </c>
    </row>
    <row r="463" spans="1:11" x14ac:dyDescent="0.25">
      <c r="A463" s="3">
        <v>9.9999999999999995E-8</v>
      </c>
      <c r="B463" s="4">
        <v>42</v>
      </c>
      <c r="C463" s="146">
        <v>46</v>
      </c>
      <c r="D463" s="6">
        <f>AVERAGE(B463:C463)</f>
        <v>44</v>
      </c>
      <c r="E463" s="7">
        <f>(D463/A463)/0.1</f>
        <v>4400000000</v>
      </c>
      <c r="F463" s="62">
        <f>LOG(E463)</f>
        <v>9.6434526764861879</v>
      </c>
      <c r="I463" s="21"/>
      <c r="J463">
        <v>884.97</v>
      </c>
    </row>
    <row r="465" spans="1:13" x14ac:dyDescent="0.25">
      <c r="A465" t="s">
        <v>13</v>
      </c>
      <c r="G465" t="s">
        <v>12</v>
      </c>
      <c r="H465" s="1" t="s">
        <v>36</v>
      </c>
      <c r="I465" s="20" t="s">
        <v>8</v>
      </c>
    </row>
    <row r="466" spans="1:13" x14ac:dyDescent="0.25">
      <c r="A466">
        <v>0.2</v>
      </c>
      <c r="B466" s="146">
        <v>12</v>
      </c>
      <c r="C466" s="146">
        <v>13</v>
      </c>
      <c r="D466" s="146">
        <v>12</v>
      </c>
      <c r="E466" s="146">
        <v>7</v>
      </c>
      <c r="F466" s="146">
        <v>4</v>
      </c>
      <c r="G466" s="22">
        <f>SUM(B466:F466)</f>
        <v>48</v>
      </c>
      <c r="H466" s="23">
        <f>AVERAGE(G466:G467)</f>
        <v>55</v>
      </c>
      <c r="I466" s="24">
        <f>(H466/I462)*100</f>
        <v>33.770624999999995</v>
      </c>
    </row>
    <row r="467" spans="1:13" x14ac:dyDescent="0.25">
      <c r="A467">
        <v>0.2</v>
      </c>
      <c r="B467" s="146">
        <v>12</v>
      </c>
      <c r="C467" s="146">
        <v>14</v>
      </c>
      <c r="D467" s="146">
        <v>12</v>
      </c>
      <c r="E467" s="146">
        <v>12</v>
      </c>
      <c r="F467" s="146">
        <v>12</v>
      </c>
      <c r="G467" s="22">
        <f t="shared" ref="G467" si="44">SUM(B467:F467)</f>
        <v>62</v>
      </c>
      <c r="H467" s="20"/>
      <c r="I467" s="20"/>
    </row>
    <row r="469" spans="1:13" x14ac:dyDescent="0.25">
      <c r="A469" t="s">
        <v>94</v>
      </c>
    </row>
    <row r="470" spans="1:13" x14ac:dyDescent="0.25">
      <c r="A470" t="s">
        <v>95</v>
      </c>
    </row>
    <row r="473" spans="1:13" x14ac:dyDescent="0.25">
      <c r="A473" s="11">
        <v>43199</v>
      </c>
      <c r="B473" t="s">
        <v>15</v>
      </c>
    </row>
    <row r="474" spans="1:13" x14ac:dyDescent="0.25">
      <c r="A474" t="s">
        <v>174</v>
      </c>
    </row>
    <row r="475" spans="1:13" x14ac:dyDescent="0.25">
      <c r="A475" t="s">
        <v>14</v>
      </c>
    </row>
    <row r="476" spans="1:13" x14ac:dyDescent="0.25">
      <c r="A476" t="s">
        <v>39</v>
      </c>
    </row>
    <row r="477" spans="1:13" x14ac:dyDescent="0.25">
      <c r="A477" t="s">
        <v>5</v>
      </c>
      <c r="G477" t="s">
        <v>10</v>
      </c>
      <c r="H477" t="s">
        <v>16</v>
      </c>
      <c r="I477" t="s">
        <v>2</v>
      </c>
      <c r="J477" t="s">
        <v>90</v>
      </c>
      <c r="K477" t="s">
        <v>97</v>
      </c>
      <c r="L477" t="s">
        <v>139</v>
      </c>
      <c r="M477" t="s">
        <v>140</v>
      </c>
    </row>
    <row r="478" spans="1:13" x14ac:dyDescent="0.25">
      <c r="A478" s="1" t="s">
        <v>0</v>
      </c>
      <c r="B478" s="153" t="s">
        <v>1</v>
      </c>
      <c r="C478" s="154"/>
      <c r="D478" s="144"/>
      <c r="E478" s="1" t="s">
        <v>2</v>
      </c>
      <c r="F478" s="2" t="s">
        <v>3</v>
      </c>
      <c r="G478" s="25">
        <f>(E479*B$3)*2</f>
        <v>46900.000000000007</v>
      </c>
      <c r="H478" s="20">
        <f>250-M478</f>
        <v>241.47000000000003</v>
      </c>
      <c r="I478" s="21">
        <f>G478/H478</f>
        <v>194.22702613161056</v>
      </c>
      <c r="J478" s="20">
        <v>601.66999999999996</v>
      </c>
      <c r="K478" s="20">
        <f>J478-250</f>
        <v>351.66999999999996</v>
      </c>
      <c r="L478" s="20">
        <v>593.14</v>
      </c>
      <c r="M478" s="20">
        <f>J478-L478</f>
        <v>8.5299999999999727</v>
      </c>
    </row>
    <row r="479" spans="1:13" x14ac:dyDescent="0.25">
      <c r="A479" s="3">
        <v>9.9999999999999995E-7</v>
      </c>
      <c r="B479" s="4">
        <v>248</v>
      </c>
      <c r="C479" s="146">
        <v>221</v>
      </c>
      <c r="D479" s="6">
        <f>AVERAGE(B479:C479)</f>
        <v>234.5</v>
      </c>
      <c r="E479" s="7">
        <f>(D479/A479)/0.1</f>
        <v>2345000000</v>
      </c>
      <c r="F479" s="62">
        <f>LOG(E479)</f>
        <v>9.3701428470511026</v>
      </c>
      <c r="H479" s="20">
        <f>250-M479</f>
        <v>261.13000000000005</v>
      </c>
      <c r="I479" s="21">
        <f>G478/H479</f>
        <v>179.60402864473633</v>
      </c>
      <c r="J479" s="20">
        <v>483.03</v>
      </c>
      <c r="K479" s="20">
        <f>J479-250</f>
        <v>233.02999999999997</v>
      </c>
      <c r="L479" s="20">
        <v>494.16</v>
      </c>
      <c r="M479" s="20">
        <f>J479-L479</f>
        <v>-11.130000000000052</v>
      </c>
    </row>
    <row r="480" spans="1:13" x14ac:dyDescent="0.25">
      <c r="H480">
        <f>SUM(H478:H479)</f>
        <v>502.60000000000008</v>
      </c>
    </row>
    <row r="481" spans="1:13" x14ac:dyDescent="0.25">
      <c r="A481" t="s">
        <v>13</v>
      </c>
      <c r="G481" t="s">
        <v>12</v>
      </c>
      <c r="H481" s="1" t="s">
        <v>36</v>
      </c>
      <c r="I481" s="20" t="s">
        <v>8</v>
      </c>
    </row>
    <row r="482" spans="1:13" x14ac:dyDescent="0.25">
      <c r="A482">
        <v>0.2</v>
      </c>
      <c r="B482" s="146">
        <v>6</v>
      </c>
      <c r="C482" s="146">
        <v>21</v>
      </c>
      <c r="D482" s="146">
        <v>12</v>
      </c>
      <c r="E482" s="146">
        <v>14</v>
      </c>
      <c r="F482" s="146">
        <v>13</v>
      </c>
      <c r="G482" s="22">
        <f>SUM(B482:F482)</f>
        <v>66</v>
      </c>
      <c r="H482" s="23">
        <f>AVERAGE(G482:G483)</f>
        <v>59.5</v>
      </c>
      <c r="I482" s="24">
        <f>(H482/I478)*100</f>
        <v>30.634253731343282</v>
      </c>
    </row>
    <row r="483" spans="1:13" x14ac:dyDescent="0.25">
      <c r="A483">
        <v>0.2</v>
      </c>
      <c r="B483" s="146">
        <v>12</v>
      </c>
      <c r="C483" s="146">
        <v>8</v>
      </c>
      <c r="D483" s="146">
        <v>10</v>
      </c>
      <c r="E483" s="146">
        <v>12</v>
      </c>
      <c r="F483" s="146">
        <v>11</v>
      </c>
      <c r="G483" s="22">
        <f t="shared" ref="G483" si="45">SUM(B483:F483)</f>
        <v>53</v>
      </c>
      <c r="H483" s="20"/>
      <c r="I483" s="20"/>
      <c r="J483" t="s">
        <v>137</v>
      </c>
    </row>
    <row r="484" spans="1:13" x14ac:dyDescent="0.25">
      <c r="J484" s="12">
        <f>I482+I486</f>
        <v>44.275373134328355</v>
      </c>
    </row>
    <row r="485" spans="1:13" x14ac:dyDescent="0.25">
      <c r="A485" t="s">
        <v>19</v>
      </c>
      <c r="G485" t="s">
        <v>12</v>
      </c>
      <c r="H485" s="1" t="s">
        <v>36</v>
      </c>
      <c r="I485" s="20" t="s">
        <v>8</v>
      </c>
    </row>
    <row r="486" spans="1:13" x14ac:dyDescent="0.25">
      <c r="A486">
        <v>0.2</v>
      </c>
      <c r="B486" s="146">
        <v>4</v>
      </c>
      <c r="C486" s="146">
        <v>10</v>
      </c>
      <c r="D486" s="146">
        <v>3</v>
      </c>
      <c r="E486" s="146">
        <v>7</v>
      </c>
      <c r="F486" s="146">
        <v>2</v>
      </c>
      <c r="G486" s="22">
        <f>SUM(B486:F486)</f>
        <v>26</v>
      </c>
      <c r="H486" s="23">
        <f>AVERAGE(G486:G487)</f>
        <v>24.5</v>
      </c>
      <c r="I486" s="24">
        <f>(H486/I479)*100</f>
        <v>13.641119402985074</v>
      </c>
    </row>
    <row r="487" spans="1:13" x14ac:dyDescent="0.25">
      <c r="A487">
        <v>0.2</v>
      </c>
      <c r="B487" s="146">
        <v>4</v>
      </c>
      <c r="C487" s="146">
        <v>6</v>
      </c>
      <c r="D487" s="146">
        <v>5</v>
      </c>
      <c r="E487" s="146">
        <v>2</v>
      </c>
      <c r="F487" s="146">
        <v>6</v>
      </c>
      <c r="G487" s="22">
        <f t="shared" ref="G487" si="46">SUM(B487:F487)</f>
        <v>23</v>
      </c>
      <c r="H487" s="20"/>
      <c r="I487" s="20"/>
    </row>
    <row r="489" spans="1:13" x14ac:dyDescent="0.25">
      <c r="A489" t="s">
        <v>94</v>
      </c>
    </row>
    <row r="490" spans="1:13" x14ac:dyDescent="0.25">
      <c r="A490" t="s">
        <v>141</v>
      </c>
    </row>
    <row r="492" spans="1:13" x14ac:dyDescent="0.25">
      <c r="A492" s="11">
        <v>43200</v>
      </c>
      <c r="B492" t="s">
        <v>15</v>
      </c>
    </row>
    <row r="493" spans="1:13" x14ac:dyDescent="0.25">
      <c r="A493" t="s">
        <v>174</v>
      </c>
    </row>
    <row r="494" spans="1:13" x14ac:dyDescent="0.25">
      <c r="A494" t="s">
        <v>14</v>
      </c>
    </row>
    <row r="495" spans="1:13" x14ac:dyDescent="0.25">
      <c r="A495" t="s">
        <v>39</v>
      </c>
    </row>
    <row r="496" spans="1:13" x14ac:dyDescent="0.25">
      <c r="A496" t="s">
        <v>5</v>
      </c>
      <c r="G496" t="s">
        <v>10</v>
      </c>
      <c r="H496" t="s">
        <v>16</v>
      </c>
      <c r="I496" t="s">
        <v>2</v>
      </c>
      <c r="J496" t="s">
        <v>90</v>
      </c>
      <c r="K496" t="s">
        <v>97</v>
      </c>
      <c r="L496" t="s">
        <v>139</v>
      </c>
      <c r="M496" t="s">
        <v>140</v>
      </c>
    </row>
    <row r="497" spans="1:13" x14ac:dyDescent="0.25">
      <c r="A497" s="1" t="s">
        <v>0</v>
      </c>
      <c r="B497" s="153" t="s">
        <v>1</v>
      </c>
      <c r="C497" s="154"/>
      <c r="D497" s="144"/>
      <c r="E497" s="1" t="s">
        <v>2</v>
      </c>
      <c r="F497" s="2" t="s">
        <v>3</v>
      </c>
      <c r="G497" s="25">
        <f>(E498*B$3)*2</f>
        <v>35000</v>
      </c>
      <c r="H497" s="20">
        <f>250-M497</f>
        <v>249.64</v>
      </c>
      <c r="I497" s="21">
        <f>G497/H497</f>
        <v>140.2018907226406</v>
      </c>
      <c r="J497" s="20">
        <v>599.38</v>
      </c>
      <c r="K497" s="20">
        <f>J497-250</f>
        <v>349.38</v>
      </c>
      <c r="L497" s="20">
        <v>599.74</v>
      </c>
      <c r="M497" s="20">
        <f>L497-J497</f>
        <v>0.36000000000001364</v>
      </c>
    </row>
    <row r="498" spans="1:13" x14ac:dyDescent="0.25">
      <c r="A498" s="3">
        <v>9.9999999999999995E-7</v>
      </c>
      <c r="B498" s="4">
        <v>160</v>
      </c>
      <c r="C498" s="146">
        <v>190</v>
      </c>
      <c r="D498" s="6">
        <f>AVERAGE(B498:C498)</f>
        <v>175</v>
      </c>
      <c r="E498" s="7">
        <f>(D498/A498)/0.1</f>
        <v>1750000000</v>
      </c>
      <c r="F498" s="62">
        <f>LOG(E498)</f>
        <v>9.2430380486862944</v>
      </c>
      <c r="H498" s="20">
        <f>250+M498</f>
        <v>248.68</v>
      </c>
      <c r="I498" s="21">
        <f>G497/H498</f>
        <v>140.74312369309956</v>
      </c>
      <c r="J498" s="20">
        <v>486.09</v>
      </c>
      <c r="K498" s="20">
        <f>J498-250</f>
        <v>236.08999999999997</v>
      </c>
      <c r="L498" s="20">
        <v>484.77</v>
      </c>
      <c r="M498" s="20">
        <f>L498-J498</f>
        <v>-1.3199999999999932</v>
      </c>
    </row>
    <row r="499" spans="1:13" x14ac:dyDescent="0.25">
      <c r="A499" s="3">
        <v>9.9999999999999995E-8</v>
      </c>
      <c r="B499" s="4">
        <v>17</v>
      </c>
      <c r="C499" s="146">
        <v>21</v>
      </c>
      <c r="D499" s="6">
        <f>AVERAGE(B499:C499)</f>
        <v>19</v>
      </c>
      <c r="E499" s="7">
        <f>(D499/A499)/0.1</f>
        <v>1900000000</v>
      </c>
      <c r="F499" s="62">
        <f>LOG(E499)</f>
        <v>9.2787536009528289</v>
      </c>
      <c r="H499">
        <f>SUM(H497:H498)</f>
        <v>498.32</v>
      </c>
    </row>
    <row r="500" spans="1:13" x14ac:dyDescent="0.25">
      <c r="A500" s="14"/>
      <c r="B500" s="15"/>
      <c r="C500" s="15"/>
      <c r="D500" s="16" t="s">
        <v>103</v>
      </c>
      <c r="E500" s="44">
        <f>AVERAGE(E498:E499)</f>
        <v>1825000000</v>
      </c>
      <c r="F500" s="62">
        <f>AVERAGE(F498:F499)</f>
        <v>9.2608958248195616</v>
      </c>
    </row>
    <row r="501" spans="1:13" x14ac:dyDescent="0.25">
      <c r="A501" t="s">
        <v>13</v>
      </c>
      <c r="G501" t="s">
        <v>12</v>
      </c>
      <c r="H501" s="1" t="s">
        <v>36</v>
      </c>
      <c r="I501" s="20" t="s">
        <v>8</v>
      </c>
    </row>
    <row r="502" spans="1:13" x14ac:dyDescent="0.25">
      <c r="A502">
        <v>0.2</v>
      </c>
      <c r="B502" s="146">
        <v>5</v>
      </c>
      <c r="C502" s="146">
        <v>7</v>
      </c>
      <c r="D502" s="146">
        <v>14</v>
      </c>
      <c r="E502" s="146">
        <v>8</v>
      </c>
      <c r="F502" s="146">
        <v>16</v>
      </c>
      <c r="G502" s="22">
        <f>SUM(B502:F502)</f>
        <v>50</v>
      </c>
      <c r="H502" s="23">
        <f>AVERAGE(G502:G503)</f>
        <v>44.5</v>
      </c>
      <c r="I502" s="24">
        <f>(H502/I497)*100</f>
        <v>31.739942857142857</v>
      </c>
    </row>
    <row r="503" spans="1:13" x14ac:dyDescent="0.25">
      <c r="A503">
        <v>0.2</v>
      </c>
      <c r="B503" s="146">
        <v>3</v>
      </c>
      <c r="C503" s="146">
        <v>8</v>
      </c>
      <c r="D503" s="146">
        <v>8</v>
      </c>
      <c r="E503" s="146">
        <v>9</v>
      </c>
      <c r="F503" s="146">
        <v>11</v>
      </c>
      <c r="G503" s="22">
        <f t="shared" ref="G503" si="47">SUM(B503:F503)</f>
        <v>39</v>
      </c>
      <c r="H503" s="20"/>
      <c r="I503" s="20"/>
      <c r="J503" t="s">
        <v>137</v>
      </c>
    </row>
    <row r="504" spans="1:13" x14ac:dyDescent="0.25">
      <c r="J504" s="12">
        <f>I502+I506</f>
        <v>40.621371428571429</v>
      </c>
    </row>
    <row r="505" spans="1:13" x14ac:dyDescent="0.25">
      <c r="A505" t="s">
        <v>19</v>
      </c>
      <c r="G505" t="s">
        <v>12</v>
      </c>
      <c r="H505" s="1" t="s">
        <v>36</v>
      </c>
      <c r="I505" s="20" t="s">
        <v>8</v>
      </c>
    </row>
    <row r="506" spans="1:13" x14ac:dyDescent="0.25">
      <c r="A506">
        <v>0.2</v>
      </c>
      <c r="B506" s="146">
        <v>2</v>
      </c>
      <c r="C506" s="146">
        <v>4</v>
      </c>
      <c r="D506" s="146">
        <v>2</v>
      </c>
      <c r="E506" s="146">
        <v>6</v>
      </c>
      <c r="F506" s="146">
        <v>1</v>
      </c>
      <c r="G506" s="22">
        <f>SUM(B506:F506)</f>
        <v>15</v>
      </c>
      <c r="H506" s="23">
        <f>AVERAGE(G506:G507)</f>
        <v>12.5</v>
      </c>
      <c r="I506" s="24">
        <f>(H506/I498)*100</f>
        <v>8.8814285714285717</v>
      </c>
    </row>
    <row r="507" spans="1:13" x14ac:dyDescent="0.25">
      <c r="A507">
        <v>0.2</v>
      </c>
      <c r="B507" s="146">
        <v>0</v>
      </c>
      <c r="C507" s="146">
        <v>2</v>
      </c>
      <c r="D507" s="146">
        <v>2</v>
      </c>
      <c r="E507" s="146">
        <v>5</v>
      </c>
      <c r="F507" s="146">
        <v>1</v>
      </c>
      <c r="G507" s="22">
        <f t="shared" ref="G507" si="48">SUM(B507:F507)</f>
        <v>10</v>
      </c>
      <c r="H507" s="20"/>
      <c r="I507" s="20"/>
    </row>
    <row r="509" spans="1:13" x14ac:dyDescent="0.25">
      <c r="A509" t="s">
        <v>94</v>
      </c>
    </row>
    <row r="510" spans="1:13" x14ac:dyDescent="0.25">
      <c r="A510" t="s">
        <v>142</v>
      </c>
    </row>
    <row r="513" spans="1:11" x14ac:dyDescent="0.25">
      <c r="A513" s="11">
        <v>43206</v>
      </c>
      <c r="B513" t="s">
        <v>15</v>
      </c>
    </row>
    <row r="514" spans="1:11" x14ac:dyDescent="0.25">
      <c r="A514" t="s">
        <v>173</v>
      </c>
    </row>
    <row r="515" spans="1:11" x14ac:dyDescent="0.25">
      <c r="A515" t="s">
        <v>14</v>
      </c>
    </row>
    <row r="516" spans="1:11" x14ac:dyDescent="0.25">
      <c r="A516" t="s">
        <v>39</v>
      </c>
    </row>
    <row r="517" spans="1:11" x14ac:dyDescent="0.25">
      <c r="A517" t="s">
        <v>5</v>
      </c>
      <c r="G517" t="s">
        <v>10</v>
      </c>
      <c r="H517" t="s">
        <v>16</v>
      </c>
      <c r="I517" t="s">
        <v>2</v>
      </c>
      <c r="J517" t="s">
        <v>90</v>
      </c>
      <c r="K517" t="s">
        <v>97</v>
      </c>
    </row>
    <row r="518" spans="1:11" x14ac:dyDescent="0.25">
      <c r="A518" s="1" t="s">
        <v>0</v>
      </c>
      <c r="B518" s="153" t="s">
        <v>1</v>
      </c>
      <c r="C518" s="154"/>
      <c r="D518" s="144"/>
      <c r="E518" s="1" t="s">
        <v>2</v>
      </c>
      <c r="F518" s="2" t="s">
        <v>3</v>
      </c>
      <c r="G518" s="25">
        <f>(E519*B$3)*2</f>
        <v>24700.000000000004</v>
      </c>
      <c r="H518" s="20">
        <f>J519-K518</f>
        <v>513.73</v>
      </c>
      <c r="I518" s="21">
        <f>G518/H518</f>
        <v>48.079730597784831</v>
      </c>
      <c r="J518">
        <v>605.82000000000005</v>
      </c>
      <c r="K518">
        <v>358.78</v>
      </c>
    </row>
    <row r="519" spans="1:11" x14ac:dyDescent="0.25">
      <c r="A519" s="3">
        <v>9.9999999999999995E-7</v>
      </c>
      <c r="B519" s="4">
        <v>128</v>
      </c>
      <c r="C519" s="146">
        <v>119</v>
      </c>
      <c r="D519" s="6">
        <f>AVERAGE(B519:C519)</f>
        <v>123.5</v>
      </c>
      <c r="E519" s="7">
        <f>(D519/A519)/0.1</f>
        <v>1235000000</v>
      </c>
      <c r="F519" s="62">
        <f>LOG(E519)</f>
        <v>9.0916669575956846</v>
      </c>
      <c r="I519" s="21"/>
      <c r="J519">
        <v>872.51</v>
      </c>
    </row>
    <row r="520" spans="1:11" x14ac:dyDescent="0.25">
      <c r="A520" s="3">
        <v>9.9999999999999995E-7</v>
      </c>
      <c r="B520" s="4">
        <v>179</v>
      </c>
      <c r="C520" s="146">
        <v>141</v>
      </c>
      <c r="D520" s="6">
        <f>AVERAGE(B520:C520)</f>
        <v>160</v>
      </c>
      <c r="E520" s="7">
        <f>(D520/A520)/0.1</f>
        <v>1600000000</v>
      </c>
      <c r="F520" s="62">
        <f>LOG(E520)</f>
        <v>9.204119982655925</v>
      </c>
      <c r="G520" s="25">
        <f>(E520*B$3)*2</f>
        <v>32000.000000000004</v>
      </c>
      <c r="H520" s="20">
        <v>513.73</v>
      </c>
      <c r="I520" s="21">
        <f>G520/H520</f>
        <v>62.289529519397355</v>
      </c>
    </row>
    <row r="522" spans="1:11" x14ac:dyDescent="0.25">
      <c r="A522" t="s">
        <v>13</v>
      </c>
      <c r="G522" t="s">
        <v>12</v>
      </c>
      <c r="H522" s="1" t="s">
        <v>36</v>
      </c>
      <c r="I522" s="20" t="s">
        <v>8</v>
      </c>
    </row>
    <row r="523" spans="1:11" x14ac:dyDescent="0.25">
      <c r="A523">
        <v>0.2</v>
      </c>
      <c r="B523" s="146">
        <v>6</v>
      </c>
      <c r="C523" s="146">
        <v>6</v>
      </c>
      <c r="D523" s="146">
        <v>8</v>
      </c>
      <c r="E523" s="146">
        <v>9</v>
      </c>
      <c r="F523" s="146">
        <v>5</v>
      </c>
      <c r="G523" s="22">
        <f>SUM(B523:F523)</f>
        <v>34</v>
      </c>
      <c r="H523" s="23">
        <f>AVERAGE(G523:G524)</f>
        <v>30.5</v>
      </c>
      <c r="I523" s="24">
        <f>(H523/I518)*100</f>
        <v>63.436295546558696</v>
      </c>
    </row>
    <row r="524" spans="1:11" x14ac:dyDescent="0.25">
      <c r="A524">
        <v>0.2</v>
      </c>
      <c r="B524" s="146">
        <v>2</v>
      </c>
      <c r="C524" s="146">
        <v>3</v>
      </c>
      <c r="D524" s="146">
        <v>7</v>
      </c>
      <c r="E524" s="146">
        <v>7</v>
      </c>
      <c r="F524" s="146">
        <v>8</v>
      </c>
      <c r="G524" s="22">
        <f t="shared" ref="G524" si="49">SUM(B524:F524)</f>
        <v>27</v>
      </c>
      <c r="H524" s="20"/>
      <c r="I524" s="20"/>
    </row>
    <row r="526" spans="1:11" x14ac:dyDescent="0.25">
      <c r="A526" t="s">
        <v>94</v>
      </c>
    </row>
    <row r="527" spans="1:11" x14ac:dyDescent="0.25">
      <c r="A527" t="s">
        <v>143</v>
      </c>
    </row>
    <row r="528" spans="1:11" x14ac:dyDescent="0.25">
      <c r="A528" t="s">
        <v>144</v>
      </c>
    </row>
    <row r="529" spans="1:11" x14ac:dyDescent="0.25">
      <c r="A529" t="s">
        <v>145</v>
      </c>
      <c r="G529" t="s">
        <v>12</v>
      </c>
      <c r="H529" s="1" t="s">
        <v>36</v>
      </c>
      <c r="I529" s="20" t="s">
        <v>8</v>
      </c>
    </row>
    <row r="530" spans="1:11" x14ac:dyDescent="0.25">
      <c r="A530">
        <v>0.2</v>
      </c>
      <c r="B530" s="146">
        <v>8</v>
      </c>
      <c r="C530" s="146">
        <v>6</v>
      </c>
      <c r="D530" s="146">
        <v>10</v>
      </c>
      <c r="E530" s="146">
        <v>10</v>
      </c>
      <c r="F530" s="146">
        <v>7</v>
      </c>
      <c r="G530" s="22">
        <f>SUM(B530:F530)</f>
        <v>41</v>
      </c>
      <c r="H530" s="23">
        <f>AVERAGE(G530:G531)</f>
        <v>38.5</v>
      </c>
      <c r="I530" s="24">
        <f>(H530/I523)*100</f>
        <v>60.690807475892328</v>
      </c>
    </row>
    <row r="531" spans="1:11" x14ac:dyDescent="0.25">
      <c r="A531">
        <v>0.2</v>
      </c>
      <c r="B531" s="146">
        <v>3</v>
      </c>
      <c r="C531" s="146">
        <v>5</v>
      </c>
      <c r="D531" s="146">
        <v>8</v>
      </c>
      <c r="E531" s="146">
        <v>8</v>
      </c>
      <c r="F531" s="146">
        <v>12</v>
      </c>
      <c r="G531" s="22">
        <f t="shared" ref="G531" si="50">SUM(B531:F531)</f>
        <v>36</v>
      </c>
      <c r="H531" s="20"/>
      <c r="I531" s="20"/>
    </row>
    <row r="534" spans="1:11" x14ac:dyDescent="0.25">
      <c r="A534" s="11">
        <v>43213</v>
      </c>
      <c r="B534" t="s">
        <v>15</v>
      </c>
    </row>
    <row r="535" spans="1:11" x14ac:dyDescent="0.25">
      <c r="A535" t="s">
        <v>173</v>
      </c>
    </row>
    <row r="536" spans="1:11" x14ac:dyDescent="0.25">
      <c r="A536" t="s">
        <v>14</v>
      </c>
    </row>
    <row r="537" spans="1:11" x14ac:dyDescent="0.25">
      <c r="A537" t="s">
        <v>146</v>
      </c>
    </row>
    <row r="538" spans="1:11" x14ac:dyDescent="0.25">
      <c r="A538" t="s">
        <v>5</v>
      </c>
    </row>
    <row r="539" spans="1:11" x14ac:dyDescent="0.25">
      <c r="A539" s="1" t="s">
        <v>0</v>
      </c>
      <c r="B539" s="153" t="s">
        <v>1</v>
      </c>
      <c r="C539" s="154"/>
      <c r="D539" s="144"/>
      <c r="E539" s="1" t="s">
        <v>2</v>
      </c>
      <c r="F539" s="2" t="s">
        <v>3</v>
      </c>
      <c r="G539" t="s">
        <v>10</v>
      </c>
      <c r="H539" t="s">
        <v>16</v>
      </c>
      <c r="I539" t="s">
        <v>2</v>
      </c>
      <c r="J539" t="s">
        <v>90</v>
      </c>
      <c r="K539" t="s">
        <v>97</v>
      </c>
    </row>
    <row r="540" spans="1:11" x14ac:dyDescent="0.25">
      <c r="A540" s="3">
        <v>9.9999999999999995E-7</v>
      </c>
      <c r="B540" s="4">
        <v>178</v>
      </c>
      <c r="C540" s="146">
        <v>168</v>
      </c>
      <c r="D540" s="6">
        <f>AVERAGE(B540:C540)</f>
        <v>173</v>
      </c>
      <c r="E540" s="7">
        <f>(D540/A540)/0.1</f>
        <v>1730000000</v>
      </c>
      <c r="F540" s="62">
        <f>LOG(E540)</f>
        <v>9.238046103128795</v>
      </c>
      <c r="G540" s="25">
        <f>(E542*B$3)*2</f>
        <v>40800</v>
      </c>
      <c r="H540" s="20">
        <f>J541-K540</f>
        <v>530.3900000000001</v>
      </c>
      <c r="I540" s="21">
        <f>G540/H540</f>
        <v>76.924527234676361</v>
      </c>
      <c r="K540">
        <v>354.58</v>
      </c>
    </row>
    <row r="541" spans="1:11" x14ac:dyDescent="0.25">
      <c r="A541" s="3">
        <v>9.9999999999999995E-8</v>
      </c>
      <c r="B541" s="4">
        <v>32</v>
      </c>
      <c r="C541" s="146">
        <v>15</v>
      </c>
      <c r="D541" s="6">
        <f>AVERAGE(B541:C541)</f>
        <v>23.5</v>
      </c>
      <c r="E541" s="7">
        <f>(D541/A541)/0.1</f>
        <v>2350000000</v>
      </c>
      <c r="F541" s="62">
        <f>LOG(E541)</f>
        <v>9.3710678622717367</v>
      </c>
      <c r="I541" s="21"/>
      <c r="J541">
        <v>884.97</v>
      </c>
    </row>
    <row r="542" spans="1:11" x14ac:dyDescent="0.25">
      <c r="D542" t="s">
        <v>17</v>
      </c>
      <c r="E542" s="10">
        <f>AVERAGE(E540:E541)</f>
        <v>2040000000</v>
      </c>
      <c r="F542" s="62">
        <f>LOG(E542)</f>
        <v>9.3096301674258992</v>
      </c>
    </row>
    <row r="543" spans="1:11" x14ac:dyDescent="0.25">
      <c r="A543" t="s">
        <v>13</v>
      </c>
      <c r="G543" t="s">
        <v>12</v>
      </c>
      <c r="H543" s="1" t="s">
        <v>36</v>
      </c>
      <c r="I543" s="20" t="s">
        <v>8</v>
      </c>
    </row>
    <row r="544" spans="1:11" x14ac:dyDescent="0.25">
      <c r="A544">
        <v>0.2</v>
      </c>
      <c r="B544" s="146">
        <v>9</v>
      </c>
      <c r="C544" s="146">
        <v>6</v>
      </c>
      <c r="D544" s="146">
        <v>4</v>
      </c>
      <c r="E544" s="146">
        <v>3</v>
      </c>
      <c r="F544" s="146">
        <v>9</v>
      </c>
      <c r="G544" s="22">
        <f>SUM(B544:F544)</f>
        <v>31</v>
      </c>
      <c r="H544" s="23">
        <f>AVERAGE(G544:G545)</f>
        <v>29</v>
      </c>
      <c r="I544" s="24">
        <f>(H544/I540)*100</f>
        <v>37.699289215686278</v>
      </c>
    </row>
    <row r="545" spans="1:11" x14ac:dyDescent="0.25">
      <c r="A545">
        <v>0.2</v>
      </c>
      <c r="B545" s="146">
        <v>1</v>
      </c>
      <c r="C545" s="146">
        <v>5</v>
      </c>
      <c r="D545" s="146">
        <v>7</v>
      </c>
      <c r="E545" s="146">
        <v>8</v>
      </c>
      <c r="F545" s="146">
        <v>6</v>
      </c>
      <c r="G545" s="22">
        <f t="shared" ref="G545" si="51">SUM(B545:F545)</f>
        <v>27</v>
      </c>
      <c r="H545" s="20"/>
      <c r="I545" s="20"/>
    </row>
    <row r="547" spans="1:11" x14ac:dyDescent="0.25">
      <c r="A547" t="s">
        <v>94</v>
      </c>
    </row>
    <row r="548" spans="1:11" x14ac:dyDescent="0.25">
      <c r="A548" t="s">
        <v>147</v>
      </c>
    </row>
    <row r="551" spans="1:11" x14ac:dyDescent="0.25">
      <c r="A551" s="11">
        <v>43216</v>
      </c>
      <c r="B551" t="s">
        <v>15</v>
      </c>
    </row>
    <row r="552" spans="1:11" x14ac:dyDescent="0.25">
      <c r="A552" t="s">
        <v>173</v>
      </c>
    </row>
    <row r="553" spans="1:11" x14ac:dyDescent="0.25">
      <c r="A553" t="s">
        <v>14</v>
      </c>
    </row>
    <row r="554" spans="1:11" x14ac:dyDescent="0.25">
      <c r="A554" t="s">
        <v>146</v>
      </c>
    </row>
    <row r="555" spans="1:11" x14ac:dyDescent="0.25">
      <c r="A555" t="s">
        <v>5</v>
      </c>
    </row>
    <row r="556" spans="1:11" x14ac:dyDescent="0.25">
      <c r="A556" s="1" t="s">
        <v>0</v>
      </c>
      <c r="B556" s="153" t="s">
        <v>1</v>
      </c>
      <c r="C556" s="154"/>
      <c r="D556" s="144"/>
      <c r="E556" s="1" t="s">
        <v>2</v>
      </c>
      <c r="F556" s="2" t="s">
        <v>3</v>
      </c>
      <c r="G556" t="s">
        <v>10</v>
      </c>
      <c r="H556" t="s">
        <v>16</v>
      </c>
      <c r="I556" t="s">
        <v>2</v>
      </c>
      <c r="J556" t="s">
        <v>90</v>
      </c>
      <c r="K556" t="s">
        <v>97</v>
      </c>
    </row>
    <row r="557" spans="1:11" x14ac:dyDescent="0.25">
      <c r="A557" s="3">
        <v>9.9999999999999995E-7</v>
      </c>
      <c r="B557" s="4">
        <v>222</v>
      </c>
      <c r="C557" s="146">
        <v>208</v>
      </c>
      <c r="D557" s="6">
        <f>AVERAGE(B557:C557)</f>
        <v>215</v>
      </c>
      <c r="E557" s="7">
        <f>(D557/A557)/0.1</f>
        <v>2150000000</v>
      </c>
      <c r="F557" s="62">
        <f>LOG(E557)</f>
        <v>9.3324384599156058</v>
      </c>
      <c r="G557" s="25">
        <f>(E557*B$3)*2</f>
        <v>43000</v>
      </c>
      <c r="H557" s="20">
        <f>J558-K557</f>
        <v>518.59999999999991</v>
      </c>
      <c r="I557" s="21">
        <f>G557/H557</f>
        <v>82.91554184342462</v>
      </c>
      <c r="K557">
        <v>349.92</v>
      </c>
    </row>
    <row r="558" spans="1:11" x14ac:dyDescent="0.25">
      <c r="A558" s="3">
        <v>9.9999999999999995E-8</v>
      </c>
      <c r="B558" s="4">
        <v>16</v>
      </c>
      <c r="C558" s="146">
        <v>15</v>
      </c>
      <c r="D558" s="6">
        <f>AVERAGE(B558:C558)</f>
        <v>15.5</v>
      </c>
      <c r="E558" s="7">
        <f>(D558/A558)/0.1</f>
        <v>1550000000</v>
      </c>
      <c r="F558" s="62">
        <f>LOG(E558)</f>
        <v>9.1903316981702918</v>
      </c>
      <c r="I558" s="21"/>
      <c r="J558">
        <v>868.52</v>
      </c>
    </row>
    <row r="559" spans="1:11" x14ac:dyDescent="0.25">
      <c r="D559" t="s">
        <v>17</v>
      </c>
      <c r="E559" s="10">
        <f>AVERAGE(E557:E558)</f>
        <v>1850000000</v>
      </c>
      <c r="F559" s="62">
        <f>LOG(E559)</f>
        <v>9.2671717284030137</v>
      </c>
    </row>
    <row r="560" spans="1:11" x14ac:dyDescent="0.25">
      <c r="A560" t="s">
        <v>13</v>
      </c>
      <c r="G560" t="s">
        <v>12</v>
      </c>
      <c r="H560" s="1" t="s">
        <v>36</v>
      </c>
      <c r="I560" s="20" t="s">
        <v>8</v>
      </c>
    </row>
    <row r="561" spans="1:9" x14ac:dyDescent="0.25">
      <c r="A561">
        <v>0.2</v>
      </c>
      <c r="B561" s="146">
        <v>7</v>
      </c>
      <c r="C561" s="146">
        <v>6</v>
      </c>
      <c r="D561" s="146">
        <v>9</v>
      </c>
      <c r="E561" s="146">
        <v>3</v>
      </c>
      <c r="F561" s="146">
        <v>7</v>
      </c>
      <c r="G561" s="22">
        <f>SUM(B561:F561)</f>
        <v>32</v>
      </c>
      <c r="H561" s="23">
        <f>AVERAGE(G561:G562)</f>
        <v>36</v>
      </c>
      <c r="I561" s="24">
        <f>(H561/I557)*100</f>
        <v>43.417674418604641</v>
      </c>
    </row>
    <row r="562" spans="1:9" x14ac:dyDescent="0.25">
      <c r="A562">
        <v>0.2</v>
      </c>
      <c r="B562" s="146">
        <v>5</v>
      </c>
      <c r="C562" s="146">
        <v>5</v>
      </c>
      <c r="D562" s="146">
        <v>14</v>
      </c>
      <c r="E562" s="146">
        <v>8</v>
      </c>
      <c r="F562" s="146">
        <v>8</v>
      </c>
      <c r="G562" s="22">
        <f t="shared" ref="G562" si="52">SUM(B562:F562)</f>
        <v>40</v>
      </c>
      <c r="H562" s="20"/>
      <c r="I562" s="20"/>
    </row>
    <row r="565" spans="1:9" x14ac:dyDescent="0.25">
      <c r="A565" s="11">
        <v>43221</v>
      </c>
      <c r="B565" t="s">
        <v>148</v>
      </c>
    </row>
    <row r="566" spans="1:9" x14ac:dyDescent="0.25">
      <c r="A566" t="s">
        <v>175</v>
      </c>
    </row>
    <row r="567" spans="1:9" x14ac:dyDescent="0.25">
      <c r="A567" t="s">
        <v>14</v>
      </c>
    </row>
    <row r="568" spans="1:9" x14ac:dyDescent="0.25">
      <c r="A568" t="s">
        <v>146</v>
      </c>
    </row>
    <row r="570" spans="1:9" x14ac:dyDescent="0.25">
      <c r="A570" t="s">
        <v>16</v>
      </c>
      <c r="B570" t="s">
        <v>2</v>
      </c>
      <c r="C570" t="s">
        <v>90</v>
      </c>
      <c r="D570" t="s">
        <v>97</v>
      </c>
    </row>
    <row r="571" spans="1:9" x14ac:dyDescent="0.25">
      <c r="A571" s="20">
        <f>C572-D571</f>
        <v>518.59999999999991</v>
      </c>
      <c r="B571" s="21">
        <v>0</v>
      </c>
      <c r="D571">
        <v>349.92</v>
      </c>
    </row>
    <row r="572" spans="1:9" x14ac:dyDescent="0.25">
      <c r="B572" s="21"/>
      <c r="C572">
        <v>868.52</v>
      </c>
    </row>
    <row r="574" spans="1:9" x14ac:dyDescent="0.25">
      <c r="A574" t="s">
        <v>149</v>
      </c>
      <c r="G574" t="s">
        <v>12</v>
      </c>
      <c r="H574" s="1" t="s">
        <v>36</v>
      </c>
      <c r="I574" s="20"/>
    </row>
    <row r="575" spans="1:9" x14ac:dyDescent="0.25">
      <c r="A575">
        <v>0.2</v>
      </c>
      <c r="B575" s="146">
        <v>0</v>
      </c>
      <c r="C575" s="146">
        <v>0</v>
      </c>
      <c r="D575" s="146">
        <v>0</v>
      </c>
      <c r="E575" s="146">
        <v>0</v>
      </c>
      <c r="F575" s="146">
        <v>0</v>
      </c>
      <c r="G575" s="22">
        <f>SUM(B575:F575)</f>
        <v>0</v>
      </c>
      <c r="H575" s="23">
        <f>AVERAGE(G575:G576)</f>
        <v>0</v>
      </c>
      <c r="I575" s="24"/>
    </row>
    <row r="576" spans="1:9" x14ac:dyDescent="0.25">
      <c r="A576">
        <v>0.2</v>
      </c>
      <c r="B576" s="146">
        <v>0</v>
      </c>
      <c r="C576" s="146">
        <v>0</v>
      </c>
      <c r="D576" s="146">
        <v>0</v>
      </c>
      <c r="E576" s="146">
        <v>0</v>
      </c>
      <c r="F576" s="146">
        <v>0</v>
      </c>
      <c r="G576" s="22">
        <f t="shared" ref="G576" si="53">SUM(B576:F576)</f>
        <v>0</v>
      </c>
      <c r="H576" s="20"/>
      <c r="I576" s="20"/>
    </row>
    <row r="579" spans="1:6" x14ac:dyDescent="0.25">
      <c r="A579" s="11">
        <v>43251</v>
      </c>
      <c r="B579" t="s">
        <v>150</v>
      </c>
    </row>
    <row r="580" spans="1:6" x14ac:dyDescent="0.25">
      <c r="A580" t="s">
        <v>14</v>
      </c>
    </row>
    <row r="581" spans="1:6" x14ac:dyDescent="0.25">
      <c r="A581" t="s">
        <v>146</v>
      </c>
    </row>
    <row r="583" spans="1:6" x14ac:dyDescent="0.25">
      <c r="A583" t="s">
        <v>16</v>
      </c>
      <c r="B583" t="s">
        <v>2</v>
      </c>
      <c r="C583" t="s">
        <v>90</v>
      </c>
      <c r="D583" t="s">
        <v>97</v>
      </c>
    </row>
    <row r="584" spans="1:6" x14ac:dyDescent="0.25">
      <c r="A584" s="20">
        <f>C585-D584</f>
        <v>455.48</v>
      </c>
      <c r="B584" s="21">
        <v>0</v>
      </c>
      <c r="C584">
        <v>642.41</v>
      </c>
      <c r="D584">
        <f>C584-250</f>
        <v>392.40999999999997</v>
      </c>
    </row>
    <row r="585" spans="1:6" x14ac:dyDescent="0.25">
      <c r="B585" s="21"/>
      <c r="C585">
        <v>847.89</v>
      </c>
    </row>
    <row r="587" spans="1:6" x14ac:dyDescent="0.25">
      <c r="A587" s="1" t="s">
        <v>0</v>
      </c>
      <c r="B587" s="153" t="s">
        <v>1</v>
      </c>
      <c r="C587" s="154"/>
      <c r="D587" s="144"/>
      <c r="E587" s="1" t="s">
        <v>2</v>
      </c>
      <c r="F587" s="2" t="s">
        <v>3</v>
      </c>
    </row>
    <row r="588" spans="1:6" x14ac:dyDescent="0.25">
      <c r="A588" s="3" t="s">
        <v>151</v>
      </c>
      <c r="B588" s="4">
        <v>156</v>
      </c>
      <c r="C588" s="146">
        <v>115</v>
      </c>
      <c r="D588" s="6">
        <f>AVERAGE(B588:C588)</f>
        <v>135.5</v>
      </c>
      <c r="E588" s="7">
        <f>D588/0.1</f>
        <v>1355</v>
      </c>
      <c r="F588" s="62">
        <f>LOG(E588)</f>
        <v>3.1319392952104246</v>
      </c>
    </row>
    <row r="589" spans="1:6" x14ac:dyDescent="0.25">
      <c r="A589" s="3">
        <v>0.1</v>
      </c>
      <c r="B589" s="4">
        <v>15</v>
      </c>
      <c r="C589" s="146">
        <v>10</v>
      </c>
      <c r="D589" s="6">
        <f>AVERAGE(B589:C589)</f>
        <v>12.5</v>
      </c>
      <c r="E589" s="7">
        <f>(D589/A589)/0.1</f>
        <v>1250</v>
      </c>
      <c r="F589" s="62">
        <f>LOG(E589)</f>
        <v>3.0969100130080562</v>
      </c>
    </row>
    <row r="590" spans="1:6" x14ac:dyDescent="0.25">
      <c r="D590" t="s">
        <v>17</v>
      </c>
      <c r="E590" s="10">
        <f>AVERAGE(E588:E589)</f>
        <v>1302.5</v>
      </c>
      <c r="F590" s="62">
        <f>LOG(E590)</f>
        <v>3.1147777319715622</v>
      </c>
    </row>
    <row r="593" spans="1:10" x14ac:dyDescent="0.25">
      <c r="A593" s="11">
        <v>43339</v>
      </c>
      <c r="B593" t="s">
        <v>152</v>
      </c>
    </row>
    <row r="594" spans="1:10" x14ac:dyDescent="0.25">
      <c r="A594" t="s">
        <v>176</v>
      </c>
    </row>
    <row r="595" spans="1:10" x14ac:dyDescent="0.25">
      <c r="A595" t="s">
        <v>20</v>
      </c>
    </row>
    <row r="596" spans="1:10" x14ac:dyDescent="0.25">
      <c r="A596" t="s">
        <v>64</v>
      </c>
    </row>
    <row r="597" spans="1:10" x14ac:dyDescent="0.25">
      <c r="A597" t="s">
        <v>153</v>
      </c>
      <c r="B597" t="s">
        <v>16</v>
      </c>
      <c r="C597" t="s">
        <v>2</v>
      </c>
      <c r="D597" s="26" t="s">
        <v>18</v>
      </c>
    </row>
    <row r="598" spans="1:10" x14ac:dyDescent="0.25">
      <c r="A598" s="25"/>
      <c r="B598" s="20">
        <f>E600</f>
        <v>536.77</v>
      </c>
      <c r="C598" s="21">
        <f>A598/B598</f>
        <v>0</v>
      </c>
      <c r="D598" s="20">
        <v>271.69</v>
      </c>
      <c r="E598" s="20"/>
      <c r="F598" s="147"/>
    </row>
    <row r="599" spans="1:10" x14ac:dyDescent="0.25">
      <c r="C599" s="21"/>
      <c r="D599" s="20">
        <v>465.62</v>
      </c>
      <c r="E599" s="145">
        <f>D599-D598</f>
        <v>193.93</v>
      </c>
      <c r="F599" s="148" t="s">
        <v>154</v>
      </c>
      <c r="G599" s="38"/>
    </row>
    <row r="600" spans="1:10" x14ac:dyDescent="0.25">
      <c r="D600" s="20">
        <v>808.46</v>
      </c>
      <c r="E600" s="20">
        <f>D600-D598</f>
        <v>536.77</v>
      </c>
      <c r="F600" t="s">
        <v>155</v>
      </c>
    </row>
    <row r="601" spans="1:10" x14ac:dyDescent="0.25">
      <c r="D601" s="20"/>
      <c r="E601" s="20">
        <f>E600-E599</f>
        <v>342.84</v>
      </c>
      <c r="F601" t="s">
        <v>156</v>
      </c>
    </row>
    <row r="602" spans="1:10" x14ac:dyDescent="0.25">
      <c r="D602" s="20"/>
      <c r="E602" s="20">
        <f>E601-250</f>
        <v>92.839999999999975</v>
      </c>
      <c r="F602" t="s">
        <v>157</v>
      </c>
    </row>
    <row r="603" spans="1:10" x14ac:dyDescent="0.25">
      <c r="A603" t="s">
        <v>158</v>
      </c>
      <c r="G603" t="s">
        <v>12</v>
      </c>
      <c r="H603" s="1" t="s">
        <v>36</v>
      </c>
      <c r="I603" s="20"/>
      <c r="J603" s="20"/>
    </row>
    <row r="604" spans="1:10" x14ac:dyDescent="0.25">
      <c r="A604">
        <v>0.2</v>
      </c>
      <c r="B604" s="146">
        <v>0</v>
      </c>
      <c r="C604" s="146">
        <v>0</v>
      </c>
      <c r="D604" s="146">
        <v>0</v>
      </c>
      <c r="E604" s="146">
        <v>0</v>
      </c>
      <c r="F604" s="146">
        <v>0</v>
      </c>
      <c r="G604" s="22">
        <f>SUM(B604:F604)</f>
        <v>0</v>
      </c>
      <c r="H604" s="23">
        <f>AVERAGE(G604:G605)</f>
        <v>0</v>
      </c>
      <c r="I604" s="24"/>
    </row>
    <row r="605" spans="1:10" x14ac:dyDescent="0.25">
      <c r="A605">
        <v>0.2</v>
      </c>
      <c r="B605" s="146">
        <v>0</v>
      </c>
      <c r="C605" s="146">
        <v>0</v>
      </c>
      <c r="D605" s="146">
        <v>0</v>
      </c>
      <c r="E605" s="146">
        <v>0</v>
      </c>
      <c r="F605" s="146">
        <v>0</v>
      </c>
      <c r="G605" s="22">
        <f t="shared" ref="G605" si="54">SUM(B605:F605)</f>
        <v>0</v>
      </c>
      <c r="H605" s="20"/>
      <c r="I605" s="20"/>
    </row>
    <row r="606" spans="1:10" x14ac:dyDescent="0.25">
      <c r="J606" s="24"/>
    </row>
    <row r="607" spans="1:10" x14ac:dyDescent="0.25">
      <c r="A607" t="s">
        <v>159</v>
      </c>
      <c r="B607" t="s">
        <v>16</v>
      </c>
      <c r="C607" t="s">
        <v>2</v>
      </c>
      <c r="D607" s="26" t="s">
        <v>18</v>
      </c>
    </row>
    <row r="608" spans="1:10" x14ac:dyDescent="0.25">
      <c r="A608" s="25"/>
      <c r="B608" s="20">
        <f>E610</f>
        <v>541.8599999999999</v>
      </c>
      <c r="C608" s="21">
        <f>A608/B608</f>
        <v>0</v>
      </c>
      <c r="D608" s="20">
        <v>333.3</v>
      </c>
      <c r="E608" s="20"/>
      <c r="F608" s="147"/>
    </row>
    <row r="609" spans="1:9" x14ac:dyDescent="0.25">
      <c r="C609" s="21"/>
      <c r="D609" s="20">
        <v>515.51</v>
      </c>
      <c r="E609" s="145">
        <f>D609-D608</f>
        <v>182.20999999999998</v>
      </c>
      <c r="F609" s="148" t="s">
        <v>154</v>
      </c>
      <c r="G609" s="38"/>
    </row>
    <row r="610" spans="1:9" x14ac:dyDescent="0.25">
      <c r="D610" s="20">
        <v>875.16</v>
      </c>
      <c r="E610" s="20">
        <f>D610-D608</f>
        <v>541.8599999999999</v>
      </c>
      <c r="F610" t="s">
        <v>155</v>
      </c>
    </row>
    <row r="611" spans="1:9" x14ac:dyDescent="0.25">
      <c r="D611" s="20"/>
      <c r="E611" s="20">
        <f>E610-E609</f>
        <v>359.64999999999992</v>
      </c>
      <c r="F611" t="s">
        <v>156</v>
      </c>
    </row>
    <row r="612" spans="1:9" x14ac:dyDescent="0.25">
      <c r="D612" s="20"/>
      <c r="E612" s="20">
        <f>E611-250</f>
        <v>109.64999999999992</v>
      </c>
      <c r="F612" t="s">
        <v>157</v>
      </c>
    </row>
    <row r="613" spans="1:9" x14ac:dyDescent="0.25">
      <c r="A613" t="s">
        <v>158</v>
      </c>
      <c r="G613" t="s">
        <v>12</v>
      </c>
      <c r="H613" s="1" t="s">
        <v>36</v>
      </c>
      <c r="I613" s="20"/>
    </row>
    <row r="614" spans="1:9" x14ac:dyDescent="0.25">
      <c r="A614">
        <v>0.2</v>
      </c>
      <c r="B614" s="146">
        <v>0</v>
      </c>
      <c r="C614" s="146">
        <v>0</v>
      </c>
      <c r="D614" s="146">
        <v>0</v>
      </c>
      <c r="E614" s="146">
        <v>0</v>
      </c>
      <c r="F614" s="146">
        <v>0</v>
      </c>
      <c r="G614" s="22">
        <f>SUM(B614:F614)</f>
        <v>0</v>
      </c>
      <c r="H614" s="23">
        <f>AVERAGE(G614:G615)</f>
        <v>0</v>
      </c>
      <c r="I614" s="24"/>
    </row>
    <row r="615" spans="1:9" x14ac:dyDescent="0.25">
      <c r="A615">
        <v>0.2</v>
      </c>
      <c r="B615" s="146">
        <v>0</v>
      </c>
      <c r="C615" s="146">
        <v>0</v>
      </c>
      <c r="D615" s="146">
        <v>0</v>
      </c>
      <c r="E615" s="146">
        <v>0</v>
      </c>
      <c r="F615" s="146">
        <v>0</v>
      </c>
      <c r="G615" s="22">
        <f t="shared" ref="G615" si="55">SUM(B615:F615)</f>
        <v>0</v>
      </c>
      <c r="H615" s="20"/>
      <c r="I615" s="20"/>
    </row>
  </sheetData>
  <mergeCells count="34">
    <mergeCell ref="B12:C12"/>
    <mergeCell ref="B214:C214"/>
    <mergeCell ref="B29:C29"/>
    <mergeCell ref="B46:C46"/>
    <mergeCell ref="B63:C63"/>
    <mergeCell ref="B80:C80"/>
    <mergeCell ref="B97:C97"/>
    <mergeCell ref="B114:C114"/>
    <mergeCell ref="B131:C131"/>
    <mergeCell ref="B147:C147"/>
    <mergeCell ref="B164:C164"/>
    <mergeCell ref="B181:C181"/>
    <mergeCell ref="B197:C197"/>
    <mergeCell ref="B401:C401"/>
    <mergeCell ref="B230:C230"/>
    <mergeCell ref="B248:C248"/>
    <mergeCell ref="B264:C264"/>
    <mergeCell ref="B276:C276"/>
    <mergeCell ref="B288:C288"/>
    <mergeCell ref="B302:C302"/>
    <mergeCell ref="B316:C316"/>
    <mergeCell ref="B331:C331"/>
    <mergeCell ref="B351:C351"/>
    <mergeCell ref="B371:C371"/>
    <mergeCell ref="B386:C386"/>
    <mergeCell ref="B539:C539"/>
    <mergeCell ref="B556:C556"/>
    <mergeCell ref="B587:C587"/>
    <mergeCell ref="B438:C438"/>
    <mergeCell ref="B448:C448"/>
    <mergeCell ref="B462:C462"/>
    <mergeCell ref="B478:C478"/>
    <mergeCell ref="B497:C497"/>
    <mergeCell ref="B518:C5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9"/>
  <sheetViews>
    <sheetView topLeftCell="D11" workbookViewId="0">
      <selection activeCell="R19" sqref="R19:U27"/>
    </sheetView>
  </sheetViews>
  <sheetFormatPr defaultRowHeight="15" x14ac:dyDescent="0.25"/>
  <cols>
    <col min="1" max="1" width="31.5703125" customWidth="1"/>
    <col min="2" max="2" width="6" customWidth="1"/>
    <col min="3" max="3" width="6.5703125" customWidth="1"/>
    <col min="4" max="4" width="6" customWidth="1"/>
    <col min="5" max="5" width="6.140625" customWidth="1"/>
    <col min="6" max="6" width="6.28515625" customWidth="1"/>
    <col min="7" max="7" width="3.85546875" customWidth="1"/>
    <col min="8" max="9" width="9.5703125" customWidth="1"/>
    <col min="10" max="10" width="9.7109375" customWidth="1"/>
    <col min="11" max="11" width="9.5703125" customWidth="1"/>
    <col min="12" max="12" width="11.28515625" customWidth="1"/>
    <col min="15" max="15" width="13.140625" customWidth="1"/>
    <col min="18" max="18" width="10.5703125" customWidth="1"/>
    <col min="19" max="20" width="13.5703125" customWidth="1"/>
    <col min="21" max="21" width="14.140625" customWidth="1"/>
    <col min="22" max="22" width="15.140625" customWidth="1"/>
  </cols>
  <sheetData>
    <row r="1" spans="1:12" x14ac:dyDescent="0.25">
      <c r="H1" t="s">
        <v>49</v>
      </c>
    </row>
    <row r="2" spans="1:12" x14ac:dyDescent="0.25">
      <c r="A2" s="29" t="s">
        <v>23</v>
      </c>
      <c r="H2" s="155" t="s">
        <v>46</v>
      </c>
      <c r="I2" s="156"/>
      <c r="J2" s="156"/>
      <c r="K2" s="156"/>
      <c r="L2" s="157"/>
    </row>
    <row r="3" spans="1:12" x14ac:dyDescent="0.25">
      <c r="A3" t="s">
        <v>89</v>
      </c>
      <c r="B3" s="29" t="s">
        <v>31</v>
      </c>
      <c r="H3" s="33"/>
      <c r="I3" s="34"/>
      <c r="J3" s="39" t="s">
        <v>37</v>
      </c>
      <c r="K3" s="37"/>
      <c r="L3" s="38"/>
    </row>
    <row r="4" spans="1:12" x14ac:dyDescent="0.25">
      <c r="A4" s="30" t="s">
        <v>41</v>
      </c>
      <c r="B4" s="29"/>
      <c r="H4" s="26" t="s">
        <v>38</v>
      </c>
      <c r="I4" s="5">
        <v>0</v>
      </c>
      <c r="J4" s="5">
        <v>50</v>
      </c>
      <c r="K4" s="5">
        <v>100</v>
      </c>
      <c r="L4" s="5">
        <v>150</v>
      </c>
    </row>
    <row r="5" spans="1:12" x14ac:dyDescent="0.25">
      <c r="A5" t="s">
        <v>24</v>
      </c>
      <c r="B5">
        <v>46.51</v>
      </c>
      <c r="C5">
        <v>43.46</v>
      </c>
      <c r="H5" s="26" t="s">
        <v>33</v>
      </c>
      <c r="I5" s="5">
        <v>32.03</v>
      </c>
      <c r="J5" s="5">
        <v>27.31</v>
      </c>
      <c r="K5" s="5">
        <v>42.49</v>
      </c>
      <c r="L5" s="5">
        <v>34.36</v>
      </c>
    </row>
    <row r="6" spans="1:12" x14ac:dyDescent="0.25">
      <c r="A6" t="s">
        <v>25</v>
      </c>
      <c r="B6">
        <v>43.95</v>
      </c>
      <c r="C6">
        <v>39.42</v>
      </c>
      <c r="D6">
        <v>45.56</v>
      </c>
      <c r="E6">
        <v>34.36</v>
      </c>
      <c r="H6" s="26" t="s">
        <v>34</v>
      </c>
      <c r="I6" s="5">
        <v>18.88</v>
      </c>
      <c r="J6" s="5">
        <v>30.47</v>
      </c>
      <c r="K6" s="5">
        <v>35.380000000000003</v>
      </c>
      <c r="L6" s="5">
        <v>39.42</v>
      </c>
    </row>
    <row r="7" spans="1:12" x14ac:dyDescent="0.25">
      <c r="A7" t="s">
        <v>26</v>
      </c>
      <c r="C7">
        <v>11.91</v>
      </c>
      <c r="D7">
        <v>12.07</v>
      </c>
      <c r="E7">
        <v>14.91</v>
      </c>
      <c r="H7" s="26" t="s">
        <v>35</v>
      </c>
      <c r="I7" s="5">
        <v>27.24</v>
      </c>
      <c r="J7" s="28">
        <v>31.8</v>
      </c>
      <c r="K7" s="5">
        <v>37.61</v>
      </c>
      <c r="L7" s="5">
        <v>45.56</v>
      </c>
    </row>
    <row r="8" spans="1:12" x14ac:dyDescent="0.25">
      <c r="H8" s="35" t="s">
        <v>36</v>
      </c>
      <c r="I8" s="36">
        <f>AVERAGE(I5:I7)</f>
        <v>26.049999999999997</v>
      </c>
      <c r="J8" s="36">
        <f>AVERAGE(J5:J7)</f>
        <v>29.86</v>
      </c>
      <c r="K8" s="36">
        <f>AVERAGE(K5:K7)</f>
        <v>38.493333333333332</v>
      </c>
      <c r="L8" s="36">
        <f>AVERAGE(L5:L7)</f>
        <v>39.78</v>
      </c>
    </row>
    <row r="9" spans="1:12" x14ac:dyDescent="0.25">
      <c r="A9" s="55" t="s">
        <v>27</v>
      </c>
      <c r="B9" s="56">
        <v>31.09</v>
      </c>
      <c r="C9" s="56">
        <v>28.57</v>
      </c>
      <c r="D9" s="56"/>
      <c r="E9" s="57"/>
    </row>
    <row r="10" spans="1:12" x14ac:dyDescent="0.25">
      <c r="A10" s="58" t="s">
        <v>28</v>
      </c>
      <c r="B10" s="40">
        <v>35.729999999999997</v>
      </c>
      <c r="C10" s="40">
        <v>36.049999999999997</v>
      </c>
      <c r="D10" s="40"/>
      <c r="E10" s="59"/>
      <c r="H10" t="s">
        <v>45</v>
      </c>
    </row>
    <row r="11" spans="1:12" x14ac:dyDescent="0.25">
      <c r="A11" s="33" t="s">
        <v>40</v>
      </c>
      <c r="B11" s="34"/>
      <c r="C11" s="34">
        <v>10.49</v>
      </c>
      <c r="D11" s="34"/>
      <c r="E11" s="60"/>
      <c r="H11" s="26" t="s">
        <v>38</v>
      </c>
      <c r="I11" s="5">
        <v>0</v>
      </c>
      <c r="J11" s="5">
        <v>50</v>
      </c>
      <c r="K11" s="5">
        <v>100</v>
      </c>
      <c r="L11" s="5">
        <v>150</v>
      </c>
    </row>
    <row r="12" spans="1:12" x14ac:dyDescent="0.25">
      <c r="H12" s="26" t="s">
        <v>33</v>
      </c>
      <c r="I12" s="5">
        <v>7.75</v>
      </c>
      <c r="J12" s="5">
        <v>10.81</v>
      </c>
      <c r="K12" s="28">
        <v>9</v>
      </c>
      <c r="L12" s="5">
        <v>14.91</v>
      </c>
    </row>
    <row r="13" spans="1:12" x14ac:dyDescent="0.25">
      <c r="A13" s="30" t="s">
        <v>42</v>
      </c>
      <c r="H13" s="26" t="s">
        <v>34</v>
      </c>
      <c r="I13" s="5">
        <v>13.24</v>
      </c>
      <c r="J13" s="5">
        <v>10.47</v>
      </c>
      <c r="K13" s="5">
        <v>8.7100000000000009</v>
      </c>
      <c r="L13" s="5">
        <v>11.91</v>
      </c>
    </row>
    <row r="14" spans="1:12" x14ac:dyDescent="0.25">
      <c r="A14" t="s">
        <v>25</v>
      </c>
      <c r="B14">
        <v>42.49</v>
      </c>
      <c r="C14">
        <v>35.380000000000003</v>
      </c>
      <c r="D14">
        <v>37.61</v>
      </c>
      <c r="H14" s="26" t="s">
        <v>35</v>
      </c>
      <c r="I14" s="5">
        <v>5.85</v>
      </c>
      <c r="J14" s="5">
        <v>5.63</v>
      </c>
      <c r="K14" s="5">
        <v>4.9000000000000004</v>
      </c>
      <c r="L14" s="5">
        <v>12.07</v>
      </c>
    </row>
    <row r="15" spans="1:12" x14ac:dyDescent="0.25">
      <c r="A15" t="s">
        <v>26</v>
      </c>
      <c r="B15" s="12">
        <v>9</v>
      </c>
      <c r="C15">
        <v>8.7100000000000009</v>
      </c>
      <c r="D15">
        <v>4.9000000000000004</v>
      </c>
      <c r="H15" s="35" t="s">
        <v>36</v>
      </c>
      <c r="I15" s="36">
        <f>AVERAGE(I12:I14)</f>
        <v>8.9466666666666672</v>
      </c>
      <c r="J15" s="36">
        <f>AVERAGE(J12:J14)</f>
        <v>8.9700000000000006</v>
      </c>
      <c r="K15" s="36">
        <f>AVERAGE(K12:K14)</f>
        <v>7.5366666666666662</v>
      </c>
      <c r="L15" s="36">
        <f>AVERAGE(L12:L14)</f>
        <v>12.963333333333333</v>
      </c>
    </row>
    <row r="16" spans="1:12" x14ac:dyDescent="0.25">
      <c r="A16" s="30"/>
    </row>
    <row r="17" spans="1:21" x14ac:dyDescent="0.25">
      <c r="A17" s="30" t="s">
        <v>43</v>
      </c>
      <c r="H17" t="s">
        <v>47</v>
      </c>
    </row>
    <row r="18" spans="1:21" x14ac:dyDescent="0.25">
      <c r="A18" t="s">
        <v>25</v>
      </c>
      <c r="B18">
        <v>27.31</v>
      </c>
      <c r="C18">
        <v>30.47</v>
      </c>
      <c r="D18" s="32">
        <v>42.34</v>
      </c>
      <c r="E18">
        <v>31.8</v>
      </c>
      <c r="H18" s="158" t="s">
        <v>46</v>
      </c>
      <c r="I18" s="159"/>
      <c r="J18" s="159"/>
      <c r="K18" s="159"/>
      <c r="L18" s="160"/>
    </row>
    <row r="19" spans="1:21" x14ac:dyDescent="0.25">
      <c r="A19" t="s">
        <v>26</v>
      </c>
      <c r="B19">
        <v>10.81</v>
      </c>
      <c r="C19">
        <v>10.47</v>
      </c>
      <c r="D19" s="32">
        <v>8.93</v>
      </c>
      <c r="E19">
        <v>5.63</v>
      </c>
      <c r="H19" s="26"/>
      <c r="I19" s="161" t="s">
        <v>37</v>
      </c>
      <c r="J19" s="161"/>
      <c r="K19" s="161"/>
      <c r="L19" s="161"/>
      <c r="R19" t="s">
        <v>117</v>
      </c>
    </row>
    <row r="20" spans="1:21" ht="15.75" customHeight="1" x14ac:dyDescent="0.25">
      <c r="H20" s="42" t="s">
        <v>38</v>
      </c>
      <c r="I20" s="45">
        <v>0</v>
      </c>
      <c r="J20" s="45">
        <v>50</v>
      </c>
      <c r="K20" s="45">
        <v>100</v>
      </c>
      <c r="L20" s="45">
        <v>150</v>
      </c>
      <c r="O20" s="67" t="s">
        <v>100</v>
      </c>
      <c r="P20" s="68" t="s">
        <v>101</v>
      </c>
      <c r="R20" s="78"/>
      <c r="S20" s="78" t="s">
        <v>118</v>
      </c>
      <c r="T20" s="78" t="s">
        <v>110</v>
      </c>
      <c r="U20" s="78" t="s">
        <v>111</v>
      </c>
    </row>
    <row r="21" spans="1:21" ht="15.75" customHeight="1" x14ac:dyDescent="0.25">
      <c r="H21" s="50" t="s">
        <v>33</v>
      </c>
      <c r="I21" s="65">
        <f t="shared" ref="I21:L23" si="0">I5+I12</f>
        <v>39.78</v>
      </c>
      <c r="J21" s="65">
        <f t="shared" si="0"/>
        <v>38.119999999999997</v>
      </c>
      <c r="K21" s="65">
        <f t="shared" si="0"/>
        <v>51.49</v>
      </c>
      <c r="L21" s="65">
        <f t="shared" si="0"/>
        <v>49.269999999999996</v>
      </c>
      <c r="O21" s="67"/>
      <c r="P21" s="68"/>
      <c r="R21" s="79" t="s">
        <v>107</v>
      </c>
      <c r="S21" s="45" t="s">
        <v>109</v>
      </c>
      <c r="T21" s="45" t="s">
        <v>109</v>
      </c>
      <c r="U21" s="45" t="s">
        <v>109</v>
      </c>
    </row>
    <row r="22" spans="1:21" ht="15.75" customHeight="1" x14ac:dyDescent="0.25">
      <c r="H22" s="50" t="s">
        <v>34</v>
      </c>
      <c r="I22" s="65">
        <f t="shared" si="0"/>
        <v>32.119999999999997</v>
      </c>
      <c r="J22" s="65">
        <f t="shared" si="0"/>
        <v>40.94</v>
      </c>
      <c r="K22" s="65">
        <f t="shared" si="0"/>
        <v>44.09</v>
      </c>
      <c r="L22" s="65">
        <f t="shared" si="0"/>
        <v>51.33</v>
      </c>
      <c r="O22" s="67"/>
      <c r="P22" s="68"/>
      <c r="R22" s="45"/>
      <c r="S22" s="63" t="s">
        <v>101</v>
      </c>
      <c r="T22" s="63" t="s">
        <v>101</v>
      </c>
      <c r="U22" s="63" t="s">
        <v>101</v>
      </c>
    </row>
    <row r="23" spans="1:21" x14ac:dyDescent="0.25">
      <c r="F23" s="12"/>
      <c r="G23" s="12"/>
      <c r="H23" s="50" t="s">
        <v>35</v>
      </c>
      <c r="I23" s="65">
        <f t="shared" si="0"/>
        <v>33.089999999999996</v>
      </c>
      <c r="J23" s="65">
        <f t="shared" si="0"/>
        <v>37.43</v>
      </c>
      <c r="K23" s="65">
        <f t="shared" si="0"/>
        <v>42.51</v>
      </c>
      <c r="L23" s="65">
        <f t="shared" si="0"/>
        <v>57.63</v>
      </c>
      <c r="O23" s="69" t="s">
        <v>106</v>
      </c>
      <c r="P23" s="70">
        <v>57.5</v>
      </c>
      <c r="R23" s="63">
        <v>1</v>
      </c>
      <c r="S23" s="63">
        <f>36.05+10.49</f>
        <v>46.54</v>
      </c>
      <c r="T23" s="63">
        <v>49.3</v>
      </c>
      <c r="U23" s="65">
        <v>57.5</v>
      </c>
    </row>
    <row r="24" spans="1:21" x14ac:dyDescent="0.25">
      <c r="A24" s="29" t="s">
        <v>29</v>
      </c>
      <c r="E24" s="12"/>
      <c r="H24" s="35" t="s">
        <v>36</v>
      </c>
      <c r="I24" s="66">
        <f>AVERAGE(I21:I23)</f>
        <v>34.99666666666667</v>
      </c>
      <c r="J24" s="66">
        <f>AVERAGE(J21:J23)</f>
        <v>38.830000000000005</v>
      </c>
      <c r="K24" s="66">
        <f>AVERAGE(K21:K23)</f>
        <v>46.03</v>
      </c>
      <c r="L24" s="66">
        <f>AVERAGE(L21:L23)</f>
        <v>52.743333333333332</v>
      </c>
      <c r="O24" s="69">
        <v>2</v>
      </c>
      <c r="P24" s="70">
        <v>40.24</v>
      </c>
      <c r="R24" s="63">
        <v>2</v>
      </c>
      <c r="S24" s="63">
        <v>45.1</v>
      </c>
      <c r="T24" s="63">
        <v>51.3</v>
      </c>
      <c r="U24" s="65">
        <v>40.24</v>
      </c>
    </row>
    <row r="25" spans="1:21" ht="15.75" thickBot="1" x14ac:dyDescent="0.3">
      <c r="A25" t="s">
        <v>30</v>
      </c>
      <c r="B25">
        <v>0</v>
      </c>
      <c r="C25">
        <v>0</v>
      </c>
      <c r="H25" s="35" t="s">
        <v>48</v>
      </c>
      <c r="I25" s="36">
        <f>STDEV(I21:I23)</f>
        <v>4.1707832997331993</v>
      </c>
      <c r="J25" s="36">
        <f t="shared" ref="J25:K25" si="1">STDEV(J21:J23)</f>
        <v>1.8595967304767982</v>
      </c>
      <c r="K25" s="36">
        <f t="shared" si="1"/>
        <v>4.7940379639715003</v>
      </c>
      <c r="L25" s="36">
        <f>STDEV(L21:L23)</f>
        <v>4.3555175735305394</v>
      </c>
      <c r="O25" s="69">
        <v>3</v>
      </c>
      <c r="P25" s="70">
        <v>36.83</v>
      </c>
      <c r="R25" s="81">
        <v>3</v>
      </c>
      <c r="S25" s="81">
        <v>53.2</v>
      </c>
      <c r="T25" s="81">
        <v>57.6</v>
      </c>
      <c r="U25" s="82">
        <v>36.83</v>
      </c>
    </row>
    <row r="26" spans="1:21" x14ac:dyDescent="0.25">
      <c r="A26" t="s">
        <v>32</v>
      </c>
      <c r="B26">
        <v>29.49</v>
      </c>
      <c r="C26">
        <v>24.92</v>
      </c>
      <c r="D26">
        <v>27.24</v>
      </c>
      <c r="E26">
        <v>32.03</v>
      </c>
      <c r="F26">
        <v>18.88</v>
      </c>
      <c r="O26" s="69" t="s">
        <v>103</v>
      </c>
      <c r="P26" s="73">
        <f>AVERAGE(P23:P25)</f>
        <v>44.856666666666662</v>
      </c>
      <c r="R26" s="45" t="s">
        <v>103</v>
      </c>
      <c r="S26" s="80">
        <f>AVERAGE(S23:S25)</f>
        <v>48.28</v>
      </c>
      <c r="T26" s="80">
        <f>AVERAGE(T23:T25)</f>
        <v>52.733333333333327</v>
      </c>
      <c r="U26" s="80">
        <f>AVERAGE(U23:U25)</f>
        <v>44.856666666666662</v>
      </c>
    </row>
    <row r="27" spans="1:21" x14ac:dyDescent="0.25">
      <c r="A27" t="s">
        <v>26</v>
      </c>
      <c r="D27">
        <v>5.85</v>
      </c>
      <c r="E27">
        <v>7.75</v>
      </c>
      <c r="F27">
        <v>13.24</v>
      </c>
      <c r="O27" s="71" t="s">
        <v>102</v>
      </c>
      <c r="P27" s="74">
        <f>STDEV(P23:P25)</f>
        <v>11.08140033268962</v>
      </c>
      <c r="R27" s="63" t="s">
        <v>108</v>
      </c>
      <c r="S27" s="76">
        <f>STDEV(S23:S25)</f>
        <v>4.3212498192074023</v>
      </c>
      <c r="T27" s="76">
        <f>STDEV(T23:T25)</f>
        <v>4.3316663460305156</v>
      </c>
      <c r="U27" s="75">
        <f>STDEV(U23:U25)</f>
        <v>11.08140033268962</v>
      </c>
    </row>
    <row r="29" spans="1:21" x14ac:dyDescent="0.25">
      <c r="N29" t="s">
        <v>104</v>
      </c>
    </row>
    <row r="31" spans="1:21" x14ac:dyDescent="0.25">
      <c r="A31" t="s">
        <v>73</v>
      </c>
      <c r="O31">
        <f>36.06+10.49</f>
        <v>46.550000000000004</v>
      </c>
    </row>
    <row r="32" spans="1:21" x14ac:dyDescent="0.25">
      <c r="A32" s="30" t="s">
        <v>41</v>
      </c>
      <c r="B32" s="39" t="s">
        <v>87</v>
      </c>
      <c r="C32" s="37"/>
      <c r="D32" s="37"/>
      <c r="E32" s="37"/>
      <c r="F32" s="37"/>
      <c r="G32" s="37"/>
      <c r="H32" s="52"/>
      <c r="I32" s="38"/>
    </row>
    <row r="33" spans="1:21" x14ac:dyDescent="0.25">
      <c r="A33" t="s">
        <v>74</v>
      </c>
      <c r="B33" s="53">
        <v>57.5</v>
      </c>
      <c r="C33" s="26">
        <v>40.24</v>
      </c>
      <c r="D33" s="26">
        <v>36.83</v>
      </c>
      <c r="E33" s="26"/>
    </row>
    <row r="34" spans="1:21" x14ac:dyDescent="0.25">
      <c r="B34" s="61" t="s">
        <v>75</v>
      </c>
      <c r="C34" s="36">
        <f>AVERAGE(B33:D33)</f>
        <v>44.856666666666662</v>
      </c>
      <c r="D34" s="61" t="s">
        <v>48</v>
      </c>
      <c r="E34" s="36">
        <f>STDEV(B33:D33)</f>
        <v>11.08140033268962</v>
      </c>
      <c r="Q34" s="72" t="s">
        <v>105</v>
      </c>
    </row>
    <row r="35" spans="1:21" x14ac:dyDescent="0.25">
      <c r="B35" s="16"/>
      <c r="C35" s="17"/>
      <c r="D35" s="16"/>
      <c r="E35" s="17"/>
      <c r="F35" s="18"/>
      <c r="U35" s="77"/>
    </row>
    <row r="36" spans="1:21" x14ac:dyDescent="0.25">
      <c r="A36" t="s">
        <v>89</v>
      </c>
    </row>
    <row r="37" spans="1:21" x14ac:dyDescent="0.25">
      <c r="A37" s="30" t="s">
        <v>98</v>
      </c>
      <c r="B37" s="29" t="s">
        <v>31</v>
      </c>
    </row>
    <row r="38" spans="1:21" x14ac:dyDescent="0.25">
      <c r="A38" s="58" t="s">
        <v>28</v>
      </c>
      <c r="B38">
        <v>33.770000000000003</v>
      </c>
    </row>
    <row r="39" spans="1:21" x14ac:dyDescent="0.25">
      <c r="A39" s="64" t="s">
        <v>99</v>
      </c>
    </row>
  </sheetData>
  <mergeCells count="3">
    <mergeCell ref="H2:L2"/>
    <mergeCell ref="H18:L18"/>
    <mergeCell ref="I19:L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2</vt:lpstr>
      <vt:lpstr>Table 3</vt:lpstr>
      <vt:lpstr>Table 4</vt:lpstr>
      <vt:lpstr>Table 5</vt:lpstr>
      <vt:lpstr>Raw 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BMORRIS</dc:creator>
  <cp:lastModifiedBy>Gallardo, Vincent</cp:lastModifiedBy>
  <cp:lastPrinted>2018-09-14T17:58:52Z</cp:lastPrinted>
  <dcterms:created xsi:type="dcterms:W3CDTF">2016-08-01T19:06:11Z</dcterms:created>
  <dcterms:modified xsi:type="dcterms:W3CDTF">2019-04-29T16:53:33Z</dcterms:modified>
</cp:coreProperties>
</file>