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3.xml" ContentType="application/vnd.openxmlformats-officedocument.drawing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11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charts/colors1.xml" ContentType="application/vnd.ms-office.chartcolorstyle+xml"/>
  <Override PartName="/xl/worksheets/sheet10.xml" ContentType="application/vnd.openxmlformats-officedocument.spreadsheetml.worksheet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filterPrivacy="1" codeName="ThisWorkbook"/>
  <xr:revisionPtr revIDLastSave="0" documentId="13_ncr:1_{C3A7CF8D-CB83-4A5E-A864-9BDF8C31E790}" xr6:coauthVersionLast="36" xr6:coauthVersionMax="36" xr10:uidLastSave="{00000000-0000-0000-0000-000000000000}"/>
  <bookViews>
    <workbookView xWindow="0" yWindow="0" windowWidth="22260" windowHeight="12645" xr2:uid="{00000000-000D-0000-FFFF-FFFF00000000}"/>
  </bookViews>
  <sheets>
    <sheet name="Cover" sheetId="10" r:id="rId1"/>
    <sheet name="TOC" sheetId="22" r:id="rId2"/>
    <sheet name="GPS-X Model" sheetId="8" r:id="rId3"/>
    <sheet name="LCI" sheetId="21" r:id="rId4"/>
    <sheet name="LCC" sheetId="20" r:id="rId5"/>
    <sheet name="Equalization" sheetId="16" r:id="rId6"/>
    <sheet name="Fine Screen" sheetId="19" r:id="rId7"/>
    <sheet name="AeMBR" sheetId="2" r:id="rId8"/>
    <sheet name="UV" sheetId="13" r:id="rId9"/>
    <sheet name="Chlorine" sheetId="15" r:id="rId10"/>
    <sheet name="Sources" sheetId="7" r:id="rId11"/>
    <sheet name="Conversion Factors" sheetId="6" state="hidden" r:id="rId12"/>
    <sheet name="Cl OLD" sheetId="5" state="hidden" r:id="rId13"/>
    <sheet name="UV OLD" sheetId="1" state="hidden" r:id="rId1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26" i="19" l="1"/>
  <c r="D49" i="6" l="1"/>
  <c r="C87" i="2" l="1"/>
  <c r="C10" i="19" l="1"/>
  <c r="E5" i="21" l="1"/>
  <c r="D18" i="20"/>
  <c r="H27" i="20"/>
  <c r="H28" i="20" s="1"/>
  <c r="H58" i="20" l="1"/>
  <c r="H59" i="20" s="1"/>
  <c r="H60" i="20" l="1"/>
  <c r="C24" i="15"/>
  <c r="C25" i="15" s="1"/>
  <c r="D52" i="20" l="1"/>
  <c r="D50" i="20"/>
  <c r="D48" i="20"/>
  <c r="E11" i="21" l="1"/>
  <c r="C10" i="15"/>
  <c r="E13" i="21" l="1"/>
  <c r="E22" i="21"/>
  <c r="H22" i="21" s="1"/>
  <c r="D65" i="20"/>
  <c r="C13" i="13"/>
  <c r="D53" i="16"/>
  <c r="D56" i="20" l="1"/>
  <c r="D147" i="2"/>
  <c r="C147" i="2"/>
  <c r="K147" i="2"/>
  <c r="F147" i="2"/>
  <c r="E147" i="2" l="1"/>
  <c r="I147" i="2" s="1"/>
  <c r="E21" i="21" s="1"/>
  <c r="M147" i="2"/>
  <c r="E20" i="21" s="1"/>
  <c r="D137" i="2"/>
  <c r="D135" i="2"/>
  <c r="C42" i="2"/>
  <c r="C43" i="2" s="1"/>
  <c r="C42" i="13"/>
  <c r="E24" i="21" s="1"/>
  <c r="H24" i="21" s="1"/>
  <c r="C5" i="19"/>
  <c r="E7" i="21" s="1"/>
  <c r="C86" i="2" l="1"/>
  <c r="C84" i="2"/>
  <c r="D33" i="20"/>
  <c r="C88" i="2"/>
  <c r="C85" i="2"/>
  <c r="D79" i="2"/>
  <c r="E25" i="21" s="1"/>
  <c r="C18" i="2"/>
  <c r="C17" i="2"/>
  <c r="H45" i="20"/>
  <c r="C95" i="2" l="1"/>
  <c r="C90" i="2"/>
  <c r="C96" i="2"/>
  <c r="C97" i="2"/>
  <c r="C89" i="2"/>
  <c r="C104" i="2" s="1"/>
  <c r="C94" i="2"/>
  <c r="D39" i="20" s="1"/>
  <c r="D40" i="20" s="1"/>
  <c r="C98" i="2" l="1"/>
  <c r="C99" i="2" s="1"/>
  <c r="E15" i="21" s="1"/>
  <c r="D35" i="20" l="1"/>
  <c r="D36" i="20" s="1"/>
  <c r="C36" i="13"/>
  <c r="D49" i="20" l="1"/>
  <c r="H49" i="20" s="1"/>
  <c r="D56" i="16"/>
  <c r="D55" i="16"/>
  <c r="D54" i="16" s="1"/>
  <c r="H7" i="21"/>
  <c r="H25" i="21"/>
  <c r="H21" i="21"/>
  <c r="H20" i="21"/>
  <c r="H15" i="21"/>
  <c r="G14" i="21"/>
  <c r="H13" i="21"/>
  <c r="H11" i="21"/>
  <c r="H65" i="20"/>
  <c r="F64" i="20"/>
  <c r="H63" i="20"/>
  <c r="J62" i="20"/>
  <c r="H62" i="20"/>
  <c r="F56" i="20"/>
  <c r="H56" i="20" s="1"/>
  <c r="E53" i="20"/>
  <c r="E49" i="20"/>
  <c r="E40" i="20"/>
  <c r="H40" i="20"/>
  <c r="E36" i="20"/>
  <c r="H36" i="20"/>
  <c r="H35" i="20"/>
  <c r="H33" i="20"/>
  <c r="H31" i="20"/>
  <c r="H25" i="20"/>
  <c r="H22" i="20"/>
  <c r="H19" i="20"/>
  <c r="F18" i="20"/>
  <c r="F17" i="20"/>
  <c r="E14" i="20"/>
  <c r="E10" i="20"/>
  <c r="H6" i="20"/>
  <c r="C15" i="19"/>
  <c r="C23" i="19" s="1"/>
  <c r="C3" i="19" s="1"/>
  <c r="C4" i="19" s="1"/>
  <c r="D44" i="16"/>
  <c r="D61" i="16" l="1"/>
  <c r="D13" i="20" s="1"/>
  <c r="D14" i="20" s="1"/>
  <c r="D57" i="16"/>
  <c r="H7" i="20"/>
  <c r="H26" i="20"/>
  <c r="H66" i="20"/>
  <c r="E6" i="21"/>
  <c r="H6" i="21" s="1"/>
  <c r="H48" i="20"/>
  <c r="H20" i="20"/>
  <c r="D62" i="16"/>
  <c r="H61" i="20"/>
  <c r="H39" i="20"/>
  <c r="H46" i="20"/>
  <c r="H23" i="20"/>
  <c r="H8" i="20" l="1"/>
  <c r="H67" i="20"/>
  <c r="H21" i="20"/>
  <c r="H18" i="20"/>
  <c r="H5" i="21"/>
  <c r="D58" i="16"/>
  <c r="D69" i="16" s="1"/>
  <c r="H47" i="20"/>
  <c r="C112" i="2"/>
  <c r="H68" i="20" l="1"/>
  <c r="C108" i="2"/>
  <c r="C109" i="2" s="1"/>
  <c r="C110" i="2" s="1"/>
  <c r="C111" i="2"/>
  <c r="C113" i="2" s="1"/>
  <c r="D63" i="16"/>
  <c r="D64" i="16" s="1"/>
  <c r="E8" i="21" s="1"/>
  <c r="D9" i="20" l="1"/>
  <c r="D10" i="20" s="1"/>
  <c r="H8" i="21"/>
  <c r="C115" i="2"/>
  <c r="C117" i="2" s="1"/>
  <c r="D29" i="20" s="1"/>
  <c r="H29" i="20" s="1"/>
  <c r="C114" i="2"/>
  <c r="C116" i="2" s="1"/>
  <c r="C118" i="2" s="1"/>
  <c r="D30" i="20" s="1"/>
  <c r="H30" i="20" s="1"/>
  <c r="C61" i="2"/>
  <c r="H32" i="20" l="1"/>
  <c r="C54" i="2"/>
  <c r="C50" i="2"/>
  <c r="C65" i="2"/>
  <c r="D7" i="16" l="1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11" i="16"/>
  <c r="E11" i="16" s="1"/>
  <c r="B12" i="16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D39" i="16" l="1"/>
  <c r="D45" i="16" s="1"/>
  <c r="D46" i="16" s="1"/>
  <c r="E12" i="16"/>
  <c r="E13" i="16" s="1"/>
  <c r="E14" i="16" s="1"/>
  <c r="E15" i="16" s="1"/>
  <c r="E16" i="16" s="1"/>
  <c r="E17" i="16" s="1"/>
  <c r="E18" i="16" s="1"/>
  <c r="E19" i="16" s="1"/>
  <c r="E20" i="16" s="1"/>
  <c r="E21" i="16" s="1"/>
  <c r="E22" i="16" s="1"/>
  <c r="E23" i="16" s="1"/>
  <c r="E24" i="16" s="1"/>
  <c r="E25" i="16" s="1"/>
  <c r="E26" i="16" s="1"/>
  <c r="E27" i="16" s="1"/>
  <c r="E28" i="16" s="1"/>
  <c r="E29" i="16" s="1"/>
  <c r="E30" i="16" s="1"/>
  <c r="E31" i="16" s="1"/>
  <c r="E32" i="16" s="1"/>
  <c r="E33" i="16" s="1"/>
  <c r="E34" i="16" s="1"/>
  <c r="D4" i="16" l="1"/>
  <c r="F19" i="16" s="1"/>
  <c r="G11" i="16"/>
  <c r="G12" i="16" s="1"/>
  <c r="G13" i="16" s="1"/>
  <c r="G14" i="16" s="1"/>
  <c r="G15" i="16" s="1"/>
  <c r="G16" i="16" s="1"/>
  <c r="G17" i="16" s="1"/>
  <c r="G18" i="16" s="1"/>
  <c r="G19" i="16" s="1"/>
  <c r="G20" i="16" s="1"/>
  <c r="G21" i="16" s="1"/>
  <c r="G22" i="16" s="1"/>
  <c r="G23" i="16" s="1"/>
  <c r="G24" i="16" s="1"/>
  <c r="G25" i="16" s="1"/>
  <c r="G26" i="16" s="1"/>
  <c r="G27" i="16" s="1"/>
  <c r="G28" i="16" s="1"/>
  <c r="G29" i="16" s="1"/>
  <c r="G30" i="16" s="1"/>
  <c r="G31" i="16" s="1"/>
  <c r="G32" i="16" s="1"/>
  <c r="G33" i="16" s="1"/>
  <c r="G34" i="16" s="1"/>
  <c r="F29" i="16" l="1"/>
  <c r="F32" i="16"/>
  <c r="F26" i="16"/>
  <c r="F21" i="16"/>
  <c r="F34" i="16"/>
  <c r="F13" i="16"/>
  <c r="F31" i="16"/>
  <c r="F14" i="16"/>
  <c r="F24" i="16"/>
  <c r="F33" i="16"/>
  <c r="F11" i="16"/>
  <c r="D5" i="16" s="1"/>
  <c r="F17" i="16"/>
  <c r="F20" i="16"/>
  <c r="F28" i="16"/>
  <c r="F12" i="16"/>
  <c r="F25" i="16"/>
  <c r="F30" i="16"/>
  <c r="F16" i="16"/>
  <c r="F27" i="16"/>
  <c r="F22" i="16"/>
  <c r="F15" i="16"/>
  <c r="F23" i="16"/>
  <c r="F18" i="16"/>
  <c r="C37" i="13" l="1"/>
  <c r="C38" i="13" s="1"/>
  <c r="C44" i="15"/>
  <c r="C47" i="15"/>
  <c r="C46" i="15"/>
  <c r="B57" i="15"/>
  <c r="C57" i="15" s="1"/>
  <c r="C56" i="15"/>
  <c r="C54" i="15"/>
  <c r="C11" i="15"/>
  <c r="C27" i="15" s="1"/>
  <c r="C25" i="13"/>
  <c r="C23" i="13"/>
  <c r="E37" i="2"/>
  <c r="D37" i="2"/>
  <c r="C37" i="2"/>
  <c r="C29" i="13"/>
  <c r="C18" i="13"/>
  <c r="E23" i="21" l="1"/>
  <c r="H23" i="21" s="1"/>
  <c r="D64" i="20"/>
  <c r="H64" i="20" s="1"/>
  <c r="C13" i="15"/>
  <c r="B58" i="15"/>
  <c r="B59" i="15" s="1"/>
  <c r="C59" i="15" s="1"/>
  <c r="C15" i="13"/>
  <c r="C48" i="15"/>
  <c r="C14" i="13"/>
  <c r="C31" i="13" s="1"/>
  <c r="C32" i="13" s="1"/>
  <c r="C58" i="15" l="1"/>
  <c r="B60" i="15"/>
  <c r="C60" i="15" s="1"/>
  <c r="B61" i="15" l="1"/>
  <c r="C61" i="15" s="1"/>
  <c r="B62" i="15" l="1"/>
  <c r="B63" i="15" s="1"/>
  <c r="C62" i="15" l="1"/>
  <c r="C63" i="15"/>
  <c r="B64" i="15"/>
  <c r="B65" i="15" l="1"/>
  <c r="C64" i="15"/>
  <c r="C65" i="15" l="1"/>
  <c r="B66" i="15"/>
  <c r="B67" i="15" l="1"/>
  <c r="C66" i="15"/>
  <c r="C67" i="15" l="1"/>
  <c r="B68" i="15"/>
  <c r="B69" i="15" l="1"/>
  <c r="C68" i="15"/>
  <c r="C69" i="15" l="1"/>
  <c r="B70" i="15"/>
  <c r="B71" i="15" l="1"/>
  <c r="C70" i="15"/>
  <c r="C71" i="15" l="1"/>
  <c r="B72" i="15"/>
  <c r="B73" i="15" l="1"/>
  <c r="C72" i="15"/>
  <c r="B74" i="15" l="1"/>
  <c r="C73" i="15"/>
  <c r="B75" i="15" l="1"/>
  <c r="C74" i="15"/>
  <c r="B76" i="15" l="1"/>
  <c r="C75" i="15"/>
  <c r="B77" i="15" l="1"/>
  <c r="C76" i="15"/>
  <c r="C77" i="15" l="1"/>
  <c r="B78" i="15"/>
  <c r="B79" i="15" l="1"/>
  <c r="C78" i="15"/>
  <c r="C79" i="15" l="1"/>
  <c r="B80" i="15"/>
  <c r="B81" i="15" l="1"/>
  <c r="C80" i="15"/>
  <c r="C81" i="15" l="1"/>
  <c r="B82" i="15"/>
  <c r="B83" i="15" l="1"/>
  <c r="C82" i="15"/>
  <c r="C83" i="15" l="1"/>
  <c r="B84" i="15"/>
  <c r="B85" i="15" l="1"/>
  <c r="C85" i="15" s="1"/>
  <c r="C84" i="15"/>
  <c r="C45" i="15" l="1"/>
  <c r="C49" i="15" s="1"/>
  <c r="E29" i="15" s="1"/>
  <c r="C39" i="5"/>
  <c r="C40" i="5"/>
  <c r="E20" i="5" s="1"/>
  <c r="C43" i="5"/>
  <c r="C45" i="5"/>
  <c r="B46" i="5"/>
  <c r="C46" i="5" s="1"/>
  <c r="B47" i="5" l="1"/>
  <c r="C47" i="5" s="1"/>
  <c r="B48" i="5" l="1"/>
  <c r="B49" i="5" s="1"/>
  <c r="C48" i="5" l="1"/>
  <c r="C49" i="5"/>
  <c r="B50" i="5"/>
  <c r="B51" i="5" l="1"/>
  <c r="C50" i="5"/>
  <c r="C51" i="5" l="1"/>
  <c r="B52" i="5"/>
  <c r="C52" i="5" l="1"/>
  <c r="B53" i="5"/>
  <c r="C53" i="5" l="1"/>
  <c r="B54" i="5"/>
  <c r="B55" i="5" l="1"/>
  <c r="C54" i="5"/>
  <c r="C55" i="5" l="1"/>
  <c r="B56" i="5"/>
  <c r="B57" i="5" l="1"/>
  <c r="C56" i="5"/>
  <c r="C57" i="5" l="1"/>
  <c r="B58" i="5"/>
  <c r="B59" i="5" l="1"/>
  <c r="C58" i="5"/>
  <c r="C59" i="5" l="1"/>
  <c r="B60" i="5"/>
  <c r="C60" i="5" l="1"/>
  <c r="B61" i="5"/>
  <c r="C61" i="5" l="1"/>
  <c r="B62" i="5"/>
  <c r="B63" i="5" l="1"/>
  <c r="C62" i="5"/>
  <c r="C63" i="5" l="1"/>
  <c r="B64" i="5"/>
  <c r="C64" i="5" l="1"/>
  <c r="B65" i="5"/>
  <c r="C65" i="5" l="1"/>
  <c r="B66" i="5"/>
  <c r="C66" i="5" l="1"/>
  <c r="B67" i="5"/>
  <c r="C67" i="5" l="1"/>
  <c r="B68" i="5"/>
  <c r="B69" i="5" l="1"/>
  <c r="C68" i="5"/>
  <c r="C69" i="5" l="1"/>
  <c r="B70" i="5"/>
  <c r="C70" i="5" l="1"/>
  <c r="B71" i="5"/>
  <c r="C71" i="5" l="1"/>
  <c r="B72" i="5"/>
  <c r="B73" i="5" l="1"/>
  <c r="C72" i="5"/>
  <c r="C73" i="5" l="1"/>
  <c r="B74" i="5"/>
  <c r="C74" i="5" s="1"/>
  <c r="E30" i="15" l="1"/>
  <c r="C49" i="2"/>
  <c r="C53" i="2" s="1"/>
  <c r="C55" i="2" s="1"/>
  <c r="E21" i="5" l="1"/>
  <c r="E23" i="5" s="1"/>
  <c r="D45" i="5" s="1"/>
  <c r="D54" i="5" s="1"/>
  <c r="E54" i="5" s="1"/>
  <c r="E32" i="15"/>
  <c r="D56" i="15" s="1"/>
  <c r="D62" i="5" l="1"/>
  <c r="E62" i="5" s="1"/>
  <c r="D53" i="5"/>
  <c r="E53" i="5" s="1"/>
  <c r="D74" i="5"/>
  <c r="E74" i="5" s="1"/>
  <c r="E24" i="5" s="1"/>
  <c r="E26" i="5" s="1"/>
  <c r="D57" i="5"/>
  <c r="E57" i="5" s="1"/>
  <c r="D52" i="5"/>
  <c r="E52" i="5" s="1"/>
  <c r="D51" i="5"/>
  <c r="E51" i="5" s="1"/>
  <c r="D59" i="5"/>
  <c r="E59" i="5" s="1"/>
  <c r="D72" i="5"/>
  <c r="E72" i="5" s="1"/>
  <c r="D67" i="5"/>
  <c r="E67" i="5" s="1"/>
  <c r="D68" i="5"/>
  <c r="E68" i="5" s="1"/>
  <c r="D55" i="5"/>
  <c r="E55" i="5" s="1"/>
  <c r="D70" i="5"/>
  <c r="E70" i="5" s="1"/>
  <c r="D73" i="5"/>
  <c r="E73" i="5" s="1"/>
  <c r="D60" i="5"/>
  <c r="E60" i="5" s="1"/>
  <c r="D47" i="5"/>
  <c r="E47" i="5" s="1"/>
  <c r="D63" i="5"/>
  <c r="E63" i="5" s="1"/>
  <c r="D46" i="5"/>
  <c r="E46" i="5" s="1"/>
  <c r="D71" i="5"/>
  <c r="E71" i="5" s="1"/>
  <c r="D50" i="5"/>
  <c r="E50" i="5" s="1"/>
  <c r="D65" i="5"/>
  <c r="E65" i="5" s="1"/>
  <c r="E45" i="5"/>
  <c r="D48" i="5"/>
  <c r="E48" i="5" s="1"/>
  <c r="D66" i="5"/>
  <c r="E66" i="5" s="1"/>
  <c r="D49" i="5"/>
  <c r="E49" i="5" s="1"/>
  <c r="D56" i="5"/>
  <c r="E56" i="5" s="1"/>
  <c r="D61" i="5"/>
  <c r="E61" i="5" s="1"/>
  <c r="D69" i="5"/>
  <c r="E69" i="5" s="1"/>
  <c r="D58" i="5"/>
  <c r="E58" i="5" s="1"/>
  <c r="D64" i="5"/>
  <c r="E64" i="5" s="1"/>
  <c r="D81" i="15"/>
  <c r="E81" i="15" s="1"/>
  <c r="D64" i="15"/>
  <c r="E64" i="15" s="1"/>
  <c r="D75" i="15"/>
  <c r="E75" i="15" s="1"/>
  <c r="D58" i="15"/>
  <c r="E58" i="15" s="1"/>
  <c r="D62" i="15"/>
  <c r="E62" i="15" s="1"/>
  <c r="D70" i="15"/>
  <c r="E70" i="15" s="1"/>
  <c r="D71" i="15"/>
  <c r="E71" i="15" s="1"/>
  <c r="D72" i="15"/>
  <c r="E72" i="15" s="1"/>
  <c r="D63" i="15"/>
  <c r="E63" i="15" s="1"/>
  <c r="D82" i="15"/>
  <c r="E82" i="15" s="1"/>
  <c r="D73" i="15"/>
  <c r="E73" i="15" s="1"/>
  <c r="D80" i="15"/>
  <c r="E80" i="15" s="1"/>
  <c r="D69" i="15"/>
  <c r="E69" i="15" s="1"/>
  <c r="D74" i="15"/>
  <c r="E74" i="15" s="1"/>
  <c r="D78" i="15"/>
  <c r="E78" i="15" s="1"/>
  <c r="D84" i="15"/>
  <c r="E84" i="15" s="1"/>
  <c r="D76" i="15"/>
  <c r="E76" i="15" s="1"/>
  <c r="D66" i="15"/>
  <c r="E66" i="15" s="1"/>
  <c r="D57" i="15"/>
  <c r="E57" i="15" s="1"/>
  <c r="D59" i="15"/>
  <c r="E59" i="15" s="1"/>
  <c r="D79" i="15"/>
  <c r="E79" i="15" s="1"/>
  <c r="D67" i="15"/>
  <c r="E67" i="15" s="1"/>
  <c r="D85" i="15"/>
  <c r="E85" i="15" s="1"/>
  <c r="C22" i="15" s="1"/>
  <c r="D61" i="15"/>
  <c r="E61" i="15" s="1"/>
  <c r="D65" i="15"/>
  <c r="E65" i="15" s="1"/>
  <c r="D83" i="15"/>
  <c r="E83" i="15" s="1"/>
  <c r="D68" i="15"/>
  <c r="E68" i="15" s="1"/>
  <c r="D77" i="15"/>
  <c r="E77" i="15" s="1"/>
  <c r="D60" i="15"/>
  <c r="E60" i="15" s="1"/>
  <c r="E56" i="15"/>
  <c r="C34" i="1"/>
  <c r="C30" i="1"/>
  <c r="E36" i="15" l="1"/>
  <c r="E33" i="15"/>
  <c r="E35" i="15" s="1"/>
  <c r="C15" i="1" l="1"/>
  <c r="I129" i="6" l="1"/>
  <c r="J129" i="6" s="1"/>
  <c r="E129" i="6"/>
  <c r="F129" i="6" s="1"/>
  <c r="I128" i="6"/>
  <c r="J128" i="6" s="1"/>
  <c r="E128" i="6"/>
  <c r="F128" i="6" s="1"/>
  <c r="I127" i="6"/>
  <c r="J127" i="6" s="1"/>
  <c r="E127" i="6"/>
  <c r="F127" i="6" s="1"/>
  <c r="I126" i="6"/>
  <c r="J126" i="6" s="1"/>
  <c r="E126" i="6"/>
  <c r="F126" i="6" s="1"/>
  <c r="I125" i="6"/>
  <c r="J125" i="6" s="1"/>
  <c r="E125" i="6"/>
  <c r="F125" i="6" s="1"/>
  <c r="I124" i="6"/>
  <c r="J124" i="6" s="1"/>
  <c r="E124" i="6"/>
  <c r="F124" i="6" s="1"/>
  <c r="I123" i="6"/>
  <c r="J123" i="6" s="1"/>
  <c r="E123" i="6"/>
  <c r="F123" i="6" s="1"/>
  <c r="I122" i="6"/>
  <c r="J122" i="6" s="1"/>
  <c r="E122" i="6"/>
  <c r="F122" i="6" s="1"/>
  <c r="I121" i="6"/>
  <c r="J121" i="6" s="1"/>
  <c r="E121" i="6"/>
  <c r="F121" i="6" s="1"/>
  <c r="I119" i="6"/>
  <c r="J119" i="6" s="1"/>
  <c r="E119" i="6"/>
  <c r="F119" i="6" s="1"/>
  <c r="I118" i="6"/>
  <c r="J118" i="6" s="1"/>
  <c r="E118" i="6"/>
  <c r="F118" i="6" s="1"/>
  <c r="I117" i="6"/>
  <c r="J117" i="6" s="1"/>
  <c r="E117" i="6"/>
  <c r="F117" i="6" s="1"/>
  <c r="I116" i="6"/>
  <c r="J116" i="6" s="1"/>
  <c r="E116" i="6"/>
  <c r="F116" i="6" s="1"/>
  <c r="I115" i="6"/>
  <c r="J115" i="6" s="1"/>
  <c r="E115" i="6"/>
  <c r="F115" i="6" s="1"/>
  <c r="I114" i="6"/>
  <c r="J114" i="6" s="1"/>
  <c r="E114" i="6"/>
  <c r="F114" i="6" s="1"/>
  <c r="I113" i="6"/>
  <c r="J113" i="6" s="1"/>
  <c r="E113" i="6"/>
  <c r="F113" i="6" s="1"/>
  <c r="I112" i="6"/>
  <c r="J112" i="6" s="1"/>
  <c r="E112" i="6"/>
  <c r="F112" i="6" s="1"/>
  <c r="I111" i="6"/>
  <c r="J111" i="6" s="1"/>
  <c r="E111" i="6"/>
  <c r="F111" i="6" s="1"/>
  <c r="I110" i="6"/>
  <c r="J110" i="6" s="1"/>
  <c r="E110" i="6"/>
  <c r="F110" i="6" s="1"/>
  <c r="I109" i="6"/>
  <c r="J109" i="6" s="1"/>
  <c r="E109" i="6"/>
  <c r="F109" i="6" s="1"/>
  <c r="I108" i="6"/>
  <c r="J108" i="6" s="1"/>
  <c r="E108" i="6"/>
  <c r="F108" i="6" s="1"/>
  <c r="I107" i="6"/>
  <c r="J107" i="6" s="1"/>
  <c r="E107" i="6"/>
  <c r="F107" i="6" s="1"/>
  <c r="I106" i="6"/>
  <c r="J106" i="6" s="1"/>
  <c r="E106" i="6"/>
  <c r="F106" i="6" s="1"/>
  <c r="I105" i="6"/>
  <c r="J105" i="6" s="1"/>
  <c r="E105" i="6"/>
  <c r="F105" i="6" s="1"/>
  <c r="I104" i="6"/>
  <c r="J104" i="6" s="1"/>
  <c r="E104" i="6"/>
  <c r="F104" i="6" s="1"/>
  <c r="I103" i="6"/>
  <c r="J103" i="6" s="1"/>
  <c r="E103" i="6"/>
  <c r="F103" i="6" s="1"/>
  <c r="I102" i="6"/>
  <c r="J102" i="6" s="1"/>
  <c r="E102" i="6"/>
  <c r="F102" i="6" s="1"/>
  <c r="I101" i="6"/>
  <c r="J101" i="6" s="1"/>
  <c r="E101" i="6"/>
  <c r="F101" i="6" s="1"/>
  <c r="I100" i="6"/>
  <c r="J100" i="6" s="1"/>
  <c r="E100" i="6"/>
  <c r="F100" i="6" s="1"/>
  <c r="I99" i="6"/>
  <c r="J99" i="6" s="1"/>
  <c r="E99" i="6"/>
  <c r="F99" i="6" s="1"/>
  <c r="I98" i="6"/>
  <c r="J98" i="6" s="1"/>
  <c r="E98" i="6"/>
  <c r="F98" i="6" s="1"/>
  <c r="I97" i="6"/>
  <c r="J97" i="6" s="1"/>
  <c r="E97" i="6"/>
  <c r="F97" i="6" s="1"/>
  <c r="I96" i="6"/>
  <c r="J96" i="6" s="1"/>
  <c r="E96" i="6"/>
  <c r="F96" i="6" s="1"/>
  <c r="I95" i="6"/>
  <c r="J95" i="6" s="1"/>
  <c r="E95" i="6"/>
  <c r="F95" i="6" s="1"/>
  <c r="I94" i="6"/>
  <c r="J94" i="6" s="1"/>
  <c r="E94" i="6"/>
  <c r="F94" i="6" s="1"/>
  <c r="I93" i="6"/>
  <c r="J93" i="6" s="1"/>
  <c r="E93" i="6"/>
  <c r="F93" i="6" s="1"/>
  <c r="I92" i="6"/>
  <c r="J92" i="6" s="1"/>
  <c r="E92" i="6"/>
  <c r="F92" i="6" s="1"/>
  <c r="I91" i="6"/>
  <c r="J91" i="6" s="1"/>
  <c r="E91" i="6"/>
  <c r="F91" i="6" s="1"/>
  <c r="I90" i="6"/>
  <c r="J90" i="6" s="1"/>
  <c r="E90" i="6"/>
  <c r="F90" i="6" s="1"/>
  <c r="I89" i="6"/>
  <c r="J89" i="6" s="1"/>
  <c r="E89" i="6"/>
  <c r="F89" i="6" s="1"/>
  <c r="I87" i="6"/>
  <c r="J87" i="6" s="1"/>
  <c r="E87" i="6"/>
  <c r="F87" i="6" s="1"/>
  <c r="I86" i="6"/>
  <c r="J86" i="6" s="1"/>
  <c r="E86" i="6"/>
  <c r="F86" i="6" s="1"/>
  <c r="I85" i="6"/>
  <c r="J85" i="6" s="1"/>
  <c r="E85" i="6"/>
  <c r="F85" i="6" s="1"/>
  <c r="E66" i="6"/>
  <c r="F66" i="6" s="1"/>
  <c r="E65" i="6"/>
  <c r="F65" i="6" s="1"/>
  <c r="E64" i="6"/>
  <c r="F64" i="6" s="1"/>
  <c r="E63" i="6"/>
  <c r="F63" i="6" s="1"/>
  <c r="E62" i="6"/>
  <c r="F62" i="6" s="1"/>
  <c r="E61" i="6"/>
  <c r="F61" i="6" s="1"/>
  <c r="E60" i="6"/>
  <c r="F60" i="6" s="1"/>
  <c r="E59" i="6"/>
  <c r="F59" i="6" s="1"/>
  <c r="D70" i="16" s="1"/>
  <c r="E58" i="6"/>
  <c r="F58" i="6" s="1"/>
  <c r="C105" i="2" s="1"/>
  <c r="E57" i="6"/>
  <c r="F57" i="6" s="1"/>
  <c r="E56" i="6"/>
  <c r="F56" i="6" s="1"/>
  <c r="E55" i="6"/>
  <c r="F55" i="6" s="1"/>
  <c r="D39" i="6"/>
  <c r="D38" i="6"/>
  <c r="D37" i="6"/>
  <c r="D34" i="6"/>
  <c r="D33" i="6"/>
  <c r="D29" i="6"/>
  <c r="D28" i="6"/>
  <c r="D26" i="6"/>
  <c r="D48" i="16" s="1"/>
  <c r="D23" i="6"/>
  <c r="D19" i="6"/>
  <c r="D15" i="6"/>
  <c r="D13" i="6"/>
  <c r="E9" i="21" l="1"/>
  <c r="H9" i="21" s="1"/>
  <c r="D11" i="20"/>
  <c r="D12" i="20" s="1"/>
  <c r="C26" i="15"/>
  <c r="D37" i="20"/>
  <c r="E16" i="21"/>
  <c r="H16" i="21" s="1"/>
  <c r="E10" i="21"/>
  <c r="H10" i="21" s="1"/>
  <c r="D17" i="20"/>
  <c r="D52" i="16"/>
  <c r="D8" i="16"/>
  <c r="C4" i="2"/>
  <c r="C9" i="5"/>
  <c r="C11" i="5" s="1"/>
  <c r="E27" i="5" s="1"/>
  <c r="C12" i="1"/>
  <c r="C36" i="1" s="1"/>
  <c r="C27" i="2" l="1"/>
  <c r="C83" i="2" s="1"/>
  <c r="C5" i="2"/>
  <c r="N147" i="2" s="1"/>
  <c r="C23" i="2"/>
  <c r="C39" i="13"/>
  <c r="I16" i="21"/>
  <c r="D57" i="20"/>
  <c r="H57" i="20" s="1"/>
  <c r="E14" i="21"/>
  <c r="H14" i="21" s="1"/>
  <c r="I14" i="21" s="1"/>
  <c r="D38" i="20"/>
  <c r="H38" i="20" s="1"/>
  <c r="H37" i="20"/>
  <c r="I9" i="21"/>
  <c r="C37" i="1"/>
  <c r="C21" i="2" l="1"/>
  <c r="C60" i="2" s="1"/>
  <c r="C64" i="2" s="1"/>
  <c r="C66" i="2" s="1"/>
  <c r="C69" i="2" s="1"/>
  <c r="E19" i="21" s="1"/>
  <c r="C24" i="2"/>
  <c r="C25" i="2"/>
  <c r="I21" i="21"/>
  <c r="I6" i="21"/>
  <c r="I20" i="21"/>
  <c r="I22" i="21"/>
  <c r="I23" i="21"/>
  <c r="I8" i="21"/>
  <c r="I13" i="21"/>
  <c r="I25" i="21"/>
  <c r="I11" i="21"/>
  <c r="J147" i="2"/>
  <c r="I24" i="21"/>
  <c r="I15" i="21"/>
  <c r="I7" i="21"/>
  <c r="I5" i="21"/>
  <c r="I10" i="21"/>
  <c r="C45" i="2" l="1"/>
  <c r="D134" i="2"/>
  <c r="D136" i="2" s="1"/>
  <c r="D138" i="2" s="1"/>
  <c r="D141" i="2" s="1"/>
  <c r="E17" i="21" s="1"/>
  <c r="H17" i="21" s="1"/>
  <c r="I17" i="21" s="1"/>
  <c r="D24" i="20"/>
  <c r="H24" i="20" s="1"/>
  <c r="D5" i="20"/>
  <c r="H5" i="20" s="1"/>
  <c r="H19" i="21"/>
  <c r="I19" i="21" s="1"/>
  <c r="H41" i="20" l="1"/>
  <c r="H42" i="20" s="1"/>
  <c r="D44" i="20"/>
  <c r="H44" i="20" s="1"/>
  <c r="E18" i="21"/>
  <c r="H18" i="21" s="1"/>
  <c r="I18" i="21" s="1"/>
  <c r="H17" i="20"/>
  <c r="H43" i="20" l="1"/>
  <c r="H9" i="20"/>
  <c r="H10" i="20"/>
  <c r="H11" i="20" l="1"/>
  <c r="H12" i="20"/>
  <c r="H14" i="20"/>
  <c r="H13" i="20"/>
  <c r="H15" i="20" l="1"/>
  <c r="H16" i="20" l="1"/>
  <c r="D53" i="20" l="1"/>
  <c r="H53" i="20" s="1"/>
  <c r="H52" i="20"/>
  <c r="E12" i="21" l="1"/>
  <c r="H12" i="21" s="1"/>
  <c r="I12" i="21" s="1"/>
  <c r="H50" i="20" l="1"/>
  <c r="D51" i="20"/>
  <c r="H51" i="20" s="1"/>
  <c r="H54" i="20" l="1"/>
  <c r="H55" i="20" l="1"/>
  <c r="H69" i="2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14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1000 kg/m3 = 1g/cm3</t>
        </r>
      </text>
    </comment>
  </commentList>
</comments>
</file>

<file path=xl/sharedStrings.xml><?xml version="1.0" encoding="utf-8"?>
<sst xmlns="http://schemas.openxmlformats.org/spreadsheetml/2006/main" count="1965" uniqueCount="954">
  <si>
    <t>UV</t>
  </si>
  <si>
    <t>Chnnel volume</t>
  </si>
  <si>
    <t>m3</t>
  </si>
  <si>
    <t>UV intensity</t>
  </si>
  <si>
    <t>mM/cm2</t>
  </si>
  <si>
    <t>Transmittance</t>
  </si>
  <si>
    <t>%</t>
  </si>
  <si>
    <t>estimate for MBR</t>
  </si>
  <si>
    <t>UV dose required to meet effluent standard of 2.2 MPN/100ml for microfiltration effluent (Tchobanoglous et al. 2014, pg. 1397)</t>
  </si>
  <si>
    <t>40-50</t>
  </si>
  <si>
    <t>mJ/cm2</t>
  </si>
  <si>
    <t>mW*sec/cm2 = mJ/cm2</t>
  </si>
  <si>
    <t>For reclaimed water systems, the recommended design dosage is 80 mJ/cm2 for microfiltration effluent (Tchobanoglous et al. 2014, pg. 1404)</t>
  </si>
  <si>
    <t>Dose</t>
  </si>
  <si>
    <t>Design Dose</t>
  </si>
  <si>
    <t>Transmittance (x%)</t>
  </si>
  <si>
    <t>low value for microfiltration effluent</t>
  </si>
  <si>
    <t>Flowrate</t>
  </si>
  <si>
    <t>Flowrate (Q)</t>
  </si>
  <si>
    <t>m3/day</t>
  </si>
  <si>
    <t>Fp</t>
  </si>
  <si>
    <t>unitless</t>
  </si>
  <si>
    <t>fraction of lamp UV output transmitted through quartz sleeve</t>
  </si>
  <si>
    <t>Ft</t>
  </si>
  <si>
    <t>output may be reduced by 30% after 7000 hours of use</t>
  </si>
  <si>
    <t>MGD</t>
  </si>
  <si>
    <t>Lamp % UV output</t>
  </si>
  <si>
    <t>UV output of low-pressure high intensity lamps can be modulated between 30 and 100% (Tchobanoglous et al. 2014, pg 1385)</t>
  </si>
  <si>
    <t>Nominal Intensity</t>
  </si>
  <si>
    <t>liters per second</t>
  </si>
  <si>
    <t>Time</t>
  </si>
  <si>
    <t>seconds</t>
  </si>
  <si>
    <t>Intensity</t>
  </si>
  <si>
    <t>mW/cm2</t>
  </si>
  <si>
    <t>Volume</t>
  </si>
  <si>
    <t>*based on 50% of unit volume for40 gpm unit</t>
  </si>
  <si>
    <t>Scour Air Demand</t>
  </si>
  <si>
    <t>Nm3/m2/hr</t>
  </si>
  <si>
    <t>Cross Flow Air</t>
  </si>
  <si>
    <t>m2</t>
  </si>
  <si>
    <t>minutes</t>
  </si>
  <si>
    <t>hours</t>
  </si>
  <si>
    <t>kg/year</t>
  </si>
  <si>
    <t>Electricity</t>
  </si>
  <si>
    <t>Concrete</t>
  </si>
  <si>
    <t>count</t>
  </si>
  <si>
    <t>m</t>
  </si>
  <si>
    <t>Tank Volume</t>
  </si>
  <si>
    <t>HRT</t>
  </si>
  <si>
    <t>days</t>
  </si>
  <si>
    <t>mg/L</t>
  </si>
  <si>
    <t>mg-min/L</t>
  </si>
  <si>
    <t>Conversion Factors, Project Constants, and Looksups used throughout workbook</t>
  </si>
  <si>
    <t>Conversion Factors</t>
  </si>
  <si>
    <t>Category</t>
  </si>
  <si>
    <t>Parameter</t>
  </si>
  <si>
    <t>Value</t>
  </si>
  <si>
    <t>Unit</t>
  </si>
  <si>
    <t>Source</t>
  </si>
  <si>
    <t>Area</t>
  </si>
  <si>
    <t>sqft/m2</t>
  </si>
  <si>
    <t>ft2/acre</t>
  </si>
  <si>
    <t>ft2/m2</t>
  </si>
  <si>
    <t>Cost</t>
  </si>
  <si>
    <t>$/kW CHP ICE Capital Cost</t>
  </si>
  <si>
    <t>$/kW</t>
  </si>
  <si>
    <t>Wiser et al. 2010</t>
  </si>
  <si>
    <t>Maintenance Costs CHP ICE</t>
  </si>
  <si>
    <t>$/kWh</t>
  </si>
  <si>
    <t>Density</t>
  </si>
  <si>
    <t>Water Density</t>
  </si>
  <si>
    <t xml:space="preserve"> kg/m³</t>
  </si>
  <si>
    <t>biogas Density</t>
  </si>
  <si>
    <t>kg/m3</t>
  </si>
  <si>
    <t>Methane Density</t>
  </si>
  <si>
    <t>Compost Density</t>
  </si>
  <si>
    <t>water density</t>
  </si>
  <si>
    <t>lb/gal @ 60*F</t>
  </si>
  <si>
    <t>Ferric Chloride</t>
  </si>
  <si>
    <t>s.g.</t>
  </si>
  <si>
    <t>http://edwardschemicals.com/MSDS/water-treatment/FERRIC%20CHLORIDE%2038%20-%2042.pdf</t>
  </si>
  <si>
    <t>lb/g at 70*F</t>
  </si>
  <si>
    <t>http://www.engineeringtoolbox.com/water-specific-volume-weight-d_661.html</t>
  </si>
  <si>
    <t>Distance</t>
  </si>
  <si>
    <t>m/mile</t>
  </si>
  <si>
    <t>ft/m</t>
  </si>
  <si>
    <t>km/mile</t>
  </si>
  <si>
    <t>Energy</t>
  </si>
  <si>
    <t>HHV to LHV, generic</t>
  </si>
  <si>
    <t>https://www.csemag.com/single-article/understanding-cogeneration-systems/f4ee71595545969c02674b7b029620a1.html?tx_ttnews%5BsViewPointer%5D=1</t>
  </si>
  <si>
    <t>BTU/Dekatherm (DTH)</t>
  </si>
  <si>
    <t>MJ/kWh</t>
  </si>
  <si>
    <t>Btu/ft3</t>
  </si>
  <si>
    <t>BTU/MJ</t>
  </si>
  <si>
    <t>google conversions</t>
  </si>
  <si>
    <t xml:space="preserve">1 MCF = </t>
  </si>
  <si>
    <t>ft3 of natural gas</t>
  </si>
  <si>
    <t>kW/HP</t>
  </si>
  <si>
    <t>Generic</t>
  </si>
  <si>
    <t>g/kg, ml/L, etc…</t>
  </si>
  <si>
    <t>Infrastructure</t>
  </si>
  <si>
    <t>Handrail</t>
  </si>
  <si>
    <t>kg/ft</t>
  </si>
  <si>
    <t>gal/3</t>
  </si>
  <si>
    <t>ft3/m3</t>
  </si>
  <si>
    <t>gallons/ft3</t>
  </si>
  <si>
    <t>L/gallon</t>
  </si>
  <si>
    <t>m3/yd3</t>
  </si>
  <si>
    <t>L/m3</t>
  </si>
  <si>
    <t>Wastewater Characteristics</t>
  </si>
  <si>
    <t>BOD/cBOD ratio</t>
  </si>
  <si>
    <t>Source: Brake 2007</t>
  </si>
  <si>
    <t>Weight</t>
  </si>
  <si>
    <t>lb/kg</t>
  </si>
  <si>
    <t>kg per short ton</t>
  </si>
  <si>
    <t>kg/mg</t>
  </si>
  <si>
    <t>days per year</t>
  </si>
  <si>
    <t>hours per year</t>
  </si>
  <si>
    <t>TIme</t>
  </si>
  <si>
    <t>minutes per hour</t>
  </si>
  <si>
    <t>hours per day</t>
  </si>
  <si>
    <t>Food Waste, raw, before processing</t>
  </si>
  <si>
    <t>EC 2013</t>
  </si>
  <si>
    <t>Density of diesel</t>
  </si>
  <si>
    <t>kg/L</t>
  </si>
  <si>
    <t>MIT Energy Conversions</t>
  </si>
  <si>
    <t>Density of solids, wastewater</t>
  </si>
  <si>
    <t>Density of water</t>
  </si>
  <si>
    <t>Food Waste, air filled pore space</t>
  </si>
  <si>
    <t>v/v</t>
  </si>
  <si>
    <t>Sundberg et al. 2011</t>
  </si>
  <si>
    <t>calculated</t>
  </si>
  <si>
    <t>Rebar</t>
  </si>
  <si>
    <t>Steel Grating</t>
  </si>
  <si>
    <t>Rod Size </t>
  </si>
  <si>
    <t>Rod Weight </t>
  </si>
  <si>
    <t>Bar Size Inches:</t>
  </si>
  <si>
    <t>Weight Per Sq. Ft:</t>
  </si>
  <si>
    <t>Sect. Prop. Ft. of Width:</t>
  </si>
  <si>
    <t>Rod Number</t>
  </si>
  <si>
    <t>(in)</t>
  </si>
  <si>
    <t>(lb per linear foot)</t>
  </si>
  <si>
    <t>3/4 x 3/16</t>
  </si>
  <si>
    <t>Sx=0.194 / 1x=0.73</t>
  </si>
  <si>
    <t>0.250 = 1/4"</t>
  </si>
  <si>
    <t>1 x 1/8</t>
  </si>
  <si>
    <t>Sx=0.228 / 1x=0.114</t>
  </si>
  <si>
    <t>0.375 = 3/8"</t>
  </si>
  <si>
    <t>1 x 3/16</t>
  </si>
  <si>
    <t>Sx=0.344 / 1x=0.171</t>
  </si>
  <si>
    <t>0.500 = 1/2"</t>
  </si>
  <si>
    <t>1-1/4 x 1/8</t>
  </si>
  <si>
    <t>Sx=0.358 / 1x=0.223</t>
  </si>
  <si>
    <t>0.625 = 5/8"</t>
  </si>
  <si>
    <t>1-1/4 x 3/16</t>
  </si>
  <si>
    <t>Sx=0.536 / 1x=0.335</t>
  </si>
  <si>
    <t>0.750 = 3/4"</t>
  </si>
  <si>
    <t>1-1/2 x 1/8</t>
  </si>
  <si>
    <t>Sx=0.515 / 1x=0.387</t>
  </si>
  <si>
    <t>0.875 = 7/8"</t>
  </si>
  <si>
    <t>1-1/2 x 3/16</t>
  </si>
  <si>
    <t>Sx=0.773 / 1x=0.579</t>
  </si>
  <si>
    <t>1.000 = 1"</t>
  </si>
  <si>
    <t>1-3/4 x 3/16</t>
  </si>
  <si>
    <t>Sx=1.052 / 1x=0.902</t>
  </si>
  <si>
    <t>1.128 = 1 1/8"</t>
  </si>
  <si>
    <t>2 x 3/16</t>
  </si>
  <si>
    <t>Sx=1.375 / 1x=1.375</t>
  </si>
  <si>
    <t>1.270 = 1 1/4"</t>
  </si>
  <si>
    <t>2-1/4 x 3/16</t>
  </si>
  <si>
    <t>Sx=1.740 / 1x=1.958</t>
  </si>
  <si>
    <t>1.410 = 1 3/8"</t>
  </si>
  <si>
    <t>2-1/2 x 3/16</t>
  </si>
  <si>
    <t>Sx=2.148 / 1x=2.685</t>
  </si>
  <si>
    <t>1.693 = 1 3/4"</t>
  </si>
  <si>
    <t>http://www.directmetals.com/dm/products/bar-grating/carbon-steel-bar-grating.html</t>
  </si>
  <si>
    <t>2.257 = 2 1/4"</t>
  </si>
  <si>
    <t xml:space="preserve">Pipe Weights </t>
  </si>
  <si>
    <t>material/inner diameter</t>
  </si>
  <si>
    <t>Wt/ft</t>
  </si>
  <si>
    <t>Wall thickness</t>
  </si>
  <si>
    <t>concrete27</t>
  </si>
  <si>
    <t>lb/ft</t>
  </si>
  <si>
    <t>http://www.theturnerco.com/products/reinforced-concrete-pipe</t>
  </si>
  <si>
    <t>metal18</t>
  </si>
  <si>
    <t>http://www.saginawpipe.com/steel_pipe_chart-2.htm</t>
  </si>
  <si>
    <t>metal8</t>
  </si>
  <si>
    <t>metal12</t>
  </si>
  <si>
    <t>metal4</t>
  </si>
  <si>
    <t>http://www.saginawpipe.com/steel_pipe.htm#pipechart1</t>
  </si>
  <si>
    <t>metal10</t>
  </si>
  <si>
    <t>metal3</t>
  </si>
  <si>
    <t>concrete24</t>
  </si>
  <si>
    <t>metal6</t>
  </si>
  <si>
    <t>PVC6</t>
  </si>
  <si>
    <t>http://www.usplastic.com/catalog/files/drawings/pipespecs.pdf</t>
  </si>
  <si>
    <t>PVC4</t>
  </si>
  <si>
    <t>GREET Fuel Heating Values</t>
  </si>
  <si>
    <t>Fuels</t>
  </si>
  <si>
    <t>Lower Heating Value (LHV) [1]</t>
  </si>
  <si>
    <t>Higher Heating Value (HHV) [1]</t>
  </si>
  <si>
    <t>Gaseous Fuels @ 32 F and 1 atm</t>
  </si>
  <si>
    <t>Btu/ft3 [2]</t>
  </si>
  <si>
    <t>Btu/lb [3]</t>
  </si>
  <si>
    <t>MJ/kg [4]</t>
  </si>
  <si>
    <t>grams/ft3</t>
  </si>
  <si>
    <t>Natural gas</t>
  </si>
  <si>
    <t>Hydrogen</t>
  </si>
  <si>
    <t>Still gas (in refineries)</t>
  </si>
  <si>
    <t>Liquid Fuels</t>
  </si>
  <si>
    <t>Btu/gal [2]</t>
  </si>
  <si>
    <t>grams/gal</t>
  </si>
  <si>
    <t>Crude oil</t>
  </si>
  <si>
    <t>Conventional gasoline</t>
  </si>
  <si>
    <t>Reformulated or low-sulfur gasoline</t>
  </si>
  <si>
    <t>CA reformulated gasoline</t>
  </si>
  <si>
    <r>
      <t>U</t>
    </r>
    <r>
      <rPr>
        <sz val="10"/>
        <rFont val="Arial"/>
        <family val="2"/>
      </rPr>
      <t>.S. conventional diesel</t>
    </r>
  </si>
  <si>
    <t>Low-sulfur diesel</t>
  </si>
  <si>
    <t>Petroleum naphtha</t>
  </si>
  <si>
    <t>NG-based FT naphtha</t>
  </si>
  <si>
    <t>Residual oil</t>
  </si>
  <si>
    <t>Methanol</t>
  </si>
  <si>
    <t>Ethanol</t>
  </si>
  <si>
    <t>Butanol</t>
  </si>
  <si>
    <t>Acetone</t>
  </si>
  <si>
    <t>E-Diesel Additives</t>
  </si>
  <si>
    <t>Liquefied petroleum gas (LPG)</t>
  </si>
  <si>
    <t>Liquefied natural gas (LNG)</t>
  </si>
  <si>
    <t>Dimethyl ether (DME)</t>
  </si>
  <si>
    <t>Dimethoxy methane (DMM)</t>
  </si>
  <si>
    <t>Methyl ester (biodiesel, BD)</t>
  </si>
  <si>
    <t>Fischer-Tropsch diesel (FTD)</t>
  </si>
  <si>
    <t>Renewable Diesel I (SuperCetane)</t>
  </si>
  <si>
    <t>Renewable Diesel II (UOP-HDO)</t>
  </si>
  <si>
    <t>Renewable Gasoline</t>
  </si>
  <si>
    <t>Liquid Hydrogen</t>
  </si>
  <si>
    <t>Methyl tertiary butyl ether (MTBE)</t>
  </si>
  <si>
    <t>Ethyl tertiary butyl ether (ETBE)</t>
  </si>
  <si>
    <t>Tertiary amyl methyl ether (TAME)</t>
  </si>
  <si>
    <t>Butane</t>
  </si>
  <si>
    <t>Isobutane</t>
  </si>
  <si>
    <t>Isobutylene</t>
  </si>
  <si>
    <t>Propane</t>
  </si>
  <si>
    <t>Solid Fuels</t>
  </si>
  <si>
    <t>Btu/ton [2]</t>
  </si>
  <si>
    <t>Btu/lb [5]</t>
  </si>
  <si>
    <t>Coal (wet basis) [6]</t>
  </si>
  <si>
    <t>Bituminous coal (wet basis) [7]</t>
  </si>
  <si>
    <t>Coking coal (wet basis)</t>
  </si>
  <si>
    <t>Farmed trees (dry basis)</t>
  </si>
  <si>
    <t>Herbaceous biomass (dry basis)</t>
  </si>
  <si>
    <t>Corn stover (dry basis)</t>
  </si>
  <si>
    <t>Forest residue (dry basis)</t>
  </si>
  <si>
    <t>Sugar cane bagasse</t>
  </si>
  <si>
    <t>Petroleum coke</t>
  </si>
  <si>
    <t>Notes:</t>
  </si>
  <si>
    <r>
      <t xml:space="preserve">[1] The </t>
    </r>
    <r>
      <rPr>
        <b/>
        <sz val="10"/>
        <color indexed="8"/>
        <rFont val="Arial"/>
        <family val="2"/>
      </rPr>
      <t>lower heating value</t>
    </r>
    <r>
      <rPr>
        <sz val="10"/>
        <color indexed="8"/>
        <rFont val="Arial"/>
        <family val="2"/>
      </rPr>
      <t xml:space="preserve"> (also known as net calorific value) of a fuel is defined as the amount of heat released by combusting a specified quantity (initially at 25°C) and returning the temperature of the combustion products to 150°C, which assumes the latent heat of vaporization of water in the reaction products is not recovered.</t>
    </r>
  </si>
  <si>
    <r>
      <t xml:space="preserve">The </t>
    </r>
    <r>
      <rPr>
        <b/>
        <sz val="10"/>
        <color indexed="8"/>
        <rFont val="Arial"/>
        <family val="2"/>
      </rPr>
      <t>higher heating value</t>
    </r>
    <r>
      <rPr>
        <sz val="10"/>
        <color indexed="8"/>
        <rFont val="Arial"/>
        <family val="2"/>
      </rPr>
      <t xml:space="preserve"> (also known as gross calorific value or gross energy) of a fuel is defined as the amount of heat released by a specified quantity (initially at 25°C) once it is combusted and the products have returned to a temperature of 25°C, which takes into account the latent heat of vaporization of water in the combustion products.</t>
    </r>
  </si>
  <si>
    <t xml:space="preserve">[2] Btu =  British thermal unit. </t>
  </si>
  <si>
    <t>[3] The heating values for gaseous fuels in units of Btu/lb are calculated based on the heating values in units of Btu/ft3 and the corresponding fuel density values. The heating values for liquid fuels in units of Btu/lb are calculated based on heating values in units of Btu/gal and the corresponding fuel density values.</t>
  </si>
  <si>
    <t>[4] The heating values in units of MJ/kg, are converted from the heating values in units of Btu/lb.</t>
  </si>
  <si>
    <t>[5] For solid fuels, the heating values in units of Btu/lb are converted from the heating values in units of Btu/ton.</t>
  </si>
  <si>
    <t>[6] Coal characteristics assumed by GREET for electric power production.</t>
  </si>
  <si>
    <t>[7] Coal characteristics assumed by GREET for hydrogen and Fischer-Tropsch diesel production.</t>
  </si>
  <si>
    <t>Source:</t>
  </si>
  <si>
    <t>GREET Transportation Fuel Cycle Analysis Model, GREET 1.8b, developed by Argonne National Laboratory, Argonne, IL, released September 5, 2008. https://greet.es.anl.gov/</t>
  </si>
  <si>
    <t>Volume of Cl tank</t>
  </si>
  <si>
    <t>Energy Use</t>
  </si>
  <si>
    <t>Constant Flux</t>
  </si>
  <si>
    <t>LMH</t>
  </si>
  <si>
    <t>SRT</t>
  </si>
  <si>
    <t>DO Setpoint</t>
  </si>
  <si>
    <t>A1</t>
  </si>
  <si>
    <t>A2</t>
  </si>
  <si>
    <t>A3</t>
  </si>
  <si>
    <t>A4</t>
  </si>
  <si>
    <t>Clinst</t>
  </si>
  <si>
    <t>TOC</t>
  </si>
  <si>
    <t>sTOC</t>
  </si>
  <si>
    <t>UV254</t>
  </si>
  <si>
    <t>Cl dose</t>
  </si>
  <si>
    <t>Range is 10-30 days</t>
  </si>
  <si>
    <t>calculated based on flow rate and flux</t>
  </si>
  <si>
    <t xml:space="preserve">Units </t>
  </si>
  <si>
    <t>Note</t>
  </si>
  <si>
    <t>mgO2/L</t>
  </si>
  <si>
    <t>range 1-2</t>
  </si>
  <si>
    <t>Sources</t>
  </si>
  <si>
    <t>General Information</t>
  </si>
  <si>
    <t>Additional information</t>
  </si>
  <si>
    <t>No</t>
  </si>
  <si>
    <t>Name</t>
  </si>
  <si>
    <t>Description</t>
  </si>
  <si>
    <t>Doi</t>
  </si>
  <si>
    <t>Text reference</t>
  </si>
  <si>
    <t>Year</t>
  </si>
  <si>
    <t>Yoon, S.-H. (2016). HRT and SRT - OnlineMBR. Retrieved December 1, 2017, from http://onlinembr.info/hrt-and-srt/</t>
  </si>
  <si>
    <t>Yoon 2016</t>
  </si>
  <si>
    <t>includes both membrane and aeration area (submerged)</t>
  </si>
  <si>
    <t>UV Chamber Length</t>
  </si>
  <si>
    <t>in</t>
  </si>
  <si>
    <t>UV Chamber Diameter</t>
  </si>
  <si>
    <t>8-15 mW/cm2</t>
  </si>
  <si>
    <t>AeMBR</t>
  </si>
  <si>
    <t>Current Study:</t>
  </si>
  <si>
    <t>Free Chlorine Calculations:</t>
  </si>
  <si>
    <t>At a pH of 7.5 and temperature of 30 °C, about 97.5% of ammonia exists in water as ammonium. I assume that as NH4+ reacts with HOCl that the small amount of NH3 converts to NH4+ so that, in the end, NH4+-N concentration is about equal to the NH3-N concentration.</t>
  </si>
  <si>
    <t>(Canadian Council of Ministers of the Environment, 2010)</t>
  </si>
  <si>
    <t>Breakpoint ratio</t>
  </si>
  <si>
    <t>mg Cl2/ mg NH4+-N</t>
  </si>
  <si>
    <t>(Metcalf and Eddy Solution 1)</t>
  </si>
  <si>
    <t>Cl2 dose to reach breakpoint</t>
  </si>
  <si>
    <t>(Metcalf and Eddy Solution 2a)</t>
  </si>
  <si>
    <t>Total Cl2 dosage</t>
  </si>
  <si>
    <t>(Metcalf and Eddy Solution 2b)</t>
  </si>
  <si>
    <t>Metcalf and Eddy. 2014. Wastewater Engineering: Treatment and Resource Recovery. Pgs 1314-1419.</t>
  </si>
  <si>
    <t>COD</t>
  </si>
  <si>
    <t>BOD</t>
  </si>
  <si>
    <t>BOD/COD</t>
  </si>
  <si>
    <t>BOD/cBOD</t>
  </si>
  <si>
    <t>Effluent</t>
  </si>
  <si>
    <t>BOD/TOC</t>
  </si>
  <si>
    <t>sCOD/COD</t>
  </si>
  <si>
    <t>UV254/sCOD</t>
  </si>
  <si>
    <t>soluble inert COD</t>
  </si>
  <si>
    <t>mgCL2/L</t>
  </si>
  <si>
    <t>Prepared by:</t>
  </si>
  <si>
    <t>Eastern Research Group</t>
  </si>
  <si>
    <t>110 Hartwell Avenue</t>
  </si>
  <si>
    <t>Lexington, MA 02421-3136</t>
  </si>
  <si>
    <t>*sarah.cashman@erg.com</t>
  </si>
  <si>
    <t>Influent</t>
  </si>
  <si>
    <t>GPS-X Model Documentation</t>
  </si>
  <si>
    <t>Units</t>
  </si>
  <si>
    <t>Flow</t>
  </si>
  <si>
    <t>TSS</t>
  </si>
  <si>
    <t>VSS</t>
  </si>
  <si>
    <t>cBOD5</t>
  </si>
  <si>
    <t>Soluble COD</t>
  </si>
  <si>
    <t>Ammonia N</t>
  </si>
  <si>
    <t>TKN</t>
  </si>
  <si>
    <t>TN</t>
  </si>
  <si>
    <t>Soluble PO4-P</t>
  </si>
  <si>
    <t>TP</t>
  </si>
  <si>
    <t>Total Alkalinity</t>
  </si>
  <si>
    <t>pH</t>
  </si>
  <si>
    <t xml:space="preserve">Influent </t>
  </si>
  <si>
    <t>-</t>
  </si>
  <si>
    <t>mgC/L</t>
  </si>
  <si>
    <t>Equalization Tank</t>
  </si>
  <si>
    <t>Tank Depth</t>
  </si>
  <si>
    <t>Fine Screen</t>
  </si>
  <si>
    <t>Solids TSS</t>
  </si>
  <si>
    <t>Solids Capture</t>
  </si>
  <si>
    <t>Solids Disposed</t>
  </si>
  <si>
    <t>AeMBR Design and Operational Parameters</t>
  </si>
  <si>
    <t>Influent TSS</t>
  </si>
  <si>
    <t>Chlorination</t>
  </si>
  <si>
    <t>Influent Ammonia</t>
  </si>
  <si>
    <t>kWh</t>
  </si>
  <si>
    <t>Influent TOC</t>
  </si>
  <si>
    <t>Determining Chlorine Dosage:</t>
  </si>
  <si>
    <t>1. Determine initial chlorine demand of Ammonia present in treated wastewater</t>
  </si>
  <si>
    <t>2. Calculate the allowance needed to account for chlorine decay</t>
  </si>
  <si>
    <t>3. Requirede Chlorine residual for each organism type</t>
  </si>
  <si>
    <t>3. Free chlorine concentration</t>
  </si>
  <si>
    <t>1. NH4+-N concentration</t>
  </si>
  <si>
    <t>2. Chlorine Decay</t>
  </si>
  <si>
    <r>
      <t>Available (mg Cl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/L)</t>
    </r>
  </si>
  <si>
    <r>
      <t>Dose (mg Cl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/L)</t>
    </r>
  </si>
  <si>
    <t>t10 (hr)</t>
  </si>
  <si>
    <t>time (min)</t>
  </si>
  <si>
    <t>Estimate Chlorine Decay</t>
  </si>
  <si>
    <t>Chlorine decay constant</t>
  </si>
  <si>
    <t>GPS-X</t>
  </si>
  <si>
    <t>Estimated Dose</t>
  </si>
  <si>
    <t>Should equal the target residual</t>
  </si>
  <si>
    <t>Instantaneous demand of TOC</t>
  </si>
  <si>
    <t>1. Insatantaneous TOC demand</t>
  </si>
  <si>
    <t>mgN/L</t>
  </si>
  <si>
    <t>mgCl2/L</t>
  </si>
  <si>
    <t>CT (based on free chlorine)</t>
  </si>
  <si>
    <t>Protazoa are considered not to be destroyed via chlorination.</t>
  </si>
  <si>
    <t>A chlorine residual needs to be established between 0.5 and 2.5 mg/L.</t>
  </si>
  <si>
    <t>Given the residual requirement it makes sense to seek 4-log reduction via chlorination for viruses and bacteria given the insignificant additional chlorine demand to reach this standard.</t>
  </si>
  <si>
    <t>VSS/TSS</t>
  </si>
  <si>
    <t>UV Dose Calculations</t>
  </si>
  <si>
    <t>User Input Values</t>
  </si>
  <si>
    <t xml:space="preserve">Parameter </t>
  </si>
  <si>
    <t>user specified</t>
  </si>
  <si>
    <t>based on commercial unit size</t>
  </si>
  <si>
    <t>Calculate delivered UV lamp intensity from nominal intensity*</t>
  </si>
  <si>
    <t>Target design dose</t>
  </si>
  <si>
    <t>Tchobanoglous et al. 2014</t>
  </si>
  <si>
    <t>Quartz sleeve transmittance (Ft)</t>
  </si>
  <si>
    <t>Aging Factor (Fp)</t>
  </si>
  <si>
    <t>delivered intensity</t>
  </si>
  <si>
    <t>duration of UV exposure (reasonable range 2-21 seconds (Qasim 1999))</t>
  </si>
  <si>
    <t>Calculated Dose</t>
  </si>
  <si>
    <t>should be close to 'Target design dose'</t>
  </si>
  <si>
    <t>[Virus]</t>
  </si>
  <si>
    <t>[protozoa]</t>
  </si>
  <si>
    <t>[Bacteria]</t>
  </si>
  <si>
    <t>LRT Target</t>
  </si>
  <si>
    <t>Technology</t>
  </si>
  <si>
    <t>Log Reduction</t>
  </si>
  <si>
    <t>Associated Dose</t>
  </si>
  <si>
    <t>Dose Units</t>
  </si>
  <si>
    <t>Log Reduction Source</t>
  </si>
  <si>
    <t>Membrane bioreactor</t>
  </si>
  <si>
    <t>n/a</t>
  </si>
  <si>
    <t>Advanced Oxidation, Ozone</t>
  </si>
  <si>
    <t>see link</t>
  </si>
  <si>
    <t>Volume of Cl disinfection tank</t>
  </si>
  <si>
    <r>
      <t>m</t>
    </r>
    <r>
      <rPr>
        <vertAlign val="superscript"/>
        <sz val="11"/>
        <color theme="1"/>
        <rFont val="Calibri"/>
        <family val="2"/>
        <scheme val="minor"/>
      </rPr>
      <t>3</t>
    </r>
  </si>
  <si>
    <t>minutes (15 is minimum BGLUMR 2014)</t>
  </si>
  <si>
    <t xml:space="preserve">3. Select target free chlorine residual </t>
  </si>
  <si>
    <t>Estimated Dose (as available Cl)</t>
  </si>
  <si>
    <t>Target Residual Achieved based on above dosage</t>
  </si>
  <si>
    <t>mg/L free chlorine</t>
  </si>
  <si>
    <t>NaOCl Solution Strength</t>
  </si>
  <si>
    <t>Associated NaOCl Dosage (mg/L)</t>
  </si>
  <si>
    <r>
      <t>mgCl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/L</t>
    </r>
  </si>
  <si>
    <r>
      <t>mgCl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/L</t>
    </r>
  </si>
  <si>
    <r>
      <t>Total Cl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Dose (enter manually)</t>
    </r>
  </si>
  <si>
    <t>GPS-X output</t>
  </si>
  <si>
    <t>calculated UV absorbance at 254nm</t>
  </si>
  <si>
    <t>*Calculation method from GPS-X technical reference</t>
  </si>
  <si>
    <t>*Excludes instantaneous demand</t>
  </si>
  <si>
    <t>Soluble Inert COD</t>
  </si>
  <si>
    <t>Solids Disposal</t>
  </si>
  <si>
    <t>LCI Quantity</t>
  </si>
  <si>
    <t>BOD5</t>
  </si>
  <si>
    <t>gpm</t>
  </si>
  <si>
    <t>Equalization tank allows for treatment of a consistent flowrate</t>
  </si>
  <si>
    <t>Electricity Consumption</t>
  </si>
  <si>
    <t>Power</t>
  </si>
  <si>
    <t>kW</t>
  </si>
  <si>
    <t>Hours per year</t>
  </si>
  <si>
    <t>kWh/m3</t>
  </si>
  <si>
    <t>$/yr</t>
  </si>
  <si>
    <t>$/unit</t>
  </si>
  <si>
    <t>Annual NaOCl Requirement</t>
  </si>
  <si>
    <t>Electricity Use</t>
  </si>
  <si>
    <t>Equalization</t>
  </si>
  <si>
    <t>Hour</t>
  </si>
  <si>
    <t>Percent of Daily Flow</t>
  </si>
  <si>
    <t>Gallons per Hour (GPH)</t>
  </si>
  <si>
    <t>Volume of Equalization Tank</t>
  </si>
  <si>
    <t>ft</t>
  </si>
  <si>
    <t>FLOW difference</t>
  </si>
  <si>
    <t>Gallons per hour</t>
  </si>
  <si>
    <t>Cumulative Flow (gal)</t>
  </si>
  <si>
    <t>Avg. Flow Accumulation (gal)</t>
  </si>
  <si>
    <t>gallons</t>
  </si>
  <si>
    <t>Dimension (square)</t>
  </si>
  <si>
    <t>Sodium Hypochlorite s.g.</t>
  </si>
  <si>
    <t>s.g. @68*F</t>
  </si>
  <si>
    <t>JCI Jones Chem Sheet</t>
  </si>
  <si>
    <t>m3/year</t>
  </si>
  <si>
    <t>Amp</t>
  </si>
  <si>
    <t>Volt</t>
  </si>
  <si>
    <t xml:space="preserve">Current </t>
  </si>
  <si>
    <t>Draw</t>
  </si>
  <si>
    <t>Energy Usage Summary</t>
  </si>
  <si>
    <t>Aeration Power</t>
  </si>
  <si>
    <t>Pumping Power</t>
  </si>
  <si>
    <t>Mixing Power</t>
  </si>
  <si>
    <t>Heating Power</t>
  </si>
  <si>
    <t>Other Power</t>
  </si>
  <si>
    <t>Total Power</t>
  </si>
  <si>
    <t>Equalization (out)</t>
  </si>
  <si>
    <t>Fine Screen (xscreeneff)</t>
  </si>
  <si>
    <t>AeMBR (ovf)</t>
  </si>
  <si>
    <t>UV (eff)</t>
  </si>
  <si>
    <t>Layout Total</t>
  </si>
  <si>
    <t>Power (continuous)</t>
  </si>
  <si>
    <t>kWh/year</t>
  </si>
  <si>
    <t>Aeration Energy</t>
  </si>
  <si>
    <t>Percent of total airflow</t>
  </si>
  <si>
    <t>Head</t>
  </si>
  <si>
    <t>meters</t>
  </si>
  <si>
    <t>Permeate Flow</t>
  </si>
  <si>
    <t>m3/sec</t>
  </si>
  <si>
    <t>Pump Efficiency</t>
  </si>
  <si>
    <t>Gravity</t>
  </si>
  <si>
    <t>m/s2</t>
  </si>
  <si>
    <t>Hours of Operation</t>
  </si>
  <si>
    <t>Sludge</t>
  </si>
  <si>
    <t>*Assumes s.g. of 1.4 and continuous pumping</t>
  </si>
  <si>
    <t>Tarallo, S.; Shaw, A.; Kohl, P.; Eschborn, R. A Guide to Net-Zero Energy Solutions for Water Resource Recovery Facilities; WERF ENER1C12; IWA Publishing: London, UK, 2015; p 440.</t>
  </si>
  <si>
    <t>Tarallo et al. 2015</t>
  </si>
  <si>
    <t>Note/Source</t>
  </si>
  <si>
    <t>standard pump efficiency (Tarallo et al. 2015)</t>
  </si>
  <si>
    <t>assumed</t>
  </si>
  <si>
    <t>assumed continuous</t>
  </si>
  <si>
    <t>CAPDET Method</t>
  </si>
  <si>
    <t>GPS-X input, calculated</t>
  </si>
  <si>
    <t>Harris, R.W.; Cullinane, M. J.; Sun, P. T. Process Design and Cost Estimating Algorithms for the Computer Assisted Procedure for Design and Evaluation of Wastewater Treatment Systems (CAPDET); U.S. Environmental Protection Agency PB82-190455; U.S. Environmental Protection Agency: Washington, D.C., 1982; p 1700.</t>
  </si>
  <si>
    <t>Harris et al. 1982</t>
  </si>
  <si>
    <t>Atlantic Ultraviolet 2007</t>
  </si>
  <si>
    <t>Atlantic Ultraviolet. 2007. Sanitron Ultraviolet Water Purifiers. https://www.freshwatersystems.com/specifications/sanitronfamilyinfo.pdf. Accessed 2/6/2018</t>
  </si>
  <si>
    <t>Specifications for GE ZeeWeed 500D Modules and Cassettes</t>
  </si>
  <si>
    <t>ZeeWeed 500D</t>
  </si>
  <si>
    <t>Membrane Material</t>
  </si>
  <si>
    <t>PVDF</t>
  </si>
  <si>
    <t>Nominal Pore Size</t>
  </si>
  <si>
    <t>µm</t>
  </si>
  <si>
    <t>Membrane outer diameter</t>
  </si>
  <si>
    <t>Membrane inner diameter</t>
  </si>
  <si>
    <t>Module nominal membrane surface area</t>
  </si>
  <si>
    <t>ft2</t>
  </si>
  <si>
    <t>Module height</t>
  </si>
  <si>
    <t>Module width</t>
  </si>
  <si>
    <t>Module depth</t>
  </si>
  <si>
    <t>Calculation of PVDF Mass in Membranes</t>
  </si>
  <si>
    <t>Note: Does not subtract volume of pores</t>
  </si>
  <si>
    <t>Aerobic MBR</t>
  </si>
  <si>
    <t>Membrane surface area (m2)</t>
  </si>
  <si>
    <t>Circumference of fiber (m)</t>
  </si>
  <si>
    <t>Length of fiber required to equal membrane surface area (m)</t>
  </si>
  <si>
    <t>Cross-sectional area of fiber (m2)</t>
  </si>
  <si>
    <t>Total fiber volume (m3)</t>
  </si>
  <si>
    <t>Density PVDF (g/cm3)</t>
  </si>
  <si>
    <t>Mass of PVDF in 1 cassette (kg)</t>
  </si>
  <si>
    <t>GE Z-MOD L Packaged LeapMBR plant</t>
  </si>
  <si>
    <t>Membrane Area, Necessary</t>
  </si>
  <si>
    <t>Membrane Area, Installed</t>
  </si>
  <si>
    <t>Sodium Hypochlorite</t>
  </si>
  <si>
    <t>Sodium Hypolchlorite Use</t>
  </si>
  <si>
    <t>based on power requirements of Stenner Peristaltic, Chemical Feed Pump (assuming liquid NaOCl solution, i.e. not generated onsite)</t>
  </si>
  <si>
    <t>Atlantic Ultraviolet 2007 for 40 GPM unit</t>
  </si>
  <si>
    <t>Aeration Energy Estimate</t>
  </si>
  <si>
    <t xml:space="preserve">O2 = </t>
  </si>
  <si>
    <t>lb/hr</t>
  </si>
  <si>
    <t>STE</t>
  </si>
  <si>
    <t>lb O2/hp-hr</t>
  </si>
  <si>
    <r>
      <t>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Transfer Waste/O2 transfer water</t>
    </r>
  </si>
  <si>
    <t>fraction</t>
  </si>
  <si>
    <t>Oxygen Requirement</t>
  </si>
  <si>
    <t>mg/L/hour</t>
  </si>
  <si>
    <t>O2 saturation</t>
  </si>
  <si>
    <t>mg/L @ 23*C</t>
  </si>
  <si>
    <t>OTE</t>
  </si>
  <si>
    <t>Aeration Horsepower</t>
  </si>
  <si>
    <t>HP</t>
  </si>
  <si>
    <t>Specified Horsepower</t>
  </si>
  <si>
    <t>Motor Efficiency</t>
  </si>
  <si>
    <t>CAPDET</t>
  </si>
  <si>
    <t>* Motors Operate 90% of the time</t>
  </si>
  <si>
    <t>Screenings</t>
  </si>
  <si>
    <t>ft3/year</t>
  </si>
  <si>
    <t>Unit Mass</t>
  </si>
  <si>
    <t>kg</t>
  </si>
  <si>
    <t>Impero and Hammler 2015</t>
  </si>
  <si>
    <t>from U.S. EPA 2003</t>
  </si>
  <si>
    <t>Energy Requirement, Screening</t>
  </si>
  <si>
    <t>kwh/yr</t>
  </si>
  <si>
    <t>Screening Generation and Disposal</t>
  </si>
  <si>
    <t>Plant Location</t>
  </si>
  <si>
    <r>
      <t>Screenings Generation (ft</t>
    </r>
    <r>
      <rPr>
        <b/>
        <vertAlign val="superscript"/>
        <sz val="12"/>
        <rFont val="Calibri"/>
        <family val="2"/>
        <scheme val="minor"/>
      </rPr>
      <t>3</t>
    </r>
    <r>
      <rPr>
        <b/>
        <sz val="12"/>
        <rFont val="Calibri"/>
        <family val="2"/>
        <scheme val="minor"/>
      </rPr>
      <t>/Mgal)</t>
    </r>
  </si>
  <si>
    <t>Uniontown, PA</t>
  </si>
  <si>
    <t>East Hartford, CT</t>
  </si>
  <si>
    <t>Duluth, MN</t>
  </si>
  <si>
    <t>Lamberts Point WWCP, VA</t>
  </si>
  <si>
    <t>Village Creek WWTP, TX</t>
  </si>
  <si>
    <t>County of Milwaukee, WI</t>
  </si>
  <si>
    <t>Twin Cities Metro, MN</t>
  </si>
  <si>
    <t>Chicago, IL</t>
  </si>
  <si>
    <t>Average</t>
  </si>
  <si>
    <t>LCCA Value</t>
  </si>
  <si>
    <t>Cost Category</t>
  </si>
  <si>
    <t>Quantity</t>
  </si>
  <si>
    <t>Quantity Units</t>
  </si>
  <si>
    <t>Value Units</t>
  </si>
  <si>
    <t>Cost Units</t>
  </si>
  <si>
    <t>Lifespan</t>
  </si>
  <si>
    <t>Cost Source</t>
  </si>
  <si>
    <t>Lifespan Reference</t>
  </si>
  <si>
    <t>Annual, Energy</t>
  </si>
  <si>
    <t>n.a.</t>
  </si>
  <si>
    <t>Floating Aerator/Mixer</t>
  </si>
  <si>
    <t>units/installation</t>
  </si>
  <si>
    <t>$/lifespan</t>
  </si>
  <si>
    <t>Direct Cost</t>
  </si>
  <si>
    <t>Indirect Cost</t>
  </si>
  <si>
    <t>Concrete material</t>
  </si>
  <si>
    <t>m3/tank</t>
  </si>
  <si>
    <t>$/m3</t>
  </si>
  <si>
    <t>RSMeans</t>
  </si>
  <si>
    <t>CAPDET, structural</t>
  </si>
  <si>
    <t>Installation</t>
  </si>
  <si>
    <t>Rebar material</t>
  </si>
  <si>
    <t>short tons/installation</t>
  </si>
  <si>
    <t>$/short ton</t>
  </si>
  <si>
    <t>Forms</t>
  </si>
  <si>
    <t>ft2/installation</t>
  </si>
  <si>
    <t>Form Installation</t>
  </si>
  <si>
    <t>Equipment &amp; Installation</t>
  </si>
  <si>
    <t>Units per Installation</t>
  </si>
  <si>
    <t>$/installation</t>
  </si>
  <si>
    <t>Blowers</t>
  </si>
  <si>
    <t>Blower Installation</t>
  </si>
  <si>
    <t>Membrane System</t>
  </si>
  <si>
    <t>$/m2</t>
  </si>
  <si>
    <t>CAPDET, membrane</t>
  </si>
  <si>
    <t>Permeate Pumps</t>
  </si>
  <si>
    <t>$/pump</t>
  </si>
  <si>
    <t>CAPDET, Pumps</t>
  </si>
  <si>
    <t>Pump Installation</t>
  </si>
  <si>
    <t>Fine Diffusers</t>
  </si>
  <si>
    <t>Coarse Diffusers</t>
  </si>
  <si>
    <t>Diffuser System</t>
  </si>
  <si>
    <t>Air Distribution Ancillary Cost</t>
  </si>
  <si>
    <t>capital cost</t>
  </si>
  <si>
    <t>labor hours</t>
  </si>
  <si>
    <t>$/hour</t>
  </si>
  <si>
    <t>Air Piping</t>
  </si>
  <si>
    <t>$/ft2</t>
  </si>
  <si>
    <t>Minor Costs</t>
  </si>
  <si>
    <t>of TBCC</t>
  </si>
  <si>
    <t>Chlorinator</t>
  </si>
  <si>
    <t>Capital, Pumps and Injector</t>
  </si>
  <si>
    <t>equipment</t>
  </si>
  <si>
    <t>U.S. EPA 2002</t>
  </si>
  <si>
    <t>Basin Direct Cost</t>
  </si>
  <si>
    <t>Basin Indirect Cost</t>
  </si>
  <si>
    <t>Capital, Purchased Equipment</t>
  </si>
  <si>
    <t>UV Unit</t>
  </si>
  <si>
    <t>Manufacturer Website</t>
  </si>
  <si>
    <t>CAPDET UV structural</t>
  </si>
  <si>
    <t>Annual, Material</t>
  </si>
  <si>
    <t>bulb</t>
  </si>
  <si>
    <t>CAPDET, lamps</t>
  </si>
  <si>
    <t>quartz sleeve</t>
  </si>
  <si>
    <t>CAPDET, quartz sleeves</t>
  </si>
  <si>
    <t>Annual, Electricity</t>
  </si>
  <si>
    <t>Treated Effluent Storage</t>
  </si>
  <si>
    <t>tanks</t>
  </si>
  <si>
    <t>Capital Costs</t>
  </si>
  <si>
    <t>Cost year</t>
  </si>
  <si>
    <t>Direct Cost Elements</t>
  </si>
  <si>
    <t>Direct Cost Factor</t>
  </si>
  <si>
    <t>Membrane System Cost</t>
  </si>
  <si>
    <t>Mobilization</t>
  </si>
  <si>
    <t>Standard 550 scfm Swing Arm Diffuser</t>
  </si>
  <si>
    <t>$</t>
  </si>
  <si>
    <t>Site Preparation</t>
  </si>
  <si>
    <t>Standard 3000 gpm Pump and Driver Unit</t>
  </si>
  <si>
    <t>Site Electrical</t>
  </si>
  <si>
    <t>Yard Piping</t>
  </si>
  <si>
    <t>Instrumentation and Control</t>
  </si>
  <si>
    <t>Lab and Administration Building</t>
  </si>
  <si>
    <t>Indirect Cost Elements</t>
  </si>
  <si>
    <t>Indirect Cost Factor</t>
  </si>
  <si>
    <t>Miscellaneous Costs</t>
  </si>
  <si>
    <t>Legal Costs</t>
  </si>
  <si>
    <t>Engineering Design Fee</t>
  </si>
  <si>
    <t>Inspection Costs</t>
  </si>
  <si>
    <t>Contingency</t>
  </si>
  <si>
    <t>Technical</t>
  </si>
  <si>
    <t>Profit</t>
  </si>
  <si>
    <t>LCI</t>
  </si>
  <si>
    <t>Unit Process</t>
  </si>
  <si>
    <t>Input/Output</t>
  </si>
  <si>
    <t>Annual Quantity</t>
  </si>
  <si>
    <t>Quantity per m3</t>
  </si>
  <si>
    <t>Operation Energy</t>
  </si>
  <si>
    <t>Screening Disposal</t>
  </si>
  <si>
    <t>Steel</t>
  </si>
  <si>
    <t>Screen</t>
  </si>
  <si>
    <t>Tank</t>
  </si>
  <si>
    <t>Mixing and Aeration</t>
  </si>
  <si>
    <t>Contact Basin</t>
  </si>
  <si>
    <t>Contact Basin Rebar</t>
  </si>
  <si>
    <t>Chlorine pumping/injection</t>
  </si>
  <si>
    <t>kwh</t>
  </si>
  <si>
    <t>kg NaOCl</t>
  </si>
  <si>
    <t>Basin</t>
  </si>
  <si>
    <t>HDPE</t>
  </si>
  <si>
    <t>Polyvinyl Fluoride</t>
  </si>
  <si>
    <t>Membrane</t>
  </si>
  <si>
    <t>Membrane Cleaning</t>
  </si>
  <si>
    <t>MBR Operation</t>
  </si>
  <si>
    <t>Methane</t>
  </si>
  <si>
    <t>Process Emissions</t>
  </si>
  <si>
    <r>
      <t>N</t>
    </r>
    <r>
      <rPr>
        <vertAlign val="subscript"/>
        <sz val="12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>O</t>
    </r>
  </si>
  <si>
    <t>UV system</t>
  </si>
  <si>
    <t>Storage</t>
  </si>
  <si>
    <t>Equalization Basin Construction</t>
  </si>
  <si>
    <t>Average Wetted Volume</t>
  </si>
  <si>
    <t>Wall Height</t>
  </si>
  <si>
    <t>Wall Length</t>
  </si>
  <si>
    <t>Wall Thickness</t>
  </si>
  <si>
    <t>m (9 inches)</t>
  </si>
  <si>
    <t>Top/Bottom thickness</t>
  </si>
  <si>
    <t>m (12 inches)</t>
  </si>
  <si>
    <t>Slab Length</t>
  </si>
  <si>
    <t>Slab Width</t>
  </si>
  <si>
    <t>Wall Count</t>
  </si>
  <si>
    <t>Slab Count</t>
  </si>
  <si>
    <t>Wall A Area</t>
  </si>
  <si>
    <t>Wall A Volume</t>
  </si>
  <si>
    <t>Bottom Volume</t>
  </si>
  <si>
    <t>Total Concrete Volume</t>
  </si>
  <si>
    <t>Concrete Density</t>
  </si>
  <si>
    <t>Tank Lifespan</t>
  </si>
  <si>
    <t>years</t>
  </si>
  <si>
    <t>Concrete Mass</t>
  </si>
  <si>
    <t>Rebar spacing</t>
  </si>
  <si>
    <t>m (center on center)</t>
  </si>
  <si>
    <t>Rebar Length</t>
  </si>
  <si>
    <t>rebar weight</t>
  </si>
  <si>
    <t>Total Volume</t>
  </si>
  <si>
    <t>Short Wall Height</t>
  </si>
  <si>
    <t>Short Wall Length</t>
  </si>
  <si>
    <t>Long Wall Height</t>
  </si>
  <si>
    <t>Long Wall Length</t>
  </si>
  <si>
    <t>m (4 inches)</t>
  </si>
  <si>
    <t>m (6 inches)</t>
  </si>
  <si>
    <t>Top/Bottom Length</t>
  </si>
  <si>
    <t>Top/Bottom Width</t>
  </si>
  <si>
    <t>Long Wall Count</t>
  </si>
  <si>
    <t>Short Wall Count</t>
  </si>
  <si>
    <t>count (includes internal partition)</t>
  </si>
  <si>
    <t>Top/Bottom Count</t>
  </si>
  <si>
    <t>Wall area</t>
  </si>
  <si>
    <t>Short Wall Volume</t>
  </si>
  <si>
    <t>Long Wall Volume</t>
  </si>
  <si>
    <t>Top/Bottom Volume</t>
  </si>
  <si>
    <t>Pipe Lifespan</t>
  </si>
  <si>
    <t>Piping Length</t>
  </si>
  <si>
    <t>Pipe weight</t>
  </si>
  <si>
    <t>for linked calculations see RVFW Workbook</t>
  </si>
  <si>
    <t>UV Unit (40 GPM)</t>
  </si>
  <si>
    <t>Biological SOTE</t>
  </si>
  <si>
    <t>per foot submergence</t>
  </si>
  <si>
    <t>Cross-flow SOTE</t>
  </si>
  <si>
    <t>Sanitaire 2014</t>
  </si>
  <si>
    <t>Length</t>
  </si>
  <si>
    <t>Width</t>
  </si>
  <si>
    <t>Diffuser Height</t>
  </si>
  <si>
    <t>above floor</t>
  </si>
  <si>
    <t>total</t>
  </si>
  <si>
    <t>Backflush Flux</t>
  </si>
  <si>
    <t>Backflush Flow</t>
  </si>
  <si>
    <t>gpd</t>
  </si>
  <si>
    <t>Filter Press (filtrate)</t>
  </si>
  <si>
    <t>Permeate Pump Energy Calculation</t>
  </si>
  <si>
    <t>Miscellaneous Energy Use</t>
  </si>
  <si>
    <t>kWh per year</t>
  </si>
  <si>
    <t xml:space="preserve">*25% of aeration, permeate pumping and sludge pumping energy. </t>
  </si>
  <si>
    <t>Tank Storage</t>
  </si>
  <si>
    <t>gallon</t>
  </si>
  <si>
    <t>Tank Quantity</t>
  </si>
  <si>
    <t>Tank Mass</t>
  </si>
  <si>
    <t>Total tank mass</t>
  </si>
  <si>
    <t>Tank Depot Website</t>
  </si>
  <si>
    <t>Unit Construction</t>
  </si>
  <si>
    <t>Wall A Length</t>
  </si>
  <si>
    <t>Wall B Length</t>
  </si>
  <si>
    <t>Train 1</t>
  </si>
  <si>
    <t>m (1.5 ft)</t>
  </si>
  <si>
    <t>Train 2</t>
  </si>
  <si>
    <t>Wall A Count</t>
  </si>
  <si>
    <t>Wall B Count</t>
  </si>
  <si>
    <t>Train 3</t>
  </si>
  <si>
    <t>Wall B Area</t>
  </si>
  <si>
    <t>Wall B Volume</t>
  </si>
  <si>
    <t>Diffuser Quantity Estimation</t>
  </si>
  <si>
    <t>Combined Airflow</t>
  </si>
  <si>
    <t>Blower Capacity per tank</t>
  </si>
  <si>
    <t>Installed Blower Capacity</t>
  </si>
  <si>
    <t>scfm</t>
  </si>
  <si>
    <t>Required Biological Airflow</t>
  </si>
  <si>
    <t>Required Scour Airflow</t>
  </si>
  <si>
    <t>Fine Bubble Diffusers (2 scfm)</t>
  </si>
  <si>
    <t>Coarse Bubble Diffusers (12 scfm)</t>
  </si>
  <si>
    <t>Installed Fine Bubble Diffusers (2 scfm)</t>
  </si>
  <si>
    <t>Installed Coarse Bubble Diffusers (12 scfm)</t>
  </si>
  <si>
    <t>CAPDET, Process Equipment</t>
  </si>
  <si>
    <t>CAPDET, Diffuser</t>
  </si>
  <si>
    <t>CAPDET, mechanical aerator</t>
  </si>
  <si>
    <t>CAPDET, swing arm diffuser</t>
  </si>
  <si>
    <t>CAPDET, Structural</t>
  </si>
  <si>
    <r>
      <t>Unit Mass</t>
    </r>
    <r>
      <rPr>
        <b/>
        <vertAlign val="superscript"/>
        <sz val="12"/>
        <rFont val="Calibri"/>
        <family val="2"/>
        <scheme val="minor"/>
      </rPr>
      <t>1</t>
    </r>
  </si>
  <si>
    <r>
      <rPr>
        <vertAlign val="superscript"/>
        <sz val="12"/>
        <rFont val="Calibri"/>
        <family val="2"/>
        <scheme val="minor"/>
      </rPr>
      <t>1</t>
    </r>
    <r>
      <rPr>
        <sz val="12"/>
        <rFont val="Calibri"/>
        <family val="2"/>
        <scheme val="minor"/>
      </rPr>
      <t xml:space="preserve"> Two units</t>
    </r>
  </si>
  <si>
    <t>Atlantic Ultraviolet 2007 for 40 GPM unit, mass of 2 units</t>
  </si>
  <si>
    <t>L/cassette</t>
  </si>
  <si>
    <t>m2/cassette</t>
  </si>
  <si>
    <t>L/m2/yr</t>
  </si>
  <si>
    <t>Density of 12.5% wt NaOCl</t>
  </si>
  <si>
    <t>Greenhouse Gas Emission Calculations</t>
  </si>
  <si>
    <t>Proposed EF</t>
  </si>
  <si>
    <t>System Level</t>
  </si>
  <si>
    <t>Influent TKN to reactor (mg/L)</t>
  </si>
  <si>
    <t>Influent Flow to reactor (MGD)</t>
  </si>
  <si>
    <t>Influent TKN to reactor (g/yr)</t>
  </si>
  <si>
    <r>
      <t>% Emitted as N2O</t>
    </r>
    <r>
      <rPr>
        <b/>
        <vertAlign val="superscript"/>
        <sz val="12"/>
        <color theme="1"/>
        <rFont val="Calibri"/>
        <family val="2"/>
        <scheme val="minor"/>
      </rPr>
      <t>1</t>
    </r>
  </si>
  <si>
    <t>Basis for N2O EF selection</t>
  </si>
  <si>
    <t>kg N2O/yr</t>
  </si>
  <si>
    <t>Influent BOD (mg/L)</t>
  </si>
  <si>
    <t>MCF</t>
  </si>
  <si>
    <t>kg CH4/yr</t>
  </si>
  <si>
    <t>Chandran 2012</t>
  </si>
  <si>
    <t>Plug Flow Aerobic Reactors</t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</si>
  <si>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Based on N2O emissions factors of four plug-flow aerobic treatment processes from Chandran (2012). No data for CSTR reactors is available.</t>
    </r>
  </si>
  <si>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Methane Correction Factor is assumed equal to the midpoint of the uncertainty range, 0 to 0.1, for a well-managed aerobic treatment plant (IPCC 2006).</t>
    </r>
  </si>
  <si>
    <t>Influent TKN</t>
  </si>
  <si>
    <t>Influent BOD</t>
  </si>
  <si>
    <t>mg N/L</t>
  </si>
  <si>
    <t>kg CH4/kg BOD</t>
  </si>
  <si>
    <t>theoretical maximum production</t>
  </si>
  <si>
    <t>NaOCl , 15%, Solution Strength</t>
  </si>
  <si>
    <t>available chlorine by wt</t>
  </si>
  <si>
    <t>kg NaOCl, 15% solution (in ecoinvent)</t>
  </si>
  <si>
    <r>
      <rPr>
        <u/>
        <vertAlign val="superscript"/>
        <sz val="12"/>
        <color theme="10"/>
        <rFont val="Times New Roman"/>
        <family val="1"/>
      </rPr>
      <t>1</t>
    </r>
    <r>
      <rPr>
        <u/>
        <sz val="12"/>
        <color theme="10"/>
        <rFont val="Times New Roman"/>
        <family val="2"/>
      </rPr>
      <t xml:space="preserve"> definition of relationship between wt NaOCl and free chlorine</t>
    </r>
  </si>
  <si>
    <t>mg NaOCl, 15% solution/L</t>
  </si>
  <si>
    <t>Annual NaOCl, 15% solution (ecoinvent)</t>
  </si>
  <si>
    <t>sodium hypochlorite by wt</t>
  </si>
  <si>
    <t>calculated, converts 12.5% solution to 15% solution (for ecoinvent)</t>
  </si>
  <si>
    <t>Sludge Disposal</t>
  </si>
  <si>
    <t>to Central WWTP</t>
  </si>
  <si>
    <t>kg/m</t>
  </si>
  <si>
    <t>Sodium hypochlorite</t>
  </si>
  <si>
    <t>kg/yr</t>
  </si>
  <si>
    <t>$/kg</t>
  </si>
  <si>
    <t>UV Installation</t>
  </si>
  <si>
    <t>of equipment cost</t>
  </si>
  <si>
    <t>Chlorine Requirement</t>
  </si>
  <si>
    <t>lb Cl/day</t>
  </si>
  <si>
    <t>Tank Installation</t>
  </si>
  <si>
    <t>Sludge Pumps</t>
  </si>
  <si>
    <t>Sludge Pump Install</t>
  </si>
  <si>
    <t>U.S. EPA 2003</t>
  </si>
  <si>
    <t>U.S. EPA. Wastewater Technology Fact Sheet, Screening and Grit Removal. (2003).</t>
  </si>
  <si>
    <t>AeMBR - District Scale, Graywater</t>
  </si>
  <si>
    <t>Life Cycle Inventory Development: AeMBR, District Scale, Treating Graywater (0.031 MGD)</t>
  </si>
  <si>
    <t>copied out of GPS-X</t>
  </si>
  <si>
    <t>BGLUMR 2014</t>
  </si>
  <si>
    <t>(BGLUMR) Board, G. L.-U. M. R. Recommended Standards for Wastewater Facilities; 2014.</t>
  </si>
  <si>
    <t>Brake 2007</t>
  </si>
  <si>
    <t>Brake, P. A Bug’s-Eye-View of the BOD Test; 2007.</t>
  </si>
  <si>
    <t>Chandran, K. 2012. Greenhouse Nitrogen Emissions from Wastewater Treatment Operation: Phase I. Water Environment Research Foundation.</t>
  </si>
  <si>
    <t>GE Power &amp; Water 2014</t>
  </si>
  <si>
    <t>GE Power &amp; Water. Z-MOD L Packaged Plants: MBR Platform Systems Featuring LEAPmbr Technology. General Electric 2014.</t>
  </si>
  <si>
    <t>Hiltunen et al. 2002</t>
  </si>
  <si>
    <t>Hiltunen, T., Summers, P. &amp; Robinson, R. B. Small Public Water System Technology Guide Volume II: (2002). Available at: http://www.unh.edu/wttac/WTTAC_Water_Tech_Guide_Vol2/.</t>
  </si>
  <si>
    <t>Hydromantis 2014</t>
  </si>
  <si>
    <t>Hydromantis. CAPDETWorks Version 3.0 Software: Rapid Design and Costing Solution for Wastewater Treatment Plants. (2014).</t>
  </si>
  <si>
    <t>Impero, J. &amp; Hammler, K. MBR Screening Part 2: Selecting an MBR screen. the MBR site (2015). Available at: http://www.thembrsite.com/features/mbr-screening-part-2-selecting-an-mbr-screen/.</t>
  </si>
  <si>
    <t>IPCC 2006</t>
  </si>
  <si>
    <t>IPCC. 2006. IPCC Guidelines for National Greenhouse Gas Inventories. Edited by Simon Eggleston, Leandro Buendia, Kyoko Miwa, Todd Ngara, and Kiyoto Tanabe. IGES, Japan: Intergovernmental Panel on Climate Change, National Greenhouse Gas Inventories Programme.</t>
  </si>
  <si>
    <t>Pirnie et al. 2006</t>
  </si>
  <si>
    <t>Pirnie, M., Linden, K. G. &amp; Malley, J. P. J. Ultraviolet disinfection guidance manual for the final long term 2 enhanced surface water treatment rule. 2, (2006).</t>
  </si>
  <si>
    <t>Sanitaire. Aeration Systems and Efficient Oxygen Transfer. (2014).</t>
  </si>
  <si>
    <t>Sharvelle et al. 2017</t>
  </si>
  <si>
    <t>Sharvelle, S.; Ashbolt, N.; Clerico, E.; Hultquist, R.; Leverenz, H.; Olivieri, A. Risk-Based Framework for the Development of Public Health Guidance for Decentralized Non-Potable Water Systems; 2017.</t>
  </si>
  <si>
    <t>Tchobanoglous, G. et al. Wastewater Engineering: Treatment and Resource Recovery. (McGraw-Hill Education, 2014).</t>
  </si>
  <si>
    <t>Qasim 1999</t>
  </si>
  <si>
    <t>Qasim, S. R. Wastewater Treatment Plants: Planning, Design, and Operation, 2nd ed.; CRC Press, 1999.</t>
  </si>
  <si>
    <t>Yoon, S.-H. Membrane Bioreactor Processes. (CRC Press, 2016).</t>
  </si>
  <si>
    <t>Fine Screening</t>
  </si>
  <si>
    <t>AeMBR, District Scale, Treating Graywater</t>
  </si>
  <si>
    <t>calculated, 45 second backflush every 10 minutes.</t>
  </si>
  <si>
    <t>Average of CAPDET Default and GE Eco-aeration.</t>
  </si>
  <si>
    <t>Reserve capacity = 50% of treatment capacity</t>
  </si>
  <si>
    <t>Graywater - AeMBR</t>
  </si>
  <si>
    <t>Surface area per cassette</t>
  </si>
  <si>
    <t>950L of 12.5% NaOCl is required for cleaning 1, 48 module membrane cassette (GE Power &amp; Water, 2014)</t>
  </si>
  <si>
    <r>
      <t>370 ft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/module, 48 modules per cassette (GE Power &amp; Water, 2014)</t>
    </r>
  </si>
  <si>
    <t>Fine Bubble, fraction of airflow</t>
  </si>
  <si>
    <t>Coarse Bubble, fraction of airflow</t>
  </si>
  <si>
    <t>scenario value</t>
  </si>
  <si>
    <r>
      <t xml:space="preserve">Sheet Description:  </t>
    </r>
    <r>
      <rPr>
        <sz val="11"/>
        <color theme="1"/>
        <rFont val="Calibri"/>
        <family val="2"/>
        <scheme val="minor"/>
      </rPr>
      <t>The calculations presented on this sheet estimate target chlorine residuals and conctact times (CT) based on free chlorine dosage (mg/L), instantaneous demand, and chlorine decay. A targeted free chlorine residual of 1 mg/L was selected based on the recommended range of 0.5-2.5 mg/L. Instantaneous demand of both TOC and Ammonia is calculated. Given the residual requirement and a standard contact time of 30 minutes achieving 4-log reduction of bacterial and viral pathogens does not lead to significant increases in chemical dosage. No log reduction of protozoa is assumed to occur.</t>
    </r>
  </si>
  <si>
    <t>m (1.0 ft)</t>
  </si>
  <si>
    <t>N to N2O</t>
  </si>
  <si>
    <t>stoichiometry</t>
  </si>
  <si>
    <t>Table of Contents</t>
  </si>
  <si>
    <t>GPS-X Model</t>
  </si>
  <si>
    <t>Exported GPS-X outputs</t>
  </si>
  <si>
    <t>Summary of LCI values developed in this workbook.</t>
  </si>
  <si>
    <t>LCC</t>
  </si>
  <si>
    <t>Summary of life cycle costs used to compile the LCCA.</t>
  </si>
  <si>
    <t>Calculation of LCI values for the equalization unit process.</t>
  </si>
  <si>
    <t>Calculation of LCI values for the fine screen unit process.</t>
  </si>
  <si>
    <t>Calculation of LCI values for the AeMBR unit process.</t>
  </si>
  <si>
    <t>Calculation of LCI values for the UV disinfection unit process.</t>
  </si>
  <si>
    <t>Chlorine</t>
  </si>
  <si>
    <t>Calculation of LCI values for the chlorination unit process.</t>
  </si>
  <si>
    <t>Documents sources used in workbook.</t>
  </si>
  <si>
    <t>Documents conversion factors used in workbook calculations.</t>
  </si>
  <si>
    <t>Ben Morelli and Sarah Cashman</t>
  </si>
  <si>
    <t>Life Cycle Costs</t>
  </si>
  <si>
    <t>Ratio between mixed WW/Graywater TSS</t>
  </si>
  <si>
    <t>Used to scale graywater screenings</t>
  </si>
  <si>
    <t>kg N2O/m3</t>
  </si>
  <si>
    <t>kg CH4/m3</t>
  </si>
  <si>
    <t>Martin et al. 2011 report surveyed MBR energy consumption of 0.6-1.2 kWh/m3 for MBRs operating at HRTs of &lt;12 hours.</t>
  </si>
  <si>
    <t>Krzeminski et al. 2012 reports a range of between 0.5 and 0.7 kWh/m3 for membrane related modules.</t>
  </si>
  <si>
    <t>Cornel and Krause 2004 report a range of 1-2 kWh/m3 (refers to full system)</t>
  </si>
  <si>
    <t>Cashman and Mosley 2016</t>
  </si>
  <si>
    <t>Cashman, S.; Mosley, J. Life Cycle Assessment and Cost Analysis of Water and Wastewater Treatment Options for Sustainability: Influence of Scale on Membrane Bioreactor Systems; Cincinnati, OH, 2016.</t>
  </si>
  <si>
    <t>Cornel and Krause 2004</t>
  </si>
  <si>
    <t>Cornel, P.; Krause, S. State of the Art of MBR in Europe. Tech. Note Natl. Inst. L. Infrastruct. Manag. 2004, 151–162.</t>
  </si>
  <si>
    <t>Krzeminski et al. 2012</t>
  </si>
  <si>
    <t>Krzeminski, P.; van der Graff, J. H.; van Lier, J. B. Specific Energy Consumption of Membrane Bioreactor (MBR) for Sewage Treatment. Water Sci. Technol. 2012, 65 (2), 380–392.</t>
  </si>
  <si>
    <t>Martin et al. 2011</t>
  </si>
  <si>
    <t>Martin, I.; Pidou, M.; Soares, A.; Judd, S.; Jefferson, B. Modelling the Energy Demands of Aerobic and Anaerobic Membrane Bioreactors for Wastewater Treatment. Environ. Technol. 2011, 32 (9), 921–932.</t>
  </si>
  <si>
    <r>
      <t xml:space="preserve">Sheet Description: </t>
    </r>
    <r>
      <rPr>
        <sz val="11"/>
        <color theme="1"/>
        <rFont val="Calibri"/>
        <family val="2"/>
        <scheme val="minor"/>
      </rPr>
      <t>The calculations presented on this sheet relate nominal bulb intensity to the delivered UV intensity and dosage. Dosages (in mJ/cm2) relate directly to target log reductions. Delivered UV intensity is determined by wastewater transmittance, bulb sleeve transmittance, lamp UV output, and a lamp aging factor. Dosage is calculated as the product of delivered UV intensity and the duration of UV exposure (in seconds). UV chamber diameter is fixed at 5 inches. Chamber length can be altered to meet a specific UV dose target. Regardless of the necessary LRT a minimum UV dosage of 30 mj/mc2 is applied whenever this technology is utilized (BGLUMR 2013).</t>
    </r>
  </si>
  <si>
    <r>
      <rPr>
        <b/>
        <sz val="11"/>
        <color theme="1"/>
        <rFont val="Calibri"/>
        <family val="2"/>
        <scheme val="minor"/>
      </rPr>
      <t xml:space="preserve">Unit Note: </t>
    </r>
    <r>
      <rPr>
        <sz val="11"/>
        <color theme="1"/>
        <rFont val="Calibri"/>
        <family val="2"/>
        <scheme val="minor"/>
      </rPr>
      <t>mW*sec/cm2 = mJ/cm2</t>
    </r>
  </si>
  <si>
    <t>Total LRV</t>
  </si>
  <si>
    <t>mj/cm2</t>
  </si>
  <si>
    <t>mg-min/L free chlorine (CT)</t>
  </si>
  <si>
    <t>Last updated:  6/11/2019</t>
  </si>
  <si>
    <t>Hidden</t>
  </si>
  <si>
    <t>Originally linked to excel file of GPS-X Model Output. Saved as static values in final workbook version.</t>
  </si>
  <si>
    <t>m3/d</t>
  </si>
  <si>
    <t>mgP/L</t>
  </si>
  <si>
    <t>mgCaCO3/L</t>
  </si>
  <si>
    <t>[m3]</t>
  </si>
  <si>
    <t>[m]</t>
  </si>
  <si>
    <t>kg/d</t>
  </si>
  <si>
    <t>MLSS</t>
  </si>
  <si>
    <t>MLVSS</t>
  </si>
  <si>
    <t>Nitrite N</t>
  </si>
  <si>
    <t>Nitrate N</t>
  </si>
  <si>
    <t>h</t>
  </si>
  <si>
    <t>DO</t>
  </si>
  <si>
    <t>Trans-Mem. Pressure</t>
  </si>
  <si>
    <t>kPa</t>
  </si>
  <si>
    <t>WAS Flow</t>
  </si>
  <si>
    <t>WAS Production</t>
  </si>
  <si>
    <t>Biological Air Flow</t>
  </si>
  <si>
    <t>m3/h</t>
  </si>
  <si>
    <t xml:space="preserve">Cleaning Air  Flow </t>
  </si>
  <si>
    <t>UV Contact Time</t>
  </si>
  <si>
    <t>min</t>
  </si>
  <si>
    <t>UV Dose</t>
  </si>
  <si>
    <t>(mW-s/cm2)</t>
  </si>
  <si>
    <t>Eff. Coliform Density</t>
  </si>
  <si>
    <t>MPN/100mL</t>
  </si>
  <si>
    <t>[gC/m3]</t>
  </si>
  <si>
    <t>Detention Time</t>
  </si>
  <si>
    <t>Chlorine Dosage</t>
  </si>
  <si>
    <t>Free Residual</t>
  </si>
  <si>
    <t>Total Residual</t>
  </si>
  <si>
    <t>Total Trihalomethane</t>
  </si>
  <si>
    <t>ppb</t>
  </si>
  <si>
    <t>[1/(COD.cm)]</t>
  </si>
  <si>
    <t>[mgCOD/L]</t>
  </si>
  <si>
    <t>Life Cycle Inventory Data Summary</t>
  </si>
  <si>
    <t>mg Cl2/ mg NH4+-N (Tchobanoglous et al. 2014)</t>
  </si>
  <si>
    <t>Energy Calculation from Harris (1982)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</si>
</sst>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_(* #,##0_);_(* \(#,##0\);_(* &quot;-&quot;??_);_(@_)"/>
    <numFmt numFmtId="167" formatCode="_(* #,##0.000_);_(* \(#,##0.000\);_(* &quot;-&quot;??_);_(@_)"/>
    <numFmt numFmtId="168" formatCode="_(* #,##0.0_);_(* \(#,##0.0\);_(* &quot;-&quot;??_);_(@_)"/>
    <numFmt numFmtId="169" formatCode="_(* #,##0.0000_);_(* \(#,##0.0000\);_(* &quot;-&quot;??_);_(@_)"/>
    <numFmt numFmtId="170" formatCode="0.0000"/>
    <numFmt numFmtId="171" formatCode="00"/>
    <numFmt numFmtId="172" formatCode="0.0E+0"/>
    <numFmt numFmtId="173" formatCode="0.0%"/>
    <numFmt numFmtId="174" formatCode="00.0"/>
    <numFmt numFmtId="175" formatCode="0.00E+0"/>
    <numFmt numFmtId="176" formatCode="_(&quot;$&quot;* #,##0_);_(&quot;$&quot;* \(#,##0\);_(&quot;$&quot;* &quot;-&quot;??_);_(@_)"/>
    <numFmt numFmtId="177" formatCode="0.0000%"/>
    <numFmt numFmtId="178" formatCode="000"/>
    <numFmt numFmtId="179" formatCode="0;0;&quot;-&quot;"/>
    <numFmt numFmtId="180" formatCode="0.000%"/>
  </numFmts>
  <fonts count="54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rgb="FF6B6B6B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sz val="22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i/>
      <sz val="11"/>
      <color theme="1" tint="0.34998626667073579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12"/>
      <name val="Calibri"/>
      <family val="2"/>
      <scheme val="minor"/>
    </font>
    <font>
      <vertAlign val="superscript"/>
      <sz val="12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2"/>
      <color theme="10"/>
      <name val="Times New Roman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vertAlign val="subscript"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vertAlign val="superscript"/>
      <sz val="12"/>
      <color theme="1"/>
      <name val="Calibri"/>
      <family val="2"/>
      <scheme val="minor"/>
    </font>
    <font>
      <u/>
      <sz val="12"/>
      <color theme="10"/>
      <name val="Times New Roman"/>
      <family val="1"/>
    </font>
    <font>
      <u/>
      <vertAlign val="superscript"/>
      <sz val="12"/>
      <color theme="10"/>
      <name val="Times New Roman"/>
      <family val="1"/>
    </font>
    <font>
      <i/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CF5D5"/>
        <bgColor indexed="64"/>
      </patternFill>
    </fill>
    <fill>
      <patternFill patternType="solid">
        <fgColor rgb="FFF1D130"/>
        <bgColor indexed="64"/>
      </patternFill>
    </fill>
    <fill>
      <patternFill patternType="solid">
        <fgColor rgb="FFF9ECA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theme="9" tint="0.39994506668294322"/>
      </top>
      <bottom/>
      <diagonal/>
    </border>
    <border>
      <left/>
      <right/>
      <top/>
      <bottom style="medium">
        <color theme="9" tint="0.3999450666829432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9">
    <xf numFmtId="0" fontId="0" fillId="0" borderId="0"/>
    <xf numFmtId="9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0" fontId="19" fillId="0" borderId="0"/>
    <xf numFmtId="0" fontId="19" fillId="0" borderId="0" applyNumberFormat="0" applyFont="0" applyFill="0" applyBorder="0" applyAlignment="0" applyProtection="0"/>
    <xf numFmtId="44" fontId="19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9" fontId="6" fillId="0" borderId="0" applyFont="0" applyFill="0" applyBorder="0" applyAlignment="0" applyProtection="0"/>
    <xf numFmtId="9" fontId="19" fillId="0" borderId="0" applyNumberFormat="0" applyFont="0" applyFill="0" applyBorder="0" applyAlignment="0" applyProtection="0"/>
    <xf numFmtId="43" fontId="19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3" fontId="19" fillId="0" borderId="0"/>
    <xf numFmtId="0" fontId="19" fillId="0" borderId="0" applyNumberFormat="0" applyFont="0" applyFill="0" applyBorder="0" applyAlignment="0" applyProtection="0"/>
    <xf numFmtId="9" fontId="19" fillId="0" borderId="0" applyNumberFormat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45" fillId="0" borderId="0" applyNumberFormat="0" applyFill="0" applyBorder="0" applyAlignment="0" applyProtection="0"/>
    <xf numFmtId="44" fontId="2" fillId="0" borderId="0" applyFont="0" applyFill="0" applyBorder="0" applyAlignment="0" applyProtection="0"/>
    <xf numFmtId="43" fontId="19" fillId="0" borderId="0" applyNumberFormat="0" applyFont="0" applyFill="0" applyBorder="0" applyAlignment="0" applyProtection="0"/>
    <xf numFmtId="0" fontId="6" fillId="0" borderId="0"/>
  </cellStyleXfs>
  <cellXfs count="412">
    <xf numFmtId="0" fontId="0" fillId="0" borderId="0" xfId="0"/>
    <xf numFmtId="0" fontId="5" fillId="0" borderId="0" xfId="0" applyFont="1"/>
    <xf numFmtId="3" fontId="0" fillId="0" borderId="0" xfId="0" applyNumberFormat="1"/>
    <xf numFmtId="0" fontId="7" fillId="0" borderId="0" xfId="2"/>
    <xf numFmtId="9" fontId="0" fillId="0" borderId="0" xfId="1" applyFont="1"/>
    <xf numFmtId="2" fontId="0" fillId="0" borderId="0" xfId="1" applyNumberFormat="1" applyFont="1"/>
    <xf numFmtId="1" fontId="0" fillId="0" borderId="0" xfId="0" applyNumberFormat="1"/>
    <xf numFmtId="0" fontId="11" fillId="2" borderId="0" xfId="3" applyFont="1" applyFill="1"/>
    <xf numFmtId="0" fontId="8" fillId="2" borderId="0" xfId="3" applyFont="1" applyFill="1"/>
    <xf numFmtId="0" fontId="5" fillId="2" borderId="0" xfId="3" applyFont="1" applyFill="1"/>
    <xf numFmtId="0" fontId="12" fillId="3" borderId="1" xfId="3" applyFont="1" applyFill="1" applyBorder="1"/>
    <xf numFmtId="0" fontId="6" fillId="2" borderId="1" xfId="3" applyFont="1" applyFill="1" applyBorder="1"/>
    <xf numFmtId="0" fontId="6" fillId="2" borderId="1" xfId="3" applyFont="1" applyFill="1" applyBorder="1" applyAlignment="1">
      <alignment horizontal="center"/>
    </xf>
    <xf numFmtId="166" fontId="13" fillId="2" borderId="1" xfId="4" applyNumberFormat="1" applyFont="1" applyFill="1" applyBorder="1"/>
    <xf numFmtId="0" fontId="6" fillId="2" borderId="0" xfId="3" applyFont="1" applyFill="1"/>
    <xf numFmtId="0" fontId="12" fillId="2" borderId="0" xfId="3" applyFont="1" applyFill="1" applyBorder="1"/>
    <xf numFmtId="0" fontId="6" fillId="2" borderId="0" xfId="3" applyFont="1" applyFill="1" applyBorder="1"/>
    <xf numFmtId="0" fontId="6" fillId="2" borderId="0" xfId="3" applyFont="1" applyFill="1" applyBorder="1" applyAlignment="1">
      <alignment horizontal="left"/>
    </xf>
    <xf numFmtId="0" fontId="6" fillId="2" borderId="0" xfId="3" applyFont="1" applyFill="1" applyBorder="1" applyAlignment="1">
      <alignment horizontal="center"/>
    </xf>
    <xf numFmtId="166" fontId="13" fillId="2" borderId="0" xfId="4" applyNumberFormat="1" applyFont="1" applyFill="1" applyBorder="1"/>
    <xf numFmtId="0" fontId="6" fillId="2" borderId="0" xfId="3" applyFont="1" applyFill="1" applyAlignment="1">
      <alignment horizontal="left"/>
    </xf>
    <xf numFmtId="0" fontId="6" fillId="2" borderId="0" xfId="3" applyFont="1" applyFill="1" applyAlignment="1">
      <alignment horizontal="center"/>
    </xf>
    <xf numFmtId="166" fontId="13" fillId="2" borderId="0" xfId="4" applyNumberFormat="1" applyFont="1" applyFill="1"/>
    <xf numFmtId="167" fontId="13" fillId="2" borderId="1" xfId="4" applyNumberFormat="1" applyFont="1" applyFill="1" applyBorder="1"/>
    <xf numFmtId="168" fontId="13" fillId="2" borderId="1" xfId="4" applyNumberFormat="1" applyFont="1" applyFill="1" applyBorder="1"/>
    <xf numFmtId="169" fontId="13" fillId="2" borderId="1" xfId="4" applyNumberFormat="1" applyFont="1" applyFill="1" applyBorder="1"/>
    <xf numFmtId="0" fontId="6" fillId="2" borderId="1" xfId="3" applyFont="1" applyFill="1" applyBorder="1" applyAlignment="1">
      <alignment horizontal="right"/>
    </xf>
    <xf numFmtId="0" fontId="14" fillId="2" borderId="1" xfId="5" applyFill="1" applyBorder="1" applyAlignment="1" applyProtection="1">
      <alignment horizontal="fill"/>
    </xf>
    <xf numFmtId="0" fontId="6" fillId="2" borderId="1" xfId="3" applyFont="1" applyFill="1" applyBorder="1" applyAlignment="1">
      <alignment horizontal="fill"/>
    </xf>
    <xf numFmtId="11" fontId="13" fillId="2" borderId="1" xfId="4" applyNumberFormat="1" applyFont="1" applyFill="1" applyBorder="1"/>
    <xf numFmtId="2" fontId="13" fillId="2" borderId="1" xfId="4" applyNumberFormat="1" applyFont="1" applyFill="1" applyBorder="1"/>
    <xf numFmtId="0" fontId="15" fillId="0" borderId="1" xfId="3" applyFont="1" applyFill="1" applyBorder="1"/>
    <xf numFmtId="165" fontId="15" fillId="0" borderId="1" xfId="3" applyNumberFormat="1" applyFont="1" applyFill="1" applyBorder="1"/>
    <xf numFmtId="9" fontId="6" fillId="2" borderId="1" xfId="6" applyFont="1" applyFill="1" applyBorder="1"/>
    <xf numFmtId="43" fontId="6" fillId="2" borderId="1" xfId="3" applyNumberFormat="1" applyFont="1" applyFill="1" applyBorder="1"/>
    <xf numFmtId="0" fontId="10" fillId="2" borderId="0" xfId="3" applyFont="1" applyFill="1"/>
    <xf numFmtId="0" fontId="17" fillId="4" borderId="2" xfId="8" applyFont="1" applyFill="1" applyBorder="1" applyAlignment="1">
      <alignment wrapText="1"/>
    </xf>
    <xf numFmtId="0" fontId="17" fillId="4" borderId="3" xfId="8" applyFont="1" applyFill="1" applyBorder="1" applyAlignment="1">
      <alignment wrapText="1"/>
    </xf>
    <xf numFmtId="0" fontId="17" fillId="4" borderId="3" xfId="8" applyFont="1" applyFill="1" applyBorder="1" applyAlignment="1">
      <alignment horizontal="center" vertical="center" wrapText="1"/>
    </xf>
    <xf numFmtId="0" fontId="17" fillId="4" borderId="4" xfId="8" applyFont="1" applyFill="1" applyBorder="1" applyAlignment="1">
      <alignment horizontal="center" vertical="center" wrapText="1"/>
    </xf>
    <xf numFmtId="0" fontId="17" fillId="5" borderId="5" xfId="8" applyFont="1" applyFill="1" applyBorder="1" applyAlignment="1">
      <alignment vertical="center" wrapText="1"/>
    </xf>
    <xf numFmtId="0" fontId="17" fillId="5" borderId="0" xfId="8" applyFont="1" applyFill="1" applyBorder="1" applyAlignment="1">
      <alignment vertical="center" wrapText="1"/>
    </xf>
    <xf numFmtId="0" fontId="17" fillId="5" borderId="0" xfId="8" applyFont="1" applyFill="1" applyBorder="1" applyAlignment="1">
      <alignment horizontal="center" vertical="center" wrapText="1"/>
    </xf>
    <xf numFmtId="0" fontId="17" fillId="5" borderId="6" xfId="8" applyFont="1" applyFill="1" applyBorder="1" applyAlignment="1">
      <alignment horizontal="center" vertical="center" wrapText="1"/>
    </xf>
    <xf numFmtId="0" fontId="18" fillId="4" borderId="5" xfId="8" applyFont="1" applyFill="1" applyBorder="1" applyAlignment="1">
      <alignment vertical="center" wrapText="1"/>
    </xf>
    <xf numFmtId="0" fontId="17" fillId="4" borderId="0" xfId="8" applyFont="1" applyFill="1" applyBorder="1" applyAlignment="1">
      <alignment horizontal="left" vertical="center" wrapText="1"/>
    </xf>
    <xf numFmtId="1" fontId="18" fillId="4" borderId="0" xfId="8" applyNumberFormat="1" applyFont="1" applyFill="1" applyBorder="1" applyAlignment="1">
      <alignment horizontal="center" vertical="center"/>
    </xf>
    <xf numFmtId="3" fontId="18" fillId="0" borderId="0" xfId="8" applyNumberFormat="1" applyFont="1" applyFill="1" applyBorder="1" applyAlignment="1">
      <alignment horizontal="center" vertical="center"/>
    </xf>
    <xf numFmtId="165" fontId="18" fillId="4" borderId="0" xfId="8" applyNumberFormat="1" applyFont="1" applyFill="1" applyBorder="1" applyAlignment="1">
      <alignment horizontal="center" vertical="center"/>
    </xf>
    <xf numFmtId="164" fontId="18" fillId="0" borderId="6" xfId="8" applyNumberFormat="1" applyFont="1" applyFill="1" applyBorder="1" applyAlignment="1">
      <alignment horizontal="center" vertical="center" wrapText="1"/>
    </xf>
    <xf numFmtId="0" fontId="17" fillId="4" borderId="0" xfId="8" applyFont="1" applyFill="1" applyBorder="1" applyAlignment="1">
      <alignment vertical="center" wrapText="1"/>
    </xf>
    <xf numFmtId="1" fontId="18" fillId="4" borderId="0" xfId="8" applyNumberFormat="1" applyFont="1" applyFill="1" applyBorder="1" applyAlignment="1">
      <alignment horizontal="center" vertical="center" wrapText="1"/>
    </xf>
    <xf numFmtId="3" fontId="18" fillId="4" borderId="0" xfId="8" applyNumberFormat="1" applyFont="1" applyFill="1" applyBorder="1" applyAlignment="1">
      <alignment horizontal="center" vertical="center"/>
    </xf>
    <xf numFmtId="2" fontId="18" fillId="4" borderId="0" xfId="8" applyNumberFormat="1" applyFont="1" applyFill="1" applyBorder="1" applyAlignment="1">
      <alignment horizontal="center" vertical="center"/>
    </xf>
    <xf numFmtId="164" fontId="18" fillId="4" borderId="0" xfId="8" applyNumberFormat="1" applyFont="1" applyFill="1" applyBorder="1" applyAlignment="1">
      <alignment horizontal="center" vertical="center"/>
    </xf>
    <xf numFmtId="3" fontId="18" fillId="4" borderId="0" xfId="8" applyNumberFormat="1" applyFont="1" applyFill="1" applyBorder="1" applyAlignment="1">
      <alignment horizontal="center" vertical="center" wrapText="1"/>
    </xf>
    <xf numFmtId="2" fontId="18" fillId="4" borderId="6" xfId="8" applyNumberFormat="1" applyFont="1" applyFill="1" applyBorder="1" applyAlignment="1">
      <alignment horizontal="center" vertical="center" wrapText="1"/>
    </xf>
    <xf numFmtId="164" fontId="18" fillId="4" borderId="6" xfId="8" applyNumberFormat="1" applyFont="1" applyFill="1" applyBorder="1" applyAlignment="1">
      <alignment horizontal="center" vertical="center" wrapText="1"/>
    </xf>
    <xf numFmtId="0" fontId="18" fillId="4" borderId="5" xfId="8" applyFont="1" applyFill="1" applyBorder="1" applyAlignment="1">
      <alignment horizontal="left" vertical="center" wrapText="1"/>
    </xf>
    <xf numFmtId="3" fontId="18" fillId="4" borderId="6" xfId="8" applyNumberFormat="1" applyFont="1" applyFill="1" applyBorder="1" applyAlignment="1">
      <alignment horizontal="center" vertical="center" wrapText="1"/>
    </xf>
    <xf numFmtId="3" fontId="18" fillId="4" borderId="6" xfId="8" quotePrefix="1" applyNumberFormat="1" applyFont="1" applyFill="1" applyBorder="1" applyAlignment="1">
      <alignment horizontal="center" vertical="center" wrapText="1"/>
    </xf>
    <xf numFmtId="0" fontId="17" fillId="4" borderId="0" xfId="8" applyFont="1" applyFill="1" applyBorder="1" applyAlignment="1">
      <alignment vertical="center"/>
    </xf>
    <xf numFmtId="3" fontId="18" fillId="4" borderId="0" xfId="8" quotePrefix="1" applyNumberFormat="1" applyFont="1" applyFill="1" applyBorder="1" applyAlignment="1">
      <alignment horizontal="center" vertical="center" wrapText="1"/>
    </xf>
    <xf numFmtId="0" fontId="18" fillId="4" borderId="5" xfId="8" applyFont="1" applyFill="1" applyBorder="1" applyAlignment="1">
      <alignment horizontal="left" wrapText="1"/>
    </xf>
    <xf numFmtId="0" fontId="18" fillId="4" borderId="0" xfId="8" applyFont="1" applyFill="1" applyBorder="1" applyAlignment="1">
      <alignment horizontal="left" wrapText="1"/>
    </xf>
    <xf numFmtId="0" fontId="18" fillId="4" borderId="6" xfId="8" applyFont="1" applyFill="1" applyBorder="1" applyAlignment="1">
      <alignment horizontal="left" wrapText="1"/>
    </xf>
    <xf numFmtId="0" fontId="0" fillId="2" borderId="0" xfId="0" applyFont="1" applyFill="1"/>
    <xf numFmtId="0" fontId="5" fillId="2" borderId="0" xfId="0" applyFont="1" applyFill="1"/>
    <xf numFmtId="0" fontId="10" fillId="2" borderId="0" xfId="0" applyFont="1" applyFill="1"/>
    <xf numFmtId="1" fontId="0" fillId="2" borderId="0" xfId="0" applyNumberFormat="1" applyFont="1" applyFill="1"/>
    <xf numFmtId="0" fontId="20" fillId="2" borderId="0" xfId="0" applyFont="1" applyFill="1" applyAlignment="1">
      <alignment horizontal="left" vertical="top" wrapText="1"/>
    </xf>
    <xf numFmtId="0" fontId="7" fillId="2" borderId="0" xfId="2" applyFill="1"/>
    <xf numFmtId="0" fontId="5" fillId="2" borderId="10" xfId="0" applyFont="1" applyFill="1" applyBorder="1"/>
    <xf numFmtId="0" fontId="0" fillId="2" borderId="11" xfId="0" applyFont="1" applyFill="1" applyBorder="1"/>
    <xf numFmtId="0" fontId="0" fillId="2" borderId="12" xfId="0" applyFont="1" applyFill="1" applyBorder="1"/>
    <xf numFmtId="0" fontId="5" fillId="2" borderId="13" xfId="0" applyFont="1" applyFill="1" applyBorder="1"/>
    <xf numFmtId="0" fontId="0" fillId="2" borderId="15" xfId="0" applyFont="1" applyFill="1" applyBorder="1"/>
    <xf numFmtId="0" fontId="0" fillId="2" borderId="0" xfId="0" applyFill="1"/>
    <xf numFmtId="0" fontId="21" fillId="2" borderId="0" xfId="9" applyFont="1" applyFill="1" applyAlignment="1">
      <alignment wrapText="1"/>
    </xf>
    <xf numFmtId="0" fontId="3" fillId="2" borderId="0" xfId="9" applyFill="1" applyAlignment="1">
      <alignment wrapText="1"/>
    </xf>
    <xf numFmtId="0" fontId="22" fillId="2" borderId="0" xfId="9" applyFont="1" applyFill="1" applyAlignment="1">
      <alignment wrapText="1"/>
    </xf>
    <xf numFmtId="0" fontId="22" fillId="6" borderId="1" xfId="9" applyFont="1" applyFill="1" applyBorder="1" applyAlignment="1">
      <alignment wrapText="1"/>
    </xf>
    <xf numFmtId="0" fontId="23" fillId="7" borderId="1" xfId="9" applyFont="1" applyFill="1" applyBorder="1" applyAlignment="1">
      <alignment wrapText="1"/>
    </xf>
    <xf numFmtId="0" fontId="3" fillId="8" borderId="1" xfId="9" applyFill="1" applyBorder="1" applyAlignment="1" applyProtection="1">
      <alignment horizontal="left" vertical="top" wrapText="1"/>
      <protection locked="0"/>
    </xf>
    <xf numFmtId="0" fontId="19" fillId="8" borderId="1" xfId="9" applyFont="1" applyFill="1" applyBorder="1" applyAlignment="1" applyProtection="1">
      <alignment horizontal="left" vertical="top" wrapText="1"/>
      <protection locked="0"/>
    </xf>
    <xf numFmtId="1" fontId="0" fillId="2" borderId="0" xfId="0" applyNumberFormat="1" applyFill="1"/>
    <xf numFmtId="0" fontId="25" fillId="2" borderId="0" xfId="0" applyFont="1" applyFill="1"/>
    <xf numFmtId="0" fontId="25" fillId="2" borderId="0" xfId="0" applyFont="1" applyFill="1" applyAlignment="1"/>
    <xf numFmtId="0" fontId="0" fillId="2" borderId="0" xfId="0" applyFill="1" applyAlignment="1"/>
    <xf numFmtId="0" fontId="25" fillId="2" borderId="0" xfId="0" applyFont="1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18" xfId="0" applyFill="1" applyBorder="1"/>
    <xf numFmtId="0" fontId="26" fillId="2" borderId="16" xfId="0" applyFont="1" applyFill="1" applyBorder="1"/>
    <xf numFmtId="0" fontId="5" fillId="2" borderId="17" xfId="0" applyFont="1" applyFill="1" applyBorder="1"/>
    <xf numFmtId="0" fontId="5" fillId="2" borderId="18" xfId="0" applyFont="1" applyFill="1" applyBorder="1"/>
    <xf numFmtId="2" fontId="0" fillId="2" borderId="0" xfId="0" applyNumberFormat="1" applyFill="1"/>
    <xf numFmtId="164" fontId="0" fillId="2" borderId="0" xfId="0" applyNumberFormat="1" applyFill="1"/>
    <xf numFmtId="0" fontId="0" fillId="2" borderId="1" xfId="0" applyFill="1" applyBorder="1"/>
    <xf numFmtId="0" fontId="0" fillId="2" borderId="0" xfId="0" applyFont="1" applyFill="1" applyAlignment="1">
      <alignment horizontal="left" vertical="top" wrapText="1"/>
    </xf>
    <xf numFmtId="0" fontId="0" fillId="2" borderId="17" xfId="0" applyFont="1" applyFill="1" applyBorder="1"/>
    <xf numFmtId="1" fontId="0" fillId="2" borderId="17" xfId="0" applyNumberFormat="1" applyFont="1" applyFill="1" applyBorder="1"/>
    <xf numFmtId="164" fontId="0" fillId="2" borderId="17" xfId="0" applyNumberFormat="1" applyFont="1" applyFill="1" applyBorder="1"/>
    <xf numFmtId="0" fontId="16" fillId="2" borderId="0" xfId="0" applyFont="1" applyFill="1"/>
    <xf numFmtId="0" fontId="19" fillId="2" borderId="0" xfId="10" applyFill="1"/>
    <xf numFmtId="0" fontId="28" fillId="2" borderId="19" xfId="10" applyFont="1" applyFill="1" applyBorder="1" applyAlignment="1">
      <alignment horizontal="right" wrapText="1"/>
    </xf>
    <xf numFmtId="0" fontId="28" fillId="2" borderId="0" xfId="10" applyFont="1" applyFill="1" applyAlignment="1">
      <alignment wrapText="1"/>
    </xf>
    <xf numFmtId="0" fontId="29" fillId="2" borderId="0" xfId="10" applyFont="1" applyFill="1" applyAlignment="1">
      <alignment horizontal="right"/>
    </xf>
    <xf numFmtId="0" fontId="0" fillId="0" borderId="0" xfId="0" applyFill="1" applyAlignment="1">
      <alignment horizontal="right"/>
    </xf>
    <xf numFmtId="0" fontId="19" fillId="2" borderId="20" xfId="10" applyFill="1" applyBorder="1"/>
    <xf numFmtId="171" fontId="0" fillId="2" borderId="17" xfId="0" applyNumberFormat="1" applyFont="1" applyFill="1" applyBorder="1"/>
    <xf numFmtId="172" fontId="0" fillId="2" borderId="17" xfId="0" applyNumberFormat="1" applyFont="1" applyFill="1" applyBorder="1"/>
    <xf numFmtId="2" fontId="0" fillId="2" borderId="17" xfId="0" applyNumberFormat="1" applyFill="1" applyBorder="1"/>
    <xf numFmtId="164" fontId="0" fillId="2" borderId="17" xfId="0" applyNumberFormat="1" applyFill="1" applyBorder="1"/>
    <xf numFmtId="172" fontId="0" fillId="2" borderId="17" xfId="0" applyNumberFormat="1" applyFill="1" applyBorder="1"/>
    <xf numFmtId="171" fontId="0" fillId="2" borderId="17" xfId="0" applyNumberFormat="1" applyFill="1" applyBorder="1"/>
    <xf numFmtId="2" fontId="0" fillId="2" borderId="0" xfId="0" applyNumberFormat="1" applyFill="1" applyAlignment="1"/>
    <xf numFmtId="0" fontId="6" fillId="2" borderId="0" xfId="3" applyFill="1"/>
    <xf numFmtId="164" fontId="6" fillId="2" borderId="0" xfId="3" applyNumberFormat="1" applyFill="1"/>
    <xf numFmtId="0" fontId="0" fillId="2" borderId="0" xfId="3" applyFont="1" applyFill="1"/>
    <xf numFmtId="2" fontId="6" fillId="2" borderId="0" xfId="3" applyNumberFormat="1" applyFill="1"/>
    <xf numFmtId="2" fontId="5" fillId="2" borderId="17" xfId="0" applyNumberFormat="1" applyFont="1" applyFill="1" applyBorder="1"/>
    <xf numFmtId="0" fontId="26" fillId="2" borderId="0" xfId="0" applyFont="1" applyFill="1" applyBorder="1"/>
    <xf numFmtId="0" fontId="5" fillId="2" borderId="0" xfId="0" applyFont="1" applyFill="1" applyBorder="1"/>
    <xf numFmtId="2" fontId="5" fillId="2" borderId="0" xfId="0" applyNumberFormat="1" applyFont="1" applyFill="1" applyBorder="1"/>
    <xf numFmtId="166" fontId="0" fillId="2" borderId="17" xfId="13" applyNumberFormat="1" applyFont="1" applyFill="1" applyBorder="1"/>
    <xf numFmtId="43" fontId="0" fillId="2" borderId="17" xfId="13" applyNumberFormat="1" applyFont="1" applyFill="1" applyBorder="1"/>
    <xf numFmtId="166" fontId="0" fillId="2" borderId="17" xfId="13" applyNumberFormat="1" applyFont="1" applyFill="1" applyBorder="1" applyAlignment="1">
      <alignment horizontal="right"/>
    </xf>
    <xf numFmtId="0" fontId="6" fillId="9" borderId="1" xfId="3" applyFill="1" applyBorder="1"/>
    <xf numFmtId="0" fontId="5" fillId="2" borderId="1" xfId="3" applyFont="1" applyFill="1" applyBorder="1"/>
    <xf numFmtId="0" fontId="6" fillId="2" borderId="1" xfId="3" applyFill="1" applyBorder="1"/>
    <xf numFmtId="1" fontId="6" fillId="2" borderId="1" xfId="3" applyNumberFormat="1" applyFill="1" applyBorder="1"/>
    <xf numFmtId="0" fontId="0" fillId="2" borderId="1" xfId="3" applyFont="1" applyFill="1" applyBorder="1"/>
    <xf numFmtId="0" fontId="32" fillId="2" borderId="0" xfId="3" applyFont="1" applyFill="1"/>
    <xf numFmtId="164" fontId="6" fillId="2" borderId="1" xfId="3" applyNumberFormat="1" applyFill="1" applyBorder="1"/>
    <xf numFmtId="0" fontId="5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ont="1" applyFill="1" applyAlignment="1">
      <alignment horizontal="center"/>
    </xf>
    <xf numFmtId="0" fontId="5" fillId="2" borderId="17" xfId="0" applyFont="1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17" xfId="0" applyFill="1" applyBorder="1" applyAlignment="1">
      <alignment horizontal="left"/>
    </xf>
    <xf numFmtId="0" fontId="5" fillId="2" borderId="0" xfId="3" applyFont="1" applyFill="1" applyBorder="1" applyAlignment="1">
      <alignment horizontal="left" vertical="top" wrapText="1"/>
    </xf>
    <xf numFmtId="0" fontId="5" fillId="2" borderId="1" xfId="3" applyFont="1" applyFill="1" applyBorder="1" applyAlignment="1">
      <alignment wrapText="1"/>
    </xf>
    <xf numFmtId="2" fontId="6" fillId="13" borderId="1" xfId="3" applyNumberFormat="1" applyFill="1" applyBorder="1"/>
    <xf numFmtId="173" fontId="6" fillId="13" borderId="1" xfId="16" applyNumberFormat="1" applyFont="1" applyFill="1" applyBorder="1"/>
    <xf numFmtId="1" fontId="6" fillId="13" borderId="1" xfId="17" applyNumberFormat="1" applyFont="1" applyFill="1" applyBorder="1"/>
    <xf numFmtId="0" fontId="25" fillId="2" borderId="0" xfId="3" applyFont="1" applyFill="1" applyAlignment="1"/>
    <xf numFmtId="0" fontId="6" fillId="2" borderId="0" xfId="3" applyFill="1" applyAlignment="1"/>
    <xf numFmtId="2" fontId="6" fillId="9" borderId="1" xfId="3" applyNumberFormat="1" applyFill="1" applyBorder="1" applyAlignment="1"/>
    <xf numFmtId="0" fontId="25" fillId="2" borderId="0" xfId="3" applyFont="1" applyFill="1" applyBorder="1"/>
    <xf numFmtId="0" fontId="25" fillId="2" borderId="0" xfId="3" applyFont="1" applyFill="1"/>
    <xf numFmtId="0" fontId="26" fillId="2" borderId="16" xfId="3" applyFont="1" applyFill="1" applyBorder="1"/>
    <xf numFmtId="0" fontId="5" fillId="2" borderId="17" xfId="3" applyFont="1" applyFill="1" applyBorder="1"/>
    <xf numFmtId="0" fontId="5" fillId="2" borderId="18" xfId="3" applyFont="1" applyFill="1" applyBorder="1"/>
    <xf numFmtId="0" fontId="26" fillId="2" borderId="0" xfId="3" applyFont="1" applyFill="1" applyBorder="1"/>
    <xf numFmtId="0" fontId="5" fillId="2" borderId="0" xfId="3" applyFont="1" applyFill="1" applyBorder="1"/>
    <xf numFmtId="1" fontId="5" fillId="2" borderId="0" xfId="3" applyNumberFormat="1" applyFont="1" applyFill="1" applyBorder="1"/>
    <xf numFmtId="2" fontId="6" fillId="2" borderId="1" xfId="3" applyNumberFormat="1" applyFill="1" applyBorder="1"/>
    <xf numFmtId="171" fontId="6" fillId="9" borderId="1" xfId="3" applyNumberFormat="1" applyFill="1" applyBorder="1"/>
    <xf numFmtId="174" fontId="6" fillId="9" borderId="1" xfId="3" applyNumberFormat="1" applyFill="1" applyBorder="1"/>
    <xf numFmtId="172" fontId="6" fillId="9" borderId="1" xfId="3" applyNumberFormat="1" applyFill="1" applyBorder="1"/>
    <xf numFmtId="0" fontId="6" fillId="2" borderId="16" xfId="3" applyFill="1" applyBorder="1"/>
    <xf numFmtId="2" fontId="6" fillId="2" borderId="17" xfId="3" applyNumberFormat="1" applyFill="1" applyBorder="1"/>
    <xf numFmtId="0" fontId="6" fillId="2" borderId="18" xfId="3" applyFill="1" applyBorder="1"/>
    <xf numFmtId="0" fontId="10" fillId="2" borderId="0" xfId="3" applyFont="1" applyFill="1" applyBorder="1"/>
    <xf numFmtId="2" fontId="6" fillId="2" borderId="0" xfId="3" applyNumberFormat="1" applyFill="1" applyBorder="1"/>
    <xf numFmtId="0" fontId="6" fillId="2" borderId="0" xfId="3" applyFill="1" applyBorder="1"/>
    <xf numFmtId="0" fontId="5" fillId="2" borderId="1" xfId="3" applyFont="1" applyFill="1" applyBorder="1" applyAlignment="1">
      <alignment horizontal="right"/>
    </xf>
    <xf numFmtId="0" fontId="0" fillId="0" borderId="0" xfId="0" applyFill="1"/>
    <xf numFmtId="2" fontId="5" fillId="2" borderId="17" xfId="3" applyNumberFormat="1" applyFont="1" applyFill="1" applyBorder="1"/>
    <xf numFmtId="2" fontId="6" fillId="9" borderId="1" xfId="3" applyNumberFormat="1" applyFill="1" applyBorder="1"/>
    <xf numFmtId="0" fontId="0" fillId="2" borderId="1" xfId="0" applyFont="1" applyFill="1" applyBorder="1"/>
    <xf numFmtId="0" fontId="5" fillId="2" borderId="1" xfId="0" applyFont="1" applyFill="1" applyBorder="1"/>
    <xf numFmtId="0" fontId="6" fillId="14" borderId="1" xfId="3" applyFill="1" applyBorder="1"/>
    <xf numFmtId="0" fontId="34" fillId="2" borderId="0" xfId="11" applyNumberFormat="1" applyFont="1" applyFill="1" applyBorder="1" applyAlignment="1"/>
    <xf numFmtId="0" fontId="15" fillId="2" borderId="0" xfId="11" applyNumberFormat="1" applyFont="1" applyFill="1" applyBorder="1" applyAlignment="1"/>
    <xf numFmtId="177" fontId="0" fillId="2" borderId="0" xfId="1" applyNumberFormat="1" applyFont="1" applyFill="1"/>
    <xf numFmtId="166" fontId="0" fillId="2" borderId="0" xfId="0" applyNumberFormat="1" applyFill="1"/>
    <xf numFmtId="9" fontId="0" fillId="2" borderId="1" xfId="1" applyFont="1" applyFill="1" applyBorder="1"/>
    <xf numFmtId="166" fontId="0" fillId="2" borderId="1" xfId="0" applyNumberFormat="1" applyFill="1" applyBorder="1"/>
    <xf numFmtId="166" fontId="0" fillId="2" borderId="1" xfId="13" applyNumberFormat="1" applyFont="1" applyFill="1" applyBorder="1"/>
    <xf numFmtId="43" fontId="0" fillId="2" borderId="0" xfId="0" applyNumberFormat="1" applyFill="1"/>
    <xf numFmtId="0" fontId="24" fillId="2" borderId="0" xfId="0" applyFont="1" applyFill="1" applyAlignment="1" applyProtection="1">
      <alignment vertical="top"/>
      <protection locked="0"/>
    </xf>
    <xf numFmtId="0" fontId="24" fillId="2" borderId="1" xfId="0" applyFont="1" applyFill="1" applyBorder="1" applyAlignment="1" applyProtection="1">
      <alignment vertical="top"/>
      <protection locked="0"/>
    </xf>
    <xf numFmtId="0" fontId="6" fillId="2" borderId="0" xfId="3" applyFont="1" applyFill="1" applyBorder="1" applyAlignment="1">
      <alignment horizontal="left" vertical="top" wrapText="1"/>
    </xf>
    <xf numFmtId="0" fontId="5" fillId="2" borderId="21" xfId="0" applyFont="1" applyFill="1" applyBorder="1"/>
    <xf numFmtId="0" fontId="0" fillId="2" borderId="22" xfId="0" applyFont="1" applyFill="1" applyBorder="1"/>
    <xf numFmtId="1" fontId="0" fillId="2" borderId="0" xfId="0" applyNumberFormat="1" applyFont="1" applyFill="1" applyBorder="1"/>
    <xf numFmtId="166" fontId="0" fillId="2" borderId="14" xfId="13" applyNumberFormat="1" applyFont="1" applyFill="1" applyBorder="1"/>
    <xf numFmtId="9" fontId="0" fillId="2" borderId="17" xfId="0" applyNumberFormat="1" applyFill="1" applyBorder="1"/>
    <xf numFmtId="11" fontId="0" fillId="2" borderId="1" xfId="0" applyNumberFormat="1" applyFont="1" applyFill="1" applyBorder="1"/>
    <xf numFmtId="2" fontId="0" fillId="2" borderId="1" xfId="0" applyNumberFormat="1" applyFont="1" applyFill="1" applyBorder="1"/>
    <xf numFmtId="175" fontId="0" fillId="2" borderId="1" xfId="0" applyNumberFormat="1" applyFont="1" applyFill="1" applyBorder="1"/>
    <xf numFmtId="1" fontId="0" fillId="2" borderId="1" xfId="0" applyNumberFormat="1" applyFont="1" applyFill="1" applyBorder="1"/>
    <xf numFmtId="165" fontId="0" fillId="2" borderId="1" xfId="0" applyNumberFormat="1" applyFont="1" applyFill="1" applyBorder="1"/>
    <xf numFmtId="43" fontId="0" fillId="2" borderId="1" xfId="0" applyNumberFormat="1" applyFill="1" applyBorder="1"/>
    <xf numFmtId="168" fontId="0" fillId="2" borderId="1" xfId="13" applyNumberFormat="1" applyFont="1" applyFill="1" applyBorder="1"/>
    <xf numFmtId="0" fontId="24" fillId="2" borderId="1" xfId="0" applyFont="1" applyFill="1" applyBorder="1"/>
    <xf numFmtId="0" fontId="0" fillId="2" borderId="1" xfId="0" applyFont="1" applyFill="1" applyBorder="1" applyAlignment="1">
      <alignment vertical="top"/>
    </xf>
    <xf numFmtId="11" fontId="0" fillId="2" borderId="17" xfId="0" applyNumberFormat="1" applyFill="1" applyBorder="1"/>
    <xf numFmtId="9" fontId="0" fillId="2" borderId="0" xfId="1" applyFont="1" applyFill="1"/>
    <xf numFmtId="167" fontId="0" fillId="2" borderId="0" xfId="0" applyNumberFormat="1" applyFill="1"/>
    <xf numFmtId="0" fontId="5" fillId="2" borderId="0" xfId="3" applyFont="1" applyFill="1" applyBorder="1" applyAlignment="1">
      <alignment horizontal="left" vertical="top" wrapText="1"/>
    </xf>
    <xf numFmtId="0" fontId="39" fillId="2" borderId="0" xfId="11" applyNumberFormat="1" applyFont="1" applyFill="1" applyBorder="1" applyAlignment="1"/>
    <xf numFmtId="0" fontId="5" fillId="2" borderId="0" xfId="3" applyFont="1" applyFill="1" applyBorder="1" applyAlignment="1">
      <alignment horizontal="left" vertical="top" wrapText="1"/>
    </xf>
    <xf numFmtId="1" fontId="6" fillId="14" borderId="1" xfId="13" applyNumberFormat="1" applyFont="1" applyFill="1" applyBorder="1"/>
    <xf numFmtId="0" fontId="6" fillId="2" borderId="0" xfId="0" applyFont="1" applyFill="1"/>
    <xf numFmtId="172" fontId="8" fillId="2" borderId="0" xfId="0" applyNumberFormat="1" applyFont="1" applyFill="1" applyBorder="1"/>
    <xf numFmtId="0" fontId="8" fillId="2" borderId="0" xfId="0" applyFont="1" applyFill="1" applyBorder="1"/>
    <xf numFmtId="0" fontId="15" fillId="2" borderId="1" xfId="11" applyNumberFormat="1" applyFont="1" applyFill="1" applyBorder="1" applyAlignment="1"/>
    <xf numFmtId="43" fontId="15" fillId="2" borderId="0" xfId="11" applyNumberFormat="1" applyFont="1" applyFill="1" applyBorder="1" applyAlignment="1"/>
    <xf numFmtId="166" fontId="15" fillId="2" borderId="0" xfId="13" applyNumberFormat="1" applyFont="1" applyFill="1" applyBorder="1" applyAlignment="1"/>
    <xf numFmtId="166" fontId="15" fillId="2" borderId="0" xfId="11" applyNumberFormat="1" applyFont="1" applyFill="1" applyBorder="1" applyAlignment="1"/>
    <xf numFmtId="0" fontId="34" fillId="15" borderId="1" xfId="11" applyNumberFormat="1" applyFont="1" applyFill="1" applyBorder="1" applyAlignment="1"/>
    <xf numFmtId="0" fontId="34" fillId="15" borderId="1" xfId="11" applyNumberFormat="1" applyFont="1" applyFill="1" applyBorder="1" applyAlignment="1">
      <alignment wrapText="1"/>
    </xf>
    <xf numFmtId="0" fontId="34" fillId="2" borderId="1" xfId="11" applyNumberFormat="1" applyFont="1" applyFill="1" applyBorder="1" applyAlignment="1"/>
    <xf numFmtId="164" fontId="15" fillId="2" borderId="1" xfId="11" applyNumberFormat="1" applyFont="1" applyFill="1" applyBorder="1" applyAlignment="1"/>
    <xf numFmtId="0" fontId="42" fillId="2" borderId="0" xfId="23" applyFont="1" applyFill="1"/>
    <xf numFmtId="0" fontId="13" fillId="2" borderId="0" xfId="23" applyFont="1" applyFill="1"/>
    <xf numFmtId="0" fontId="43" fillId="2" borderId="0" xfId="23" applyFont="1" applyFill="1"/>
    <xf numFmtId="0" fontId="42" fillId="2" borderId="17" xfId="23" applyFont="1" applyFill="1" applyBorder="1"/>
    <xf numFmtId="0" fontId="13" fillId="2" borderId="17" xfId="23" applyFont="1" applyFill="1" applyBorder="1"/>
    <xf numFmtId="0" fontId="13" fillId="2" borderId="17" xfId="0" applyFont="1" applyFill="1" applyBorder="1"/>
    <xf numFmtId="0" fontId="13" fillId="2" borderId="17" xfId="0" applyFont="1" applyFill="1" applyBorder="1" applyAlignment="1">
      <alignment horizontal="right"/>
    </xf>
    <xf numFmtId="0" fontId="13" fillId="2" borderId="17" xfId="0" applyFont="1" applyFill="1" applyBorder="1" applyAlignment="1">
      <alignment horizontal="left"/>
    </xf>
    <xf numFmtId="166" fontId="13" fillId="2" borderId="17" xfId="13" applyNumberFormat="1" applyFont="1" applyFill="1" applyBorder="1"/>
    <xf numFmtId="0" fontId="13" fillId="2" borderId="0" xfId="0" applyFont="1" applyFill="1"/>
    <xf numFmtId="1" fontId="13" fillId="2" borderId="17" xfId="13" applyNumberFormat="1" applyFont="1" applyFill="1" applyBorder="1"/>
    <xf numFmtId="2" fontId="13" fillId="2" borderId="17" xfId="0" applyNumberFormat="1" applyFont="1" applyFill="1" applyBorder="1" applyAlignment="1">
      <alignment horizontal="right"/>
    </xf>
    <xf numFmtId="1" fontId="13" fillId="2" borderId="17" xfId="0" applyNumberFormat="1" applyFont="1" applyFill="1" applyBorder="1"/>
    <xf numFmtId="1" fontId="13" fillId="2" borderId="17" xfId="0" applyNumberFormat="1" applyFont="1" applyFill="1" applyBorder="1" applyAlignment="1">
      <alignment horizontal="right"/>
    </xf>
    <xf numFmtId="0" fontId="45" fillId="2" borderId="17" xfId="25" applyFill="1" applyBorder="1"/>
    <xf numFmtId="165" fontId="13" fillId="2" borderId="17" xfId="3" applyNumberFormat="1" applyFont="1" applyFill="1" applyBorder="1"/>
    <xf numFmtId="1" fontId="13" fillId="2" borderId="17" xfId="23" applyNumberFormat="1" applyFont="1" applyFill="1" applyBorder="1"/>
    <xf numFmtId="166" fontId="13" fillId="2" borderId="17" xfId="23" applyNumberFormat="1" applyFont="1" applyFill="1" applyBorder="1"/>
    <xf numFmtId="166" fontId="15" fillId="2" borderId="17" xfId="13" applyNumberFormat="1" applyFont="1" applyFill="1" applyBorder="1"/>
    <xf numFmtId="0" fontId="13" fillId="2" borderId="17" xfId="23" applyFont="1" applyFill="1" applyBorder="1" applyAlignment="1">
      <alignment horizontal="right"/>
    </xf>
    <xf numFmtId="0" fontId="13" fillId="2" borderId="14" xfId="23" applyFont="1" applyFill="1" applyBorder="1"/>
    <xf numFmtId="9" fontId="13" fillId="2" borderId="17" xfId="1" applyFont="1" applyFill="1" applyBorder="1"/>
    <xf numFmtId="1" fontId="13" fillId="2" borderId="17" xfId="24" applyNumberFormat="1" applyFont="1" applyFill="1" applyBorder="1"/>
    <xf numFmtId="2" fontId="13" fillId="2" borderId="17" xfId="1" applyNumberFormat="1" applyFont="1" applyFill="1" applyBorder="1"/>
    <xf numFmtId="1" fontId="13" fillId="2" borderId="17" xfId="1" applyNumberFormat="1" applyFont="1" applyFill="1" applyBorder="1"/>
    <xf numFmtId="9" fontId="13" fillId="2" borderId="17" xfId="23" applyNumberFormat="1" applyFont="1" applyFill="1" applyBorder="1" applyAlignment="1">
      <alignment horizontal="right"/>
    </xf>
    <xf numFmtId="9" fontId="13" fillId="2" borderId="17" xfId="0" applyNumberFormat="1" applyFont="1" applyFill="1" applyBorder="1"/>
    <xf numFmtId="164" fontId="13" fillId="2" borderId="17" xfId="0" applyNumberFormat="1" applyFont="1" applyFill="1" applyBorder="1" applyAlignment="1">
      <alignment horizontal="right"/>
    </xf>
    <xf numFmtId="166" fontId="13" fillId="2" borderId="17" xfId="13" applyNumberFormat="1" applyFont="1" applyFill="1" applyBorder="1" applyAlignment="1">
      <alignment horizontal="right"/>
    </xf>
    <xf numFmtId="166" fontId="13" fillId="2" borderId="17" xfId="0" applyNumberFormat="1" applyFont="1" applyFill="1" applyBorder="1"/>
    <xf numFmtId="176" fontId="13" fillId="2" borderId="0" xfId="26" applyNumberFormat="1" applyFont="1" applyFill="1"/>
    <xf numFmtId="0" fontId="46" fillId="11" borderId="1" xfId="23" applyFont="1" applyFill="1" applyBorder="1" applyAlignment="1">
      <alignment vertical="center" wrapText="1"/>
    </xf>
    <xf numFmtId="0" fontId="47" fillId="12" borderId="1" xfId="23" applyFont="1" applyFill="1" applyBorder="1" applyAlignment="1">
      <alignment vertical="center" wrapText="1"/>
    </xf>
    <xf numFmtId="0" fontId="47" fillId="10" borderId="1" xfId="23" applyFont="1" applyFill="1" applyBorder="1" applyAlignment="1">
      <alignment horizontal="right" vertical="center" wrapText="1"/>
    </xf>
    <xf numFmtId="0" fontId="13" fillId="2" borderId="0" xfId="23" applyFont="1" applyFill="1" applyAlignment="1">
      <alignment horizontal="center"/>
    </xf>
    <xf numFmtId="0" fontId="42" fillId="2" borderId="14" xfId="0" applyFont="1" applyFill="1" applyBorder="1"/>
    <xf numFmtId="166" fontId="13" fillId="2" borderId="0" xfId="13" applyNumberFormat="1" applyFont="1" applyFill="1" applyBorder="1"/>
    <xf numFmtId="0" fontId="13" fillId="2" borderId="0" xfId="0" applyFont="1" applyFill="1" applyBorder="1"/>
    <xf numFmtId="0" fontId="42" fillId="2" borderId="0" xfId="0" applyFont="1" applyFill="1"/>
    <xf numFmtId="0" fontId="42" fillId="2" borderId="0" xfId="0" applyFont="1" applyFill="1" applyAlignment="1">
      <alignment wrapText="1"/>
    </xf>
    <xf numFmtId="0" fontId="13" fillId="2" borderId="0" xfId="0" applyFont="1" applyFill="1" applyAlignment="1">
      <alignment wrapText="1"/>
    </xf>
    <xf numFmtId="1" fontId="13" fillId="2" borderId="0" xfId="0" applyNumberFormat="1" applyFont="1" applyFill="1"/>
    <xf numFmtId="179" fontId="13" fillId="2" borderId="0" xfId="0" applyNumberFormat="1" applyFont="1" applyFill="1"/>
    <xf numFmtId="164" fontId="6" fillId="2" borderId="0" xfId="3" applyNumberFormat="1" applyFont="1" applyFill="1"/>
    <xf numFmtId="2" fontId="6" fillId="2" borderId="0" xfId="0" applyNumberFormat="1" applyFont="1" applyFill="1"/>
    <xf numFmtId="164" fontId="6" fillId="2" borderId="0" xfId="0" applyNumberFormat="1" applyFont="1" applyFill="1"/>
    <xf numFmtId="164" fontId="6" fillId="14" borderId="1" xfId="0" applyNumberFormat="1" applyFont="1" applyFill="1" applyBorder="1"/>
    <xf numFmtId="172" fontId="6" fillId="2" borderId="0" xfId="0" applyNumberFormat="1" applyFont="1" applyFill="1"/>
    <xf numFmtId="171" fontId="6" fillId="2" borderId="0" xfId="0" applyNumberFormat="1" applyFont="1" applyFill="1"/>
    <xf numFmtId="172" fontId="6" fillId="2" borderId="0" xfId="13" applyNumberFormat="1" applyFont="1" applyFill="1" applyBorder="1"/>
    <xf numFmtId="2" fontId="6" fillId="14" borderId="1" xfId="13" applyNumberFormat="1" applyFont="1" applyFill="1" applyBorder="1"/>
    <xf numFmtId="0" fontId="6" fillId="2" borderId="0" xfId="3" applyFont="1" applyFill="1" applyBorder="1" applyAlignment="1">
      <alignment horizontal="right" vertical="top" wrapText="1"/>
    </xf>
    <xf numFmtId="0" fontId="7" fillId="2" borderId="0" xfId="14" applyFont="1" applyFill="1" applyBorder="1" applyAlignment="1">
      <alignment horizontal="left" vertical="top"/>
    </xf>
    <xf numFmtId="9" fontId="0" fillId="2" borderId="17" xfId="1" applyFont="1" applyFill="1" applyBorder="1"/>
    <xf numFmtId="2" fontId="0" fillId="2" borderId="17" xfId="0" applyNumberFormat="1" applyFont="1" applyFill="1" applyBorder="1"/>
    <xf numFmtId="0" fontId="24" fillId="2" borderId="17" xfId="2" applyFont="1" applyFill="1" applyBorder="1"/>
    <xf numFmtId="178" fontId="0" fillId="14" borderId="1" xfId="0" applyNumberFormat="1" applyFont="1" applyFill="1" applyBorder="1"/>
    <xf numFmtId="166" fontId="0" fillId="14" borderId="1" xfId="0" applyNumberFormat="1" applyFont="1" applyFill="1" applyBorder="1"/>
    <xf numFmtId="0" fontId="6" fillId="2" borderId="0" xfId="0" applyFont="1" applyFill="1" applyBorder="1"/>
    <xf numFmtId="179" fontId="6" fillId="2" borderId="0" xfId="0" applyNumberFormat="1" applyFont="1" applyFill="1" applyBorder="1"/>
    <xf numFmtId="0" fontId="7" fillId="2" borderId="0" xfId="25" applyFont="1" applyFill="1" applyBorder="1"/>
    <xf numFmtId="9" fontId="0" fillId="2" borderId="0" xfId="1" applyFont="1" applyFill="1" applyAlignment="1">
      <alignment horizontal="left"/>
    </xf>
    <xf numFmtId="1" fontId="13" fillId="2" borderId="0" xfId="13" applyNumberFormat="1" applyFont="1" applyFill="1"/>
    <xf numFmtId="0" fontId="15" fillId="2" borderId="0" xfId="11" applyNumberFormat="1" applyFont="1" applyFill="1" applyBorder="1" applyAlignment="1">
      <alignment horizontal="left"/>
    </xf>
    <xf numFmtId="1" fontId="6" fillId="14" borderId="1" xfId="17" applyNumberFormat="1" applyFont="1" applyFill="1" applyBorder="1"/>
    <xf numFmtId="1" fontId="0" fillId="14" borderId="1" xfId="0" applyNumberFormat="1" applyFont="1" applyFill="1" applyBorder="1"/>
    <xf numFmtId="0" fontId="34" fillId="2" borderId="0" xfId="19" applyNumberFormat="1" applyFont="1" applyFill="1" applyBorder="1" applyAlignment="1"/>
    <xf numFmtId="0" fontId="15" fillId="2" borderId="0" xfId="19" applyNumberFormat="1" applyFont="1" applyFill="1" applyBorder="1" applyAlignment="1"/>
    <xf numFmtId="0" fontId="15" fillId="2" borderId="0" xfId="19" applyFont="1" applyFill="1" applyAlignment="1">
      <alignment vertical="top"/>
    </xf>
    <xf numFmtId="0" fontId="15" fillId="2" borderId="0" xfId="19" applyFont="1" applyFill="1" applyAlignment="1">
      <alignment horizontal="right" vertical="top"/>
    </xf>
    <xf numFmtId="0" fontId="15" fillId="2" borderId="0" xfId="19" applyFont="1" applyFill="1" applyBorder="1" applyAlignment="1">
      <alignment horizontal="right" vertical="top"/>
    </xf>
    <xf numFmtId="0" fontId="15" fillId="2" borderId="0" xfId="19" applyFont="1" applyFill="1" applyBorder="1" applyAlignment="1">
      <alignment vertical="top"/>
    </xf>
    <xf numFmtId="0" fontId="35" fillId="2" borderId="0" xfId="19" applyFont="1" applyFill="1" applyAlignment="1">
      <alignment vertical="top"/>
    </xf>
    <xf numFmtId="3" fontId="15" fillId="2" borderId="0" xfId="19" applyNumberFormat="1" applyFont="1" applyFill="1" applyAlignment="1">
      <alignment vertical="top"/>
    </xf>
    <xf numFmtId="0" fontId="15" fillId="2" borderId="0" xfId="19" applyNumberFormat="1" applyFont="1" applyFill="1" applyAlignment="1">
      <alignment horizontal="right" vertical="top"/>
    </xf>
    <xf numFmtId="0" fontId="15" fillId="2" borderId="8" xfId="19" applyNumberFormat="1" applyFont="1" applyFill="1" applyBorder="1" applyAlignment="1"/>
    <xf numFmtId="0" fontId="15" fillId="2" borderId="23" xfId="19" applyNumberFormat="1" applyFont="1" applyFill="1" applyBorder="1" applyAlignment="1"/>
    <xf numFmtId="3" fontId="15" fillId="2" borderId="23" xfId="19" applyNumberFormat="1" applyFont="1" applyFill="1" applyBorder="1" applyAlignment="1">
      <alignment vertical="top"/>
    </xf>
    <xf numFmtId="3" fontId="15" fillId="14" borderId="23" xfId="19" applyNumberFormat="1" applyFont="1" applyFill="1" applyBorder="1" applyAlignment="1">
      <alignment vertical="top"/>
    </xf>
    <xf numFmtId="0" fontId="34" fillId="2" borderId="0" xfId="21" applyNumberFormat="1" applyFont="1" applyFill="1" applyBorder="1" applyAlignment="1"/>
    <xf numFmtId="0" fontId="49" fillId="2" borderId="14" xfId="21" applyNumberFormat="1" applyFont="1" applyFill="1" applyBorder="1" applyAlignment="1"/>
    <xf numFmtId="0" fontId="49" fillId="2" borderId="13" xfId="21" applyNumberFormat="1" applyFont="1" applyFill="1" applyBorder="1" applyAlignment="1"/>
    <xf numFmtId="0" fontId="42" fillId="16" borderId="1" xfId="0" applyFont="1" applyFill="1" applyBorder="1" applyAlignment="1">
      <alignment vertical="center"/>
    </xf>
    <xf numFmtId="0" fontId="42" fillId="16" borderId="1" xfId="0" applyFont="1" applyFill="1" applyBorder="1" applyAlignment="1">
      <alignment vertical="center" wrapText="1"/>
    </xf>
    <xf numFmtId="0" fontId="15" fillId="2" borderId="1" xfId="21" applyNumberFormat="1" applyFont="1" applyFill="1" applyBorder="1" applyAlignment="1">
      <alignment horizontal="right" vertical="center" wrapText="1"/>
    </xf>
    <xf numFmtId="168" fontId="15" fillId="2" borderId="1" xfId="4" quotePrefix="1" applyNumberFormat="1" applyFont="1" applyFill="1" applyBorder="1" applyAlignment="1">
      <alignment horizontal="right" vertical="center" wrapText="1"/>
    </xf>
    <xf numFmtId="3" fontId="15" fillId="0" borderId="1" xfId="27" applyNumberFormat="1" applyFont="1" applyFill="1" applyBorder="1" applyAlignment="1">
      <alignment horizontal="right" vertical="center" wrapText="1"/>
    </xf>
    <xf numFmtId="180" fontId="15" fillId="0" borderId="1" xfId="21" applyNumberFormat="1" applyFont="1" applyFill="1" applyBorder="1" applyAlignment="1">
      <alignment horizontal="right" vertical="center" wrapText="1"/>
    </xf>
    <xf numFmtId="0" fontId="15" fillId="0" borderId="1" xfId="21" applyNumberFormat="1" applyFont="1" applyFill="1" applyBorder="1" applyAlignment="1">
      <alignment horizontal="right" vertical="center" wrapText="1"/>
    </xf>
    <xf numFmtId="1" fontId="15" fillId="0" borderId="1" xfId="21" applyNumberFormat="1" applyFont="1" applyFill="1" applyBorder="1" applyAlignment="1">
      <alignment horizontal="right" vertical="center" wrapText="1"/>
    </xf>
    <xf numFmtId="165" fontId="15" fillId="2" borderId="1" xfId="21" applyNumberFormat="1" applyFont="1" applyFill="1" applyBorder="1" applyAlignment="1">
      <alignment horizontal="right" vertical="center" wrapText="1"/>
    </xf>
    <xf numFmtId="3" fontId="15" fillId="0" borderId="1" xfId="21" applyNumberFormat="1" applyFont="1" applyFill="1" applyBorder="1" applyAlignment="1">
      <alignment horizontal="right" vertical="center" wrapText="1"/>
    </xf>
    <xf numFmtId="0" fontId="15" fillId="2" borderId="1" xfId="21" applyNumberFormat="1" applyFont="1" applyFill="1" applyBorder="1" applyAlignment="1"/>
    <xf numFmtId="2" fontId="15" fillId="2" borderId="17" xfId="23" applyNumberFormat="1" applyFont="1" applyFill="1" applyBorder="1"/>
    <xf numFmtId="173" fontId="24" fillId="2" borderId="1" xfId="16" applyNumberFormat="1" applyFont="1" applyFill="1" applyBorder="1"/>
    <xf numFmtId="0" fontId="24" fillId="2" borderId="0" xfId="3" applyFont="1" applyFill="1"/>
    <xf numFmtId="0" fontId="51" fillId="2" borderId="0" xfId="25" applyFont="1" applyFill="1" applyBorder="1" applyAlignment="1"/>
    <xf numFmtId="165" fontId="24" fillId="2" borderId="0" xfId="17" applyNumberFormat="1" applyFont="1" applyFill="1" applyBorder="1"/>
    <xf numFmtId="0" fontId="24" fillId="2" borderId="0" xfId="3" applyFont="1" applyFill="1" applyBorder="1"/>
    <xf numFmtId="2" fontId="13" fillId="2" borderId="0" xfId="0" applyNumberFormat="1" applyFont="1" applyFill="1"/>
    <xf numFmtId="172" fontId="13" fillId="2" borderId="0" xfId="0" applyNumberFormat="1" applyFont="1" applyFill="1"/>
    <xf numFmtId="1" fontId="13" fillId="2" borderId="17" xfId="23" applyNumberFormat="1" applyFont="1" applyFill="1" applyBorder="1" applyAlignment="1">
      <alignment horizontal="right"/>
    </xf>
    <xf numFmtId="9" fontId="13" fillId="2" borderId="17" xfId="23" applyNumberFormat="1" applyFont="1" applyFill="1" applyBorder="1"/>
    <xf numFmtId="0" fontId="11" fillId="2" borderId="1" xfId="3" applyFont="1" applyFill="1" applyBorder="1" applyAlignment="1">
      <alignment wrapText="1"/>
    </xf>
    <xf numFmtId="0" fontId="24" fillId="2" borderId="1" xfId="3" applyFont="1" applyFill="1" applyBorder="1"/>
    <xf numFmtId="0" fontId="1" fillId="8" borderId="1" xfId="9" applyFont="1" applyFill="1" applyBorder="1" applyAlignment="1" applyProtection="1">
      <alignment horizontal="left" vertical="top" wrapText="1"/>
      <protection locked="0"/>
    </xf>
    <xf numFmtId="166" fontId="15" fillId="14" borderId="1" xfId="13" applyNumberFormat="1" applyFont="1" applyFill="1" applyBorder="1" applyAlignment="1"/>
    <xf numFmtId="0" fontId="44" fillId="2" borderId="0" xfId="23" applyFont="1" applyFill="1" applyAlignment="1">
      <alignment horizontal="right"/>
    </xf>
    <xf numFmtId="0" fontId="44" fillId="2" borderId="0" xfId="0" applyFont="1" applyFill="1" applyAlignment="1">
      <alignment horizontal="right"/>
    </xf>
    <xf numFmtId="0" fontId="15" fillId="2" borderId="17" xfId="23" applyFont="1" applyFill="1" applyBorder="1"/>
    <xf numFmtId="166" fontId="13" fillId="2" borderId="17" xfId="24" applyNumberFormat="1" applyFont="1" applyFill="1" applyBorder="1" applyAlignment="1">
      <alignment horizontal="right"/>
    </xf>
    <xf numFmtId="0" fontId="13" fillId="2" borderId="17" xfId="23" applyFont="1" applyFill="1" applyBorder="1" applyAlignment="1">
      <alignment horizontal="left"/>
    </xf>
    <xf numFmtId="0" fontId="24" fillId="2" borderId="17" xfId="0" applyFont="1" applyFill="1" applyBorder="1"/>
    <xf numFmtId="0" fontId="11" fillId="2" borderId="17" xfId="0" applyFont="1" applyFill="1" applyBorder="1"/>
    <xf numFmtId="0" fontId="19" fillId="2" borderId="17" xfId="5" applyFont="1" applyFill="1" applyBorder="1" applyAlignment="1" applyProtection="1"/>
    <xf numFmtId="0" fontId="24" fillId="2" borderId="17" xfId="0" applyFont="1" applyFill="1" applyBorder="1" applyAlignment="1">
      <alignment horizontal="left"/>
    </xf>
    <xf numFmtId="164" fontId="15" fillId="0" borderId="0" xfId="19" applyNumberFormat="1" applyFont="1" applyFill="1" applyBorder="1" applyAlignment="1"/>
    <xf numFmtId="9" fontId="0" fillId="2" borderId="0" xfId="1" applyFont="1" applyFill="1" applyAlignment="1">
      <alignment horizontal="right"/>
    </xf>
    <xf numFmtId="170" fontId="15" fillId="14" borderId="1" xfId="21" applyNumberFormat="1" applyFont="1" applyFill="1" applyBorder="1" applyAlignment="1">
      <alignment horizontal="right" vertical="center" wrapText="1"/>
    </xf>
    <xf numFmtId="164" fontId="15" fillId="2" borderId="0" xfId="19" applyNumberFormat="1" applyFont="1" applyFill="1" applyAlignment="1">
      <alignment vertical="top"/>
    </xf>
    <xf numFmtId="2" fontId="15" fillId="2" borderId="0" xfId="19" applyNumberFormat="1" applyFont="1" applyFill="1" applyAlignment="1">
      <alignment vertical="top"/>
    </xf>
    <xf numFmtId="172" fontId="15" fillId="2" borderId="0" xfId="19" applyNumberFormat="1" applyFont="1" applyFill="1" applyAlignment="1">
      <alignment vertical="top"/>
    </xf>
    <xf numFmtId="2" fontId="6" fillId="2" borderId="0" xfId="28" applyNumberFormat="1" applyFont="1" applyFill="1"/>
    <xf numFmtId="2" fontId="24" fillId="2" borderId="1" xfId="0" applyNumberFormat="1" applyFont="1" applyFill="1" applyBorder="1" applyAlignment="1" applyProtection="1">
      <alignment vertical="top"/>
      <protection locked="0"/>
    </xf>
    <xf numFmtId="0" fontId="8" fillId="2" borderId="0" xfId="0" applyFont="1" applyFill="1"/>
    <xf numFmtId="0" fontId="28" fillId="2" borderId="20" xfId="10" applyFont="1" applyFill="1" applyBorder="1" applyAlignment="1">
      <alignment horizontal="left" wrapText="1"/>
    </xf>
    <xf numFmtId="0" fontId="24" fillId="2" borderId="19" xfId="10" applyFont="1" applyFill="1" applyBorder="1" applyAlignment="1">
      <alignment horizontal="left" vertical="top" wrapText="1"/>
    </xf>
    <xf numFmtId="0" fontId="24" fillId="2" borderId="0" xfId="10" applyFont="1" applyFill="1" applyAlignment="1">
      <alignment horizontal="left" vertical="top"/>
    </xf>
    <xf numFmtId="0" fontId="24" fillId="2" borderId="0" xfId="10" applyFont="1" applyFill="1" applyAlignment="1">
      <alignment horizontal="left" vertical="top" wrapText="1"/>
    </xf>
    <xf numFmtId="0" fontId="24" fillId="2" borderId="20" xfId="10" applyFont="1" applyFill="1" applyBorder="1" applyAlignment="1">
      <alignment horizontal="left" vertical="top"/>
    </xf>
    <xf numFmtId="0" fontId="24" fillId="2" borderId="20" xfId="10" applyFont="1" applyFill="1" applyBorder="1" applyAlignment="1">
      <alignment horizontal="left" vertical="top" wrapText="1"/>
    </xf>
    <xf numFmtId="0" fontId="13" fillId="2" borderId="1" xfId="23" applyFont="1" applyFill="1" applyBorder="1"/>
    <xf numFmtId="0" fontId="42" fillId="2" borderId="1" xfId="23" applyFont="1" applyFill="1" applyBorder="1" applyAlignment="1">
      <alignment horizontal="right"/>
    </xf>
    <xf numFmtId="0" fontId="42" fillId="2" borderId="1" xfId="23" applyFont="1" applyFill="1" applyBorder="1"/>
    <xf numFmtId="164" fontId="13" fillId="2" borderId="1" xfId="23" applyNumberFormat="1" applyFont="1" applyFill="1" applyBorder="1"/>
    <xf numFmtId="0" fontId="13" fillId="2" borderId="1" xfId="0" applyNumberFormat="1" applyFont="1" applyFill="1" applyBorder="1" applyAlignment="1"/>
    <xf numFmtId="0" fontId="34" fillId="0" borderId="1" xfId="11" applyNumberFormat="1" applyFont="1" applyFill="1" applyBorder="1" applyAlignment="1"/>
    <xf numFmtId="2" fontId="15" fillId="2" borderId="1" xfId="13" applyNumberFormat="1" applyFont="1" applyFill="1" applyBorder="1" applyAlignment="1"/>
    <xf numFmtId="1" fontId="15" fillId="14" borderId="1" xfId="11" applyNumberFormat="1" applyFont="1" applyFill="1" applyBorder="1" applyAlignment="1"/>
    <xf numFmtId="166" fontId="15" fillId="14" borderId="1" xfId="11" applyNumberFormat="1" applyFont="1" applyFill="1" applyBorder="1" applyAlignment="1"/>
    <xf numFmtId="2" fontId="15" fillId="2" borderId="1" xfId="1" applyNumberFormat="1" applyFont="1" applyFill="1" applyBorder="1" applyAlignment="1"/>
    <xf numFmtId="1" fontId="15" fillId="2" borderId="1" xfId="21" applyNumberFormat="1" applyFont="1" applyFill="1" applyBorder="1" applyAlignment="1">
      <alignment horizontal="right" vertical="center" wrapText="1"/>
    </xf>
    <xf numFmtId="11" fontId="15" fillId="14" borderId="1" xfId="21" applyNumberFormat="1" applyFont="1" applyFill="1" applyBorder="1" applyAlignment="1">
      <alignment horizontal="right" vertical="center" wrapText="1"/>
    </xf>
    <xf numFmtId="0" fontId="0" fillId="8" borderId="1" xfId="9" applyFont="1" applyFill="1" applyBorder="1" applyAlignment="1" applyProtection="1">
      <alignment horizontal="left" vertical="top" wrapText="1"/>
      <protection locked="0"/>
    </xf>
    <xf numFmtId="0" fontId="6" fillId="9" borderId="1" xfId="3" applyFont="1" applyFill="1" applyBorder="1"/>
    <xf numFmtId="0" fontId="6" fillId="14" borderId="1" xfId="3" applyFont="1" applyFill="1" applyBorder="1"/>
    <xf numFmtId="2" fontId="6" fillId="2" borderId="1" xfId="3" applyNumberFormat="1" applyFont="1" applyFill="1" applyBorder="1"/>
    <xf numFmtId="1" fontId="6" fillId="2" borderId="1" xfId="3" applyNumberFormat="1" applyFont="1" applyFill="1" applyBorder="1"/>
    <xf numFmtId="11" fontId="6" fillId="2" borderId="1" xfId="3" applyNumberFormat="1" applyFont="1" applyFill="1" applyBorder="1"/>
    <xf numFmtId="0" fontId="7" fillId="2" borderId="0" xfId="14" applyFont="1" applyFill="1"/>
    <xf numFmtId="0" fontId="7" fillId="2" borderId="1" xfId="14" applyFont="1" applyFill="1" applyBorder="1"/>
    <xf numFmtId="0" fontId="6" fillId="2" borderId="1" xfId="3" applyFont="1" applyFill="1" applyBorder="1" applyAlignment="1">
      <alignment vertical="top"/>
    </xf>
    <xf numFmtId="9" fontId="6" fillId="2" borderId="1" xfId="15" applyFont="1" applyFill="1" applyBorder="1" applyAlignment="1">
      <alignment vertical="top"/>
    </xf>
    <xf numFmtId="0" fontId="6" fillId="2" borderId="1" xfId="3" applyFont="1" applyFill="1" applyBorder="1" applyAlignment="1">
      <alignment wrapText="1"/>
    </xf>
    <xf numFmtId="164" fontId="6" fillId="9" borderId="1" xfId="15" applyNumberFormat="1" applyFont="1" applyFill="1" applyBorder="1"/>
    <xf numFmtId="164" fontId="6" fillId="2" borderId="1" xfId="3" applyNumberFormat="1" applyFont="1" applyFill="1" applyBorder="1"/>
    <xf numFmtId="0" fontId="6" fillId="0" borderId="1" xfId="0" applyFont="1" applyFill="1" applyBorder="1"/>
    <xf numFmtId="166" fontId="6" fillId="14" borderId="1" xfId="13" applyNumberFormat="1" applyFont="1" applyFill="1" applyBorder="1"/>
    <xf numFmtId="165" fontId="6" fillId="2" borderId="1" xfId="3" applyNumberFormat="1" applyFont="1" applyFill="1" applyBorder="1"/>
    <xf numFmtId="1" fontId="6" fillId="14" borderId="1" xfId="3" applyNumberFormat="1" applyFont="1" applyFill="1" applyBorder="1"/>
    <xf numFmtId="164" fontId="0" fillId="2" borderId="17" xfId="0" applyNumberFormat="1" applyFill="1" applyBorder="1" applyAlignment="1">
      <alignment horizontal="center"/>
    </xf>
    <xf numFmtId="0" fontId="30" fillId="0" borderId="0" xfId="10" applyFont="1" applyFill="1" applyAlignment="1">
      <alignment horizontal="right"/>
    </xf>
    <xf numFmtId="0" fontId="53" fillId="2" borderId="0" xfId="10" applyFont="1" applyFill="1" applyAlignment="1">
      <alignment horizontal="right" vertical="top"/>
    </xf>
    <xf numFmtId="0" fontId="9" fillId="2" borderId="0" xfId="0" applyFont="1" applyFill="1"/>
    <xf numFmtId="0" fontId="42" fillId="16" borderId="16" xfId="0" applyFont="1" applyFill="1" applyBorder="1" applyAlignment="1">
      <alignment horizontal="center" vertical="center"/>
    </xf>
    <xf numFmtId="0" fontId="42" fillId="16" borderId="18" xfId="0" applyFont="1" applyFill="1" applyBorder="1" applyAlignment="1">
      <alignment horizontal="center" vertical="center"/>
    </xf>
    <xf numFmtId="0" fontId="5" fillId="2" borderId="10" xfId="3" applyFont="1" applyFill="1" applyBorder="1" applyAlignment="1">
      <alignment horizontal="left" vertical="top" wrapText="1"/>
    </xf>
    <xf numFmtId="0" fontId="5" fillId="2" borderId="11" xfId="3" applyFont="1" applyFill="1" applyBorder="1" applyAlignment="1">
      <alignment horizontal="left" vertical="top" wrapText="1"/>
    </xf>
    <xf numFmtId="0" fontId="5" fillId="2" borderId="12" xfId="3" applyFont="1" applyFill="1" applyBorder="1" applyAlignment="1">
      <alignment horizontal="left" vertical="top" wrapText="1"/>
    </xf>
    <xf numFmtId="0" fontId="5" fillId="2" borderId="21" xfId="3" applyFont="1" applyFill="1" applyBorder="1" applyAlignment="1">
      <alignment horizontal="left" vertical="top" wrapText="1"/>
    </xf>
    <xf numFmtId="0" fontId="5" fillId="2" borderId="0" xfId="3" applyFont="1" applyFill="1" applyBorder="1" applyAlignment="1">
      <alignment horizontal="left" vertical="top" wrapText="1"/>
    </xf>
    <xf numFmtId="0" fontId="5" fillId="2" borderId="22" xfId="3" applyFont="1" applyFill="1" applyBorder="1" applyAlignment="1">
      <alignment horizontal="left" vertical="top" wrapText="1"/>
    </xf>
    <xf numFmtId="0" fontId="5" fillId="2" borderId="13" xfId="3" applyFont="1" applyFill="1" applyBorder="1" applyAlignment="1">
      <alignment horizontal="left" vertical="top" wrapText="1"/>
    </xf>
    <xf numFmtId="0" fontId="5" fillId="2" borderId="14" xfId="3" applyFont="1" applyFill="1" applyBorder="1" applyAlignment="1">
      <alignment horizontal="left" vertical="top" wrapText="1"/>
    </xf>
    <xf numFmtId="0" fontId="5" fillId="2" borderId="15" xfId="3" applyFont="1" applyFill="1" applyBorder="1" applyAlignment="1">
      <alignment horizontal="left" vertical="top" wrapText="1"/>
    </xf>
    <xf numFmtId="0" fontId="10" fillId="2" borderId="0" xfId="3" applyFont="1" applyFill="1" applyAlignment="1">
      <alignment horizontal="left" wrapText="1"/>
    </xf>
    <xf numFmtId="0" fontId="7" fillId="2" borderId="0" xfId="14" applyFill="1" applyAlignment="1">
      <alignment horizontal="center" wrapText="1"/>
    </xf>
    <xf numFmtId="0" fontId="14" fillId="4" borderId="7" xfId="5" applyFill="1" applyBorder="1" applyAlignment="1" applyProtection="1">
      <alignment horizontal="left" wrapText="1"/>
    </xf>
    <xf numFmtId="0" fontId="14" fillId="4" borderId="8" xfId="5" applyFill="1" applyBorder="1" applyAlignment="1" applyProtection="1">
      <alignment horizontal="left" wrapText="1"/>
    </xf>
    <xf numFmtId="0" fontId="14" fillId="4" borderId="9" xfId="5" applyFill="1" applyBorder="1" applyAlignment="1" applyProtection="1">
      <alignment horizontal="left" wrapText="1"/>
    </xf>
    <xf numFmtId="0" fontId="18" fillId="4" borderId="5" xfId="8" applyFont="1" applyFill="1" applyBorder="1" applyAlignment="1">
      <alignment horizontal="left" wrapText="1"/>
    </xf>
    <xf numFmtId="0" fontId="18" fillId="4" borderId="0" xfId="8" applyFont="1" applyFill="1" applyBorder="1" applyAlignment="1">
      <alignment horizontal="left" wrapText="1"/>
    </xf>
    <xf numFmtId="0" fontId="18" fillId="4" borderId="6" xfId="8" applyFont="1" applyFill="1" applyBorder="1" applyAlignment="1">
      <alignment horizontal="left" wrapText="1"/>
    </xf>
    <xf numFmtId="0" fontId="18" fillId="4" borderId="5" xfId="8" applyFont="1" applyFill="1" applyBorder="1" applyAlignment="1">
      <alignment wrapText="1"/>
    </xf>
    <xf numFmtId="0" fontId="18" fillId="4" borderId="0" xfId="8" applyFont="1" applyFill="1" applyBorder="1" applyAlignment="1">
      <alignment wrapText="1"/>
    </xf>
    <xf numFmtId="0" fontId="18" fillId="4" borderId="6" xfId="8" applyFont="1" applyFill="1" applyBorder="1" applyAlignment="1">
      <alignment wrapText="1"/>
    </xf>
    <xf numFmtId="0" fontId="17" fillId="4" borderId="3" xfId="8" applyFont="1" applyFill="1" applyBorder="1" applyAlignment="1">
      <alignment horizontal="center" vertical="center" wrapText="1"/>
    </xf>
    <xf numFmtId="0" fontId="17" fillId="5" borderId="5" xfId="8" applyFont="1" applyFill="1" applyBorder="1" applyAlignment="1">
      <alignment horizontal="left" vertical="center" wrapText="1"/>
    </xf>
    <xf numFmtId="0" fontId="17" fillId="5" borderId="0" xfId="8" applyFont="1" applyFill="1" applyBorder="1" applyAlignment="1">
      <alignment horizontal="left" vertical="center" wrapText="1"/>
    </xf>
    <xf numFmtId="0" fontId="17" fillId="5" borderId="6" xfId="8" applyFont="1" applyFill="1" applyBorder="1" applyAlignment="1">
      <alignment horizontal="left" vertical="center" wrapText="1"/>
    </xf>
    <xf numFmtId="0" fontId="18" fillId="0" borderId="5" xfId="8" applyFont="1" applyFill="1" applyBorder="1" applyAlignment="1">
      <alignment wrapText="1"/>
    </xf>
    <xf numFmtId="0" fontId="18" fillId="0" borderId="0" xfId="8" applyFont="1" applyFill="1" applyBorder="1" applyAlignment="1">
      <alignment wrapText="1"/>
    </xf>
    <xf numFmtId="0" fontId="18" fillId="0" borderId="6" xfId="8" applyFont="1" applyFill="1" applyBorder="1" applyAlignment="1">
      <alignment wrapText="1"/>
    </xf>
    <xf numFmtId="0" fontId="10" fillId="2" borderId="0" xfId="0" applyFont="1" applyFill="1" applyAlignment="1">
      <alignment horizontal="left" wrapText="1"/>
    </xf>
    <xf numFmtId="0" fontId="7" fillId="2" borderId="0" xfId="2" applyFill="1" applyAlignment="1">
      <alignment horizontal="center" wrapText="1"/>
    </xf>
  </cellXfs>
  <cellStyles count="29">
    <cellStyle name="Comma" xfId="13" builtinId="3"/>
    <cellStyle name="Comma 0" xfId="20" xr:uid="{00000000-0005-0000-0000-000001000000}"/>
    <cellStyle name="Comma 2" xfId="4" xr:uid="{00000000-0005-0000-0000-000002000000}"/>
    <cellStyle name="Comma 2 2" xfId="27" xr:uid="{00000000-0005-0000-0000-000003000000}"/>
    <cellStyle name="Comma 3" xfId="7" xr:uid="{00000000-0005-0000-0000-000004000000}"/>
    <cellStyle name="Comma 4" xfId="17" xr:uid="{00000000-0005-0000-0000-000005000000}"/>
    <cellStyle name="Comma 5" xfId="24" xr:uid="{00000000-0005-0000-0000-000006000000}"/>
    <cellStyle name="Currency 2" xfId="12" xr:uid="{00000000-0005-0000-0000-000007000000}"/>
    <cellStyle name="Currency 3" xfId="26" xr:uid="{00000000-0005-0000-0000-000008000000}"/>
    <cellStyle name="Hyperlink" xfId="2" builtinId="8"/>
    <cellStyle name="Hyperlink 2" xfId="5" xr:uid="{00000000-0005-0000-0000-00000A000000}"/>
    <cellStyle name="Hyperlink 2 2" xfId="14" xr:uid="{00000000-0005-0000-0000-00000B000000}"/>
    <cellStyle name="Hyperlink 3" xfId="25" xr:uid="{00000000-0005-0000-0000-00000C000000}"/>
    <cellStyle name="Normal" xfId="0" builtinId="0"/>
    <cellStyle name="Normal 2" xfId="8" xr:uid="{00000000-0005-0000-0000-00000E000000}"/>
    <cellStyle name="Normal 2 2" xfId="9" xr:uid="{00000000-0005-0000-0000-00000F000000}"/>
    <cellStyle name="Normal 2 2 2" xfId="10" xr:uid="{00000000-0005-0000-0000-000010000000}"/>
    <cellStyle name="Normal 2 2 3" xfId="21" xr:uid="{00000000-0005-0000-0000-000011000000}"/>
    <cellStyle name="Normal 2 3" xfId="19" xr:uid="{00000000-0005-0000-0000-000012000000}"/>
    <cellStyle name="Normal 28" xfId="3" xr:uid="{00000000-0005-0000-0000-000013000000}"/>
    <cellStyle name="Normal 28 2" xfId="11" xr:uid="{00000000-0005-0000-0000-000014000000}"/>
    <cellStyle name="Normal 3" xfId="18" xr:uid="{00000000-0005-0000-0000-000015000000}"/>
    <cellStyle name="Normal 4" xfId="23" xr:uid="{00000000-0005-0000-0000-000016000000}"/>
    <cellStyle name="Normal 7" xfId="28" xr:uid="{00000000-0005-0000-0000-000017000000}"/>
    <cellStyle name="Percent" xfId="1" builtinId="5"/>
    <cellStyle name="Percent 2" xfId="6" xr:uid="{00000000-0005-0000-0000-000019000000}"/>
    <cellStyle name="Percent 2 2" xfId="22" xr:uid="{00000000-0005-0000-0000-00001A000000}"/>
    <cellStyle name="Percent 3" xfId="15" xr:uid="{00000000-0005-0000-0000-00001B000000}"/>
    <cellStyle name="Percent 4" xfId="16" xr:uid="{00000000-0005-0000-0000-00001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Hydrograph of Daily Flow</a:t>
            </a:r>
          </a:p>
        </c:rich>
      </c:tx>
      <c:layout>
        <c:manualLayout>
          <c:xMode val="edge"/>
          <c:yMode val="edge"/>
          <c:x val="0.401159667541557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Equalization!$E$10</c:f>
              <c:strCache>
                <c:ptCount val="1"/>
                <c:pt idx="0">
                  <c:v>Cumulative Flow (gal)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Equalization!$E$11:$E$34</c:f>
              <c:numCache>
                <c:formatCode>General</c:formatCode>
                <c:ptCount val="24"/>
                <c:pt idx="0">
                  <c:v>310</c:v>
                </c:pt>
                <c:pt idx="1">
                  <c:v>620</c:v>
                </c:pt>
                <c:pt idx="2">
                  <c:v>930</c:v>
                </c:pt>
                <c:pt idx="3">
                  <c:v>1240</c:v>
                </c:pt>
                <c:pt idx="4">
                  <c:v>1550</c:v>
                </c:pt>
                <c:pt idx="5">
                  <c:v>2480</c:v>
                </c:pt>
                <c:pt idx="6">
                  <c:v>5890</c:v>
                </c:pt>
                <c:pt idx="7">
                  <c:v>10540</c:v>
                </c:pt>
                <c:pt idx="8">
                  <c:v>13950</c:v>
                </c:pt>
                <c:pt idx="9">
                  <c:v>17360</c:v>
                </c:pt>
                <c:pt idx="10">
                  <c:v>19840</c:v>
                </c:pt>
                <c:pt idx="11">
                  <c:v>20770</c:v>
                </c:pt>
                <c:pt idx="12">
                  <c:v>21700</c:v>
                </c:pt>
                <c:pt idx="13">
                  <c:v>22320</c:v>
                </c:pt>
                <c:pt idx="14">
                  <c:v>22940</c:v>
                </c:pt>
                <c:pt idx="15">
                  <c:v>23560</c:v>
                </c:pt>
                <c:pt idx="16">
                  <c:v>24490</c:v>
                </c:pt>
                <c:pt idx="17">
                  <c:v>25420</c:v>
                </c:pt>
                <c:pt idx="18">
                  <c:v>26660</c:v>
                </c:pt>
                <c:pt idx="19">
                  <c:v>27900</c:v>
                </c:pt>
                <c:pt idx="20">
                  <c:v>29450</c:v>
                </c:pt>
                <c:pt idx="21">
                  <c:v>30380</c:v>
                </c:pt>
                <c:pt idx="22">
                  <c:v>30690</c:v>
                </c:pt>
                <c:pt idx="23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E5-4007-B1F2-CD6F0A809432}"/>
            </c:ext>
          </c:extLst>
        </c:ser>
        <c:ser>
          <c:idx val="1"/>
          <c:order val="1"/>
          <c:tx>
            <c:strRef>
              <c:f>Equalization!$G$10</c:f>
              <c:strCache>
                <c:ptCount val="1"/>
                <c:pt idx="0">
                  <c:v>Avg. Flow Accumulation (gal)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Equalization!$G$11:$G$34</c:f>
              <c:numCache>
                <c:formatCode>_(* #,##0_);_(* \(#,##0\);_(* "-"??_);_(@_)</c:formatCode>
                <c:ptCount val="24"/>
                <c:pt idx="0">
                  <c:v>1291.6666666666667</c:v>
                </c:pt>
                <c:pt idx="1">
                  <c:v>2583.3333333333335</c:v>
                </c:pt>
                <c:pt idx="2">
                  <c:v>3875</c:v>
                </c:pt>
                <c:pt idx="3">
                  <c:v>5166.666666666667</c:v>
                </c:pt>
                <c:pt idx="4">
                  <c:v>6458.3333333333339</c:v>
                </c:pt>
                <c:pt idx="5">
                  <c:v>7750.0000000000009</c:v>
                </c:pt>
                <c:pt idx="6">
                  <c:v>9041.6666666666679</c:v>
                </c:pt>
                <c:pt idx="7">
                  <c:v>10333.333333333334</c:v>
                </c:pt>
                <c:pt idx="8">
                  <c:v>11625</c:v>
                </c:pt>
                <c:pt idx="9">
                  <c:v>12916.666666666666</c:v>
                </c:pt>
                <c:pt idx="10">
                  <c:v>14208.333333333332</c:v>
                </c:pt>
                <c:pt idx="11">
                  <c:v>15499.999999999998</c:v>
                </c:pt>
                <c:pt idx="12">
                  <c:v>16791.666666666664</c:v>
                </c:pt>
                <c:pt idx="13">
                  <c:v>18083.333333333332</c:v>
                </c:pt>
                <c:pt idx="14">
                  <c:v>19375</c:v>
                </c:pt>
                <c:pt idx="15">
                  <c:v>20666.666666666668</c:v>
                </c:pt>
                <c:pt idx="16">
                  <c:v>21958.333333333336</c:v>
                </c:pt>
                <c:pt idx="17">
                  <c:v>23250.000000000004</c:v>
                </c:pt>
                <c:pt idx="18">
                  <c:v>24541.666666666672</c:v>
                </c:pt>
                <c:pt idx="19">
                  <c:v>25833.333333333339</c:v>
                </c:pt>
                <c:pt idx="20">
                  <c:v>27125.000000000007</c:v>
                </c:pt>
                <c:pt idx="21">
                  <c:v>28416.666666666675</c:v>
                </c:pt>
                <c:pt idx="22">
                  <c:v>29708.333333333343</c:v>
                </c:pt>
                <c:pt idx="23">
                  <c:v>31000.000000000011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E5-4007-B1F2-CD6F0A809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624288"/>
        <c:axId val="109204928"/>
      </c:lineChart>
      <c:catAx>
        <c:axId val="4046242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04928"/>
        <c:crosses val="autoZero"/>
        <c:auto val="1"/>
        <c:lblAlgn val="ctr"/>
        <c:lblOffset val="100"/>
        <c:noMultiLvlLbl val="0"/>
      </c:catAx>
      <c:valAx>
        <c:axId val="10920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462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3718772</xdr:colOff>
      <xdr:row>21</xdr:row>
      <xdr:rowOff>62747</xdr:rowOff>
    </xdr:from>
    <xdr:to>
      <xdr:col>1</xdr:col>
      <xdr:colOff>5534025</xdr:colOff>
      <xdr:row>26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8AE57F-9A1E-4368-9BBF-581822FB3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9322" y="5301497"/>
          <a:ext cx="1815253" cy="84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109537</xdr:colOff>
      <xdr:row>8</xdr:row>
      <xdr:rowOff>161925</xdr:rowOff>
    </xdr:from>
    <xdr:to>
      <xdr:col>14</xdr:col>
      <xdr:colOff>414337</xdr:colOff>
      <xdr:row>23</xdr:row>
      <xdr:rowOff>47625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E6C3875-85BD-47B3-B096-FE19CF999BE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3648075</xdr:colOff>
      <xdr:row>84</xdr:row>
      <xdr:rowOff>114300</xdr:rowOff>
    </xdr:from>
    <xdr:to>
      <xdr:col>6</xdr:col>
      <xdr:colOff>247650</xdr:colOff>
      <xdr:row>87</xdr:row>
      <xdr:rowOff>28575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DA668957-5B1A-4D5D-A78D-950453BA9A39}"/>
            </a:ext>
          </a:extLst>
        </xdr:cNvPr>
        <xdr:cNvSpPr/>
      </xdr:nvSpPr>
      <xdr:spPr>
        <a:xfrm>
          <a:off x="9010650" y="18916650"/>
          <a:ext cx="1943100" cy="485775"/>
        </a:xfrm>
        <a:prstGeom prst="rect">
          <a:avLst/>
        </a:prstGeom>
        <a:noFill/>
        <a:ln w="34925">
          <a:solidFill>
            <a:schemeClr val="bg2">
              <a:lumMod val="1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3648075</xdr:colOff>
      <xdr:row>87</xdr:row>
      <xdr:rowOff>28575</xdr:rowOff>
    </xdr:from>
    <xdr:to>
      <xdr:col>6</xdr:col>
      <xdr:colOff>247650</xdr:colOff>
      <xdr:row>89</xdr:row>
      <xdr:rowOff>133350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84858F58-39A4-427B-B650-75B354896F11}"/>
            </a:ext>
          </a:extLst>
        </xdr:cNvPr>
        <xdr:cNvSpPr/>
      </xdr:nvSpPr>
      <xdr:spPr>
        <a:xfrm>
          <a:off x="9010650" y="19402425"/>
          <a:ext cx="1943100" cy="485775"/>
        </a:xfrm>
        <a:prstGeom prst="rect">
          <a:avLst/>
        </a:prstGeom>
        <a:noFill/>
        <a:ln w="34925">
          <a:solidFill>
            <a:schemeClr val="bg2">
              <a:lumMod val="1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3648075</xdr:colOff>
      <xdr:row>89</xdr:row>
      <xdr:rowOff>142875</xdr:rowOff>
    </xdr:from>
    <xdr:to>
      <xdr:col>6</xdr:col>
      <xdr:colOff>247650</xdr:colOff>
      <xdr:row>92</xdr:row>
      <xdr:rowOff>57150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9554BDF-FBA6-4D01-8338-E04794642749}"/>
            </a:ext>
          </a:extLst>
        </xdr:cNvPr>
        <xdr:cNvSpPr/>
      </xdr:nvSpPr>
      <xdr:spPr>
        <a:xfrm>
          <a:off x="9010650" y="19897725"/>
          <a:ext cx="1943100" cy="485775"/>
        </a:xfrm>
        <a:prstGeom prst="rect">
          <a:avLst/>
        </a:prstGeom>
        <a:noFill/>
        <a:ln w="34925">
          <a:solidFill>
            <a:schemeClr val="bg2">
              <a:lumMod val="1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2819399</xdr:colOff>
      <xdr:row>87</xdr:row>
      <xdr:rowOff>123825</xdr:rowOff>
    </xdr:from>
    <xdr:to>
      <xdr:col>4</xdr:col>
      <xdr:colOff>3381374</xdr:colOff>
      <xdr:row>90</xdr:row>
      <xdr:rowOff>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A3A4AF8-F823-4244-AF2B-78C0EA600F70}"/>
            </a:ext>
          </a:extLst>
        </xdr:cNvPr>
        <xdr:cNvSpPr txBox="1"/>
      </xdr:nvSpPr>
      <xdr:spPr>
        <a:xfrm>
          <a:off x="8181974" y="19497675"/>
          <a:ext cx="561975" cy="447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Wall A</a:t>
          </a:r>
        </a:p>
      </xdr:txBody>
    </xdr:sp>
    <xdr:clientData/>
  </xdr:twoCellAnchor>
  <xdr:twoCellAnchor>
    <xdr:from>
      <xdr:col>5</xdr:col>
      <xdr:colOff>228599</xdr:colOff>
      <xdr:row>82</xdr:row>
      <xdr:rowOff>171450</xdr:rowOff>
    </xdr:from>
    <xdr:to>
      <xdr:col>5</xdr:col>
      <xdr:colOff>790574</xdr:colOff>
      <xdr:row>84</xdr:row>
      <xdr:rowOff>57150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211C111B-F159-405D-9EFC-C5BD581B8BEA}"/>
            </a:ext>
          </a:extLst>
        </xdr:cNvPr>
        <xdr:cNvSpPr txBox="1"/>
      </xdr:nvSpPr>
      <xdr:spPr>
        <a:xfrm>
          <a:off x="9791699" y="18592800"/>
          <a:ext cx="561975" cy="266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Wall B</a:t>
          </a:r>
        </a:p>
        <a:p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20</xdr:row>
      <xdr:rowOff>0</xdr:rowOff>
    </xdr:from>
    <xdr:to>
      <xdr:col>28</xdr:col>
      <xdr:colOff>466635</xdr:colOff>
      <xdr:row>54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0E70A1-B1EE-45E5-9D16-DE23310540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65" r="10076"/>
        <a:stretch/>
      </xdr:blipFill>
      <xdr:spPr>
        <a:xfrm rot="-5400000">
          <a:off x="12887280" y="5876970"/>
          <a:ext cx="6657975" cy="5953035"/>
        </a:xfrm>
        <a:prstGeom prst="rect">
          <a:avLst/>
        </a:prstGeom>
      </xdr:spPr>
    </xdr:pic>
    <xdr:clientData/>
  </xdr:twoCellAnchor>
  <xdr:oneCellAnchor>
    <xdr:from>
      <xdr:col>7</xdr:col>
      <xdr:colOff>219075</xdr:colOff>
      <xdr:row>43</xdr:row>
      <xdr:rowOff>28575</xdr:rowOff>
    </xdr:from>
    <xdr:ext cx="5120101" cy="2342688"/>
    <xdr:pic>
      <xdr:nvPicPr>
        <xdr:cNvPr id="3" name="Picture 2">
          <a:extLst>
            <a:ext uri="{FF2B5EF4-FFF2-40B4-BE49-F238E27FC236}">
              <a16:creationId xmlns:a16="http://schemas.microsoft.com/office/drawing/2014/main" id="{4CDFD43D-8C3E-440A-B19F-7C1D34A0A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81675" y="9363075"/>
          <a:ext cx="5120101" cy="2342688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16</xdr:row>
      <xdr:rowOff>161925</xdr:rowOff>
    </xdr:from>
    <xdr:to>
      <xdr:col>9</xdr:col>
      <xdr:colOff>322813</xdr:colOff>
      <xdr:row>25</xdr:row>
      <xdr:rowOff>133139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3054B0-A32B-4E38-B46E-EC3CAE009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5" y="2828925"/>
          <a:ext cx="8295238" cy="16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</xdr:row>
      <xdr:rowOff>0</xdr:rowOff>
    </xdr:from>
    <xdr:to>
      <xdr:col>24</xdr:col>
      <xdr:colOff>437181</xdr:colOff>
      <xdr:row>44</xdr:row>
      <xdr:rowOff>84738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90DCF8-501E-46FE-B40B-CDED3749C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3200" y="381000"/>
          <a:ext cx="7752381" cy="78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www.powellfab.com/technical_information/preview/general_info_about_sodium_hypo.aspx" TargetMode="External"/><Relationship Id="rId1" Type="http://schemas.openxmlformats.org/officeDocument/2006/relationships/hyperlink" Target="http://ceqg-rcqe.ccme.ca/download/en/221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edwardschemicals.com/MSDS/water-treatment/FERRIC%20CHLORIDE%2038%20-%2042.pdf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ceqg-rcqe.ccme.ca/download/en/221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freshwatersystems.com/c-616-atlantic-ultraviolet-sanitron.aspx" TargetMode="External"/><Relationship Id="rId1" Type="http://schemas.openxmlformats.org/officeDocument/2006/relationships/hyperlink" Target="http://www.unh.edu/wttac/WTTAC_Water_Tech_Guide_Vol2/uv_lampnsleeve.html" TargetMode="External"/><Relationship Id="rId4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reshwatersystems.com/p-4526-sanitron-s50c-20-gpm-ultraviolet-water-purifier.aspx" TargetMode="External"/><Relationship Id="rId2" Type="http://schemas.openxmlformats.org/officeDocument/2006/relationships/hyperlink" Target="https://www.freshwatersystems.com/p-4526-sanitron-s50c-20-gpm-ultraviolet-water-purifier.aspx" TargetMode="External"/><Relationship Id="rId1" Type="http://schemas.openxmlformats.org/officeDocument/2006/relationships/hyperlink" Target="https://www.freshwatersystems.com/p-4526-sanitron-s50c-20-gpm-ultraviolet-water-purifier.aspx" TargetMode="Externa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tank-depot.com/productdetails.aspx?part=N-42044&amp;gclid=CjwKCAjwwbHWBRBWEiwAMIV7E10rhrlwpqJkCL1z0Bv4ufK9noez0VlWa0vpnUoYfQt7-KOG_PhG3hoChsMQAvD_BwE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www.freshwatersystems.com/c-616-atlantic-ultraviolet-sanitron.aspx" TargetMode="External"/><Relationship Id="rId1" Type="http://schemas.openxmlformats.org/officeDocument/2006/relationships/hyperlink" Target="http://www.unh.edu/wttac/WTTAC_Water_Tech_Guide_Vol2/uv_lampnsleeve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50"/>
  </sheetPr>
  <dimension ref="B1:B27"/>
  <sheetViews>
    <sheetView tabSelected="1" workbookViewId="0">
      <selection activeCell="D12" sqref="D12"/>
    </sheetView>
  </sheetViews>
  <sheetFormatPr defaultColWidth="8.85546875" defaultRowHeight="12.75" x14ac:dyDescent="0.2"/>
  <cols>
    <col min="1" max="1" width="8.85546875" style="104"/>
    <col min="2" max="2" width="87.85546875" style="104" customWidth="1"/>
    <col min="3" max="16384" width="8.85546875" style="104"/>
  </cols>
  <sheetData>
    <row r="1" spans="2:2" ht="13.5" thickBot="1" x14ac:dyDescent="0.25"/>
    <row r="2" spans="2:2" ht="57" x14ac:dyDescent="0.45">
      <c r="B2" s="105" t="s">
        <v>837</v>
      </c>
    </row>
    <row r="3" spans="2:2" ht="28.5" x14ac:dyDescent="0.45">
      <c r="B3" s="106"/>
    </row>
    <row r="4" spans="2:2" ht="15" x14ac:dyDescent="0.25">
      <c r="B4" s="107" t="s">
        <v>326</v>
      </c>
    </row>
    <row r="5" spans="2:2" ht="15" x14ac:dyDescent="0.25">
      <c r="B5" s="107" t="s">
        <v>892</v>
      </c>
    </row>
    <row r="6" spans="2:2" ht="15" x14ac:dyDescent="0.25">
      <c r="B6" s="107" t="s">
        <v>327</v>
      </c>
    </row>
    <row r="7" spans="2:2" ht="15" x14ac:dyDescent="0.25">
      <c r="B7" s="107" t="s">
        <v>328</v>
      </c>
    </row>
    <row r="8" spans="2:2" ht="15" x14ac:dyDescent="0.25">
      <c r="B8" s="107" t="s">
        <v>329</v>
      </c>
    </row>
    <row r="10" spans="2:2" ht="15" x14ac:dyDescent="0.25">
      <c r="B10" s="107"/>
    </row>
    <row r="11" spans="2:2" ht="15" x14ac:dyDescent="0.25">
      <c r="B11" s="107"/>
    </row>
    <row r="12" spans="2:2" ht="15" x14ac:dyDescent="0.25">
      <c r="B12" s="107"/>
    </row>
    <row r="13" spans="2:2" ht="15" x14ac:dyDescent="0.25">
      <c r="B13" s="107"/>
    </row>
    <row r="14" spans="2:2" ht="15" x14ac:dyDescent="0.25">
      <c r="B14" s="107"/>
    </row>
    <row r="17" spans="2:2" ht="15" x14ac:dyDescent="0.25">
      <c r="B17" s="378" t="s">
        <v>914</v>
      </c>
    </row>
    <row r="20" spans="2:2" ht="15" x14ac:dyDescent="0.25">
      <c r="B20" s="108" t="s">
        <v>330</v>
      </c>
    </row>
    <row r="27" spans="2:2" ht="13.5" thickBot="1" x14ac:dyDescent="0.25">
      <c r="B27" s="109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>
    <tabColor theme="4" tint="0.59999389629810485"/>
  </sheetPr>
  <dimension ref="A1:U144"/>
  <sheetViews>
    <sheetView zoomScale="70" zoomScaleNormal="70" workbookViewId="0">
      <selection activeCell="V1" sqref="V1:XFD1048576"/>
    </sheetView>
  </sheetViews>
  <sheetFormatPr defaultColWidth="0" defaultRowHeight="15" zeroHeight="1" x14ac:dyDescent="0.25"/>
  <cols>
    <col min="1" max="1" width="9.140625" style="117" customWidth="1"/>
    <col min="2" max="2" width="37.7109375" style="117" customWidth="1"/>
    <col min="3" max="3" width="9.28515625" style="117" customWidth="1"/>
    <col min="4" max="4" width="35.5703125" style="117" customWidth="1"/>
    <col min="5" max="5" width="22.28515625" style="117" customWidth="1"/>
    <col min="6" max="6" width="16.7109375" style="117" bestFit="1" customWidth="1"/>
    <col min="7" max="21" width="9.140625" style="117" customWidth="1"/>
    <col min="22" max="16384" width="9.140625" style="117" hidden="1"/>
  </cols>
  <sheetData>
    <row r="1" spans="1:9" x14ac:dyDescent="0.25">
      <c r="A1" s="9" t="s">
        <v>357</v>
      </c>
    </row>
    <row r="2" spans="1:9" x14ac:dyDescent="0.25">
      <c r="A2" s="9"/>
    </row>
    <row r="3" spans="1:9" ht="15" customHeight="1" x14ac:dyDescent="0.25">
      <c r="A3" s="9"/>
      <c r="B3" s="383" t="s">
        <v>874</v>
      </c>
      <c r="C3" s="384"/>
      <c r="D3" s="384"/>
      <c r="E3" s="384"/>
      <c r="F3" s="384"/>
      <c r="G3" s="384"/>
      <c r="H3" s="384"/>
      <c r="I3" s="385"/>
    </row>
    <row r="4" spans="1:9" x14ac:dyDescent="0.25">
      <c r="A4" s="9"/>
      <c r="B4" s="386"/>
      <c r="C4" s="387"/>
      <c r="D4" s="387"/>
      <c r="E4" s="387"/>
      <c r="F4" s="387"/>
      <c r="G4" s="387"/>
      <c r="H4" s="387"/>
      <c r="I4" s="388"/>
    </row>
    <row r="5" spans="1:9" x14ac:dyDescent="0.25">
      <c r="A5" s="9"/>
      <c r="B5" s="386"/>
      <c r="C5" s="387"/>
      <c r="D5" s="387"/>
      <c r="E5" s="387"/>
      <c r="F5" s="387"/>
      <c r="G5" s="387"/>
      <c r="H5" s="387"/>
      <c r="I5" s="388"/>
    </row>
    <row r="6" spans="1:9" x14ac:dyDescent="0.25">
      <c r="A6" s="9"/>
      <c r="B6" s="386"/>
      <c r="C6" s="387"/>
      <c r="D6" s="387"/>
      <c r="E6" s="387"/>
      <c r="F6" s="387"/>
      <c r="G6" s="387"/>
      <c r="H6" s="387"/>
      <c r="I6" s="388"/>
    </row>
    <row r="7" spans="1:9" x14ac:dyDescent="0.25">
      <c r="A7" s="9"/>
      <c r="B7" s="389"/>
      <c r="C7" s="390"/>
      <c r="D7" s="390"/>
      <c r="E7" s="390"/>
      <c r="F7" s="390"/>
      <c r="G7" s="390"/>
      <c r="H7" s="390"/>
      <c r="I7" s="391"/>
    </row>
    <row r="8" spans="1:9" x14ac:dyDescent="0.25">
      <c r="A8" s="9"/>
      <c r="B8" s="141"/>
      <c r="C8" s="141"/>
      <c r="D8" s="141"/>
      <c r="E8" s="141"/>
      <c r="F8" s="141"/>
      <c r="G8" s="141"/>
      <c r="H8" s="141"/>
      <c r="I8" s="141"/>
    </row>
    <row r="9" spans="1:9" x14ac:dyDescent="0.25">
      <c r="B9" s="9" t="s">
        <v>304</v>
      </c>
    </row>
    <row r="10" spans="1:9" x14ac:dyDescent="0.25">
      <c r="B10" s="130" t="s">
        <v>17</v>
      </c>
      <c r="C10" s="130">
        <f>AeMBR!C3</f>
        <v>3.1E-2</v>
      </c>
      <c r="D10" s="130" t="s">
        <v>25</v>
      </c>
      <c r="F10" s="128"/>
      <c r="G10" s="9" t="s">
        <v>387</v>
      </c>
    </row>
    <row r="11" spans="1:9" x14ac:dyDescent="0.25">
      <c r="B11" s="130" t="s">
        <v>17</v>
      </c>
      <c r="C11" s="131">
        <f>C10*1000000/CONVERT(1,"m^3", "gal")</f>
        <v>117.34776530399999</v>
      </c>
      <c r="D11" s="130" t="s">
        <v>19</v>
      </c>
      <c r="F11" s="173"/>
      <c r="G11" s="9" t="s">
        <v>431</v>
      </c>
    </row>
    <row r="12" spans="1:9" ht="17.25" x14ac:dyDescent="0.25">
      <c r="B12" s="132" t="s">
        <v>413</v>
      </c>
      <c r="C12" s="134">
        <v>2.4500000000000002</v>
      </c>
      <c r="D12" s="130" t="s">
        <v>414</v>
      </c>
    </row>
    <row r="13" spans="1:9" x14ac:dyDescent="0.25">
      <c r="B13" s="130" t="s">
        <v>48</v>
      </c>
      <c r="C13" s="131">
        <f>C12/C11*CONVERT(1,"day","mn")</f>
        <v>30.064483894178959</v>
      </c>
      <c r="D13" s="132" t="s">
        <v>415</v>
      </c>
      <c r="E13" s="8"/>
    </row>
    <row r="14" spans="1:9" x14ac:dyDescent="0.25"/>
    <row r="15" spans="1:9" x14ac:dyDescent="0.25">
      <c r="B15" s="9" t="s">
        <v>361</v>
      </c>
    </row>
    <row r="16" spans="1:9" x14ac:dyDescent="0.25">
      <c r="B16" s="117" t="s">
        <v>362</v>
      </c>
    </row>
    <row r="17" spans="2:20" x14ac:dyDescent="0.25">
      <c r="B17" s="117" t="s">
        <v>363</v>
      </c>
    </row>
    <row r="18" spans="2:20" x14ac:dyDescent="0.25">
      <c r="B18" s="119" t="s">
        <v>416</v>
      </c>
    </row>
    <row r="19" spans="2:20" x14ac:dyDescent="0.25"/>
    <row r="20" spans="2:20" x14ac:dyDescent="0.25">
      <c r="B20" s="9" t="s">
        <v>305</v>
      </c>
      <c r="T20" s="9"/>
    </row>
    <row r="21" spans="2:20" x14ac:dyDescent="0.25">
      <c r="B21" s="129" t="s">
        <v>417</v>
      </c>
      <c r="C21" s="170">
        <v>3.0755040799428701</v>
      </c>
      <c r="D21" s="130" t="s">
        <v>50</v>
      </c>
      <c r="T21" s="9"/>
    </row>
    <row r="22" spans="2:20" ht="30" x14ac:dyDescent="0.25">
      <c r="B22" s="142" t="s">
        <v>418</v>
      </c>
      <c r="C22" s="143">
        <f>E85</f>
        <v>0.99746412395966311</v>
      </c>
      <c r="D22" s="130" t="s">
        <v>419</v>
      </c>
      <c r="T22" s="9"/>
    </row>
    <row r="23" spans="2:20" x14ac:dyDescent="0.25">
      <c r="B23" s="142" t="s">
        <v>420</v>
      </c>
      <c r="C23" s="144">
        <v>0.15</v>
      </c>
      <c r="D23" s="11" t="s">
        <v>819</v>
      </c>
      <c r="T23" s="9"/>
    </row>
    <row r="24" spans="2:20" x14ac:dyDescent="0.25">
      <c r="B24" s="142" t="s">
        <v>813</v>
      </c>
      <c r="C24" s="311">
        <f>C23/1.05</f>
        <v>0.14285714285714285</v>
      </c>
      <c r="D24" s="11" t="s">
        <v>814</v>
      </c>
      <c r="T24" s="9"/>
    </row>
    <row r="25" spans="2:20" x14ac:dyDescent="0.25">
      <c r="B25" s="142" t="s">
        <v>421</v>
      </c>
      <c r="C25" s="145">
        <f>C21/C24</f>
        <v>21.52852855960009</v>
      </c>
      <c r="D25" s="11" t="s">
        <v>817</v>
      </c>
      <c r="T25" s="9"/>
    </row>
    <row r="26" spans="2:20" x14ac:dyDescent="0.25">
      <c r="B26" s="142" t="s">
        <v>442</v>
      </c>
      <c r="C26" s="281">
        <f>C25/1000000*(C11*'Conversion Factors'!$D$39*'Conversion Factors'!$D$34)*C23</f>
        <v>138.41101541907278</v>
      </c>
      <c r="D26" s="11" t="s">
        <v>815</v>
      </c>
      <c r="T26" s="9"/>
    </row>
    <row r="27" spans="2:20" x14ac:dyDescent="0.25">
      <c r="B27" s="320" t="s">
        <v>829</v>
      </c>
      <c r="C27" s="157">
        <f>C21/CONVERT(1,"lbm","mg")*CONVERT(1,"m^3", "l")*$C$11</f>
        <v>0.79565608866972426</v>
      </c>
      <c r="D27" s="321" t="s">
        <v>830</v>
      </c>
      <c r="E27" s="8"/>
      <c r="T27" s="9"/>
    </row>
    <row r="28" spans="2:20" s="312" customFormat="1" ht="18.75" x14ac:dyDescent="0.25">
      <c r="B28" s="313" t="s">
        <v>816</v>
      </c>
      <c r="C28" s="314"/>
      <c r="D28" s="315"/>
      <c r="T28" s="7"/>
    </row>
    <row r="29" spans="2:20" ht="18" x14ac:dyDescent="0.35">
      <c r="B29" s="9" t="s">
        <v>378</v>
      </c>
      <c r="E29" s="120">
        <f>C49</f>
        <v>0.49963540655112404</v>
      </c>
      <c r="F29" s="117" t="s">
        <v>422</v>
      </c>
      <c r="T29" s="9"/>
    </row>
    <row r="30" spans="2:20" ht="15" customHeight="1" x14ac:dyDescent="0.25">
      <c r="B30" s="146" t="s">
        <v>366</v>
      </c>
      <c r="C30" s="147"/>
      <c r="D30" s="147"/>
      <c r="E30" s="148">
        <f>'GPS-X Model'!D64</f>
        <v>0.18854487254666211</v>
      </c>
      <c r="F30" s="147" t="s">
        <v>379</v>
      </c>
      <c r="G30" s="392" t="s">
        <v>306</v>
      </c>
      <c r="H30" s="392"/>
      <c r="I30" s="392"/>
      <c r="J30" s="392"/>
      <c r="K30" s="392"/>
      <c r="L30" s="392"/>
      <c r="M30" s="392"/>
      <c r="N30" s="392"/>
      <c r="O30" s="392"/>
      <c r="P30" s="393" t="s">
        <v>307</v>
      </c>
      <c r="Q30" s="393"/>
    </row>
    <row r="31" spans="2:20" x14ac:dyDescent="0.25">
      <c r="B31" s="149" t="s">
        <v>308</v>
      </c>
      <c r="E31" s="117">
        <v>7.6</v>
      </c>
      <c r="F31" s="119" t="s">
        <v>952</v>
      </c>
      <c r="H31" s="35"/>
    </row>
    <row r="32" spans="2:20" ht="18" x14ac:dyDescent="0.35">
      <c r="B32" s="150" t="s">
        <v>311</v>
      </c>
      <c r="E32" s="118">
        <f>E30*E31+E29</f>
        <v>1.9325764379057562</v>
      </c>
      <c r="F32" s="117" t="s">
        <v>422</v>
      </c>
      <c r="H32" s="35"/>
    </row>
    <row r="33" spans="2:10" ht="18" x14ac:dyDescent="0.35">
      <c r="B33" s="150" t="s">
        <v>367</v>
      </c>
      <c r="E33" s="118">
        <f>D56-E85</f>
        <v>0.14546351807745084</v>
      </c>
      <c r="F33" s="117" t="s">
        <v>422</v>
      </c>
      <c r="H33" s="35"/>
    </row>
    <row r="34" spans="2:10" ht="18" x14ac:dyDescent="0.35">
      <c r="B34" s="150" t="s">
        <v>365</v>
      </c>
      <c r="E34" s="117">
        <v>1</v>
      </c>
      <c r="F34" s="117" t="s">
        <v>422</v>
      </c>
    </row>
    <row r="35" spans="2:10" ht="18" x14ac:dyDescent="0.35">
      <c r="B35" s="151" t="s">
        <v>313</v>
      </c>
      <c r="C35" s="152"/>
      <c r="D35" s="152"/>
      <c r="E35" s="169">
        <f>E32+E34+E33</f>
        <v>3.0780399559832068</v>
      </c>
      <c r="F35" s="153" t="s">
        <v>423</v>
      </c>
      <c r="H35" s="35"/>
    </row>
    <row r="36" spans="2:10" x14ac:dyDescent="0.25">
      <c r="B36" s="154" t="s">
        <v>381</v>
      </c>
      <c r="C36" s="155"/>
      <c r="D36" s="155"/>
      <c r="E36" s="156">
        <f>AVERAGE(E56:E85)*C13</f>
        <v>32.002946491396017</v>
      </c>
      <c r="F36" s="155" t="s">
        <v>51</v>
      </c>
      <c r="H36" s="35"/>
    </row>
    <row r="37" spans="2:10" x14ac:dyDescent="0.25"/>
    <row r="38" spans="2:10" x14ac:dyDescent="0.25">
      <c r="B38" s="9" t="s">
        <v>377</v>
      </c>
      <c r="D38" s="8"/>
    </row>
    <row r="39" spans="2:10" x14ac:dyDescent="0.25">
      <c r="B39" s="130" t="s">
        <v>272</v>
      </c>
      <c r="C39" s="157">
        <v>0.62</v>
      </c>
    </row>
    <row r="40" spans="2:10" x14ac:dyDescent="0.25">
      <c r="B40" s="130" t="s">
        <v>273</v>
      </c>
      <c r="C40" s="157">
        <v>0.52200000000000002</v>
      </c>
    </row>
    <row r="41" spans="2:10" x14ac:dyDescent="0.25">
      <c r="B41" s="130" t="s">
        <v>274</v>
      </c>
      <c r="C41" s="157">
        <v>0.30199999999999999</v>
      </c>
    </row>
    <row r="42" spans="2:10" x14ac:dyDescent="0.25">
      <c r="B42" s="130" t="s">
        <v>275</v>
      </c>
      <c r="C42" s="157">
        <v>0.84199999999999997</v>
      </c>
    </row>
    <row r="43" spans="2:10" ht="18" x14ac:dyDescent="0.35">
      <c r="B43" s="130" t="s">
        <v>280</v>
      </c>
      <c r="C43" s="170">
        <v>3.0774773264810538</v>
      </c>
      <c r="D43" s="119" t="s">
        <v>424</v>
      </c>
    </row>
    <row r="44" spans="2:10" x14ac:dyDescent="0.25">
      <c r="B44" s="130" t="s">
        <v>324</v>
      </c>
      <c r="C44" s="158">
        <f>'GPS-X Model'!D74</f>
        <v>14</v>
      </c>
      <c r="D44" s="14" t="s">
        <v>425</v>
      </c>
    </row>
    <row r="45" spans="2:10" x14ac:dyDescent="0.25">
      <c r="B45" s="130" t="s">
        <v>277</v>
      </c>
      <c r="C45" s="159">
        <f>'GPS-X Model'!D65</f>
        <v>6.01</v>
      </c>
      <c r="D45" s="14" t="s">
        <v>425</v>
      </c>
      <c r="J45" s="119"/>
    </row>
    <row r="46" spans="2:10" x14ac:dyDescent="0.25">
      <c r="B46" s="130" t="s">
        <v>278</v>
      </c>
      <c r="C46" s="159">
        <f>'GPS-X Model'!D72</f>
        <v>5.72</v>
      </c>
      <c r="D46" s="14" t="s">
        <v>425</v>
      </c>
      <c r="J46" s="119"/>
    </row>
    <row r="47" spans="2:10" x14ac:dyDescent="0.25">
      <c r="B47" s="130" t="s">
        <v>323</v>
      </c>
      <c r="C47" s="160">
        <f>'GPS-X Model'!D73</f>
        <v>1E-3</v>
      </c>
      <c r="D47" s="14" t="s">
        <v>425</v>
      </c>
      <c r="J47" s="119"/>
    </row>
    <row r="48" spans="2:10" x14ac:dyDescent="0.25">
      <c r="B48" s="130" t="s">
        <v>279</v>
      </c>
      <c r="C48" s="157">
        <f>C47*C44</f>
        <v>1.4E-2</v>
      </c>
      <c r="D48" s="14" t="s">
        <v>426</v>
      </c>
    </row>
    <row r="49" spans="2:5" x14ac:dyDescent="0.25">
      <c r="B49" s="161" t="s">
        <v>276</v>
      </c>
      <c r="C49" s="162">
        <f>EXP(-$C$39+($C$40*LOG($C$43/$C$45))+($C$41*LOG(C48))+C42*LOG(C46))</f>
        <v>0.49963540655112404</v>
      </c>
      <c r="D49" s="163" t="s">
        <v>325</v>
      </c>
    </row>
    <row r="50" spans="2:5" x14ac:dyDescent="0.25">
      <c r="B50" s="164" t="s">
        <v>427</v>
      </c>
      <c r="C50" s="165"/>
      <c r="D50" s="166"/>
    </row>
    <row r="51" spans="2:5" x14ac:dyDescent="0.25"/>
    <row r="52" spans="2:5" x14ac:dyDescent="0.25">
      <c r="B52" s="9" t="s">
        <v>372</v>
      </c>
    </row>
    <row r="53" spans="2:5" x14ac:dyDescent="0.25">
      <c r="B53" s="9" t="s">
        <v>428</v>
      </c>
    </row>
    <row r="54" spans="2:5" x14ac:dyDescent="0.25">
      <c r="B54" s="119" t="s">
        <v>373</v>
      </c>
      <c r="C54" s="120">
        <f>10/24</f>
        <v>0.41666666666666669</v>
      </c>
      <c r="D54" s="119" t="s">
        <v>374</v>
      </c>
    </row>
    <row r="55" spans="2:5" ht="18" x14ac:dyDescent="0.35">
      <c r="B55" s="167" t="s">
        <v>371</v>
      </c>
      <c r="C55" s="129" t="s">
        <v>370</v>
      </c>
      <c r="D55" s="129" t="s">
        <v>369</v>
      </c>
      <c r="E55" s="129" t="s">
        <v>368</v>
      </c>
    </row>
    <row r="56" spans="2:5" x14ac:dyDescent="0.25">
      <c r="B56" s="130">
        <v>1</v>
      </c>
      <c r="C56" s="157">
        <f t="shared" ref="C56:C84" si="0">B56/60*0.7</f>
        <v>1.1666666666666665E-2</v>
      </c>
      <c r="D56" s="134">
        <f>C21-E32</f>
        <v>1.1429276420371139</v>
      </c>
      <c r="E56" s="157">
        <f t="shared" ref="E56:E84" si="1">(1/(1+($C$54*C56))*D56)</f>
        <v>1.1373986209629883</v>
      </c>
    </row>
    <row r="57" spans="2:5" x14ac:dyDescent="0.25">
      <c r="B57" s="130">
        <f t="shared" ref="B57:B85" si="2">B56+1</f>
        <v>2</v>
      </c>
      <c r="C57" s="157">
        <f t="shared" si="0"/>
        <v>2.3333333333333331E-2</v>
      </c>
      <c r="D57" s="134">
        <f t="shared" ref="D57:D85" si="3">$D$56</f>
        <v>1.1429276420371139</v>
      </c>
      <c r="E57" s="157">
        <f t="shared" si="1"/>
        <v>1.1319228366804981</v>
      </c>
    </row>
    <row r="58" spans="2:5" x14ac:dyDescent="0.25">
      <c r="B58" s="130">
        <f t="shared" si="2"/>
        <v>3</v>
      </c>
      <c r="C58" s="157">
        <f t="shared" si="0"/>
        <v>3.4999999999999996E-2</v>
      </c>
      <c r="D58" s="134">
        <f t="shared" si="3"/>
        <v>1.1429276420371139</v>
      </c>
      <c r="E58" s="157">
        <f t="shared" si="1"/>
        <v>1.1264995239790856</v>
      </c>
    </row>
    <row r="59" spans="2:5" x14ac:dyDescent="0.25">
      <c r="B59" s="130">
        <f t="shared" si="2"/>
        <v>4</v>
      </c>
      <c r="C59" s="157">
        <f t="shared" si="0"/>
        <v>4.6666666666666662E-2</v>
      </c>
      <c r="D59" s="134">
        <f t="shared" si="3"/>
        <v>1.1429276420371139</v>
      </c>
      <c r="E59" s="157">
        <f t="shared" si="1"/>
        <v>1.1211279322434906</v>
      </c>
    </row>
    <row r="60" spans="2:5" x14ac:dyDescent="0.25">
      <c r="B60" s="130">
        <f t="shared" si="2"/>
        <v>5</v>
      </c>
      <c r="C60" s="157">
        <f t="shared" si="0"/>
        <v>5.8333333333333327E-2</v>
      </c>
      <c r="D60" s="134">
        <f t="shared" si="3"/>
        <v>1.1429276420371139</v>
      </c>
      <c r="E60" s="157">
        <f t="shared" si="1"/>
        <v>1.1158073251074196</v>
      </c>
    </row>
    <row r="61" spans="2:5" x14ac:dyDescent="0.25">
      <c r="B61" s="130">
        <f t="shared" si="2"/>
        <v>6</v>
      </c>
      <c r="C61" s="157">
        <f t="shared" si="0"/>
        <v>6.9999999999999993E-2</v>
      </c>
      <c r="D61" s="134">
        <f t="shared" si="3"/>
        <v>1.1429276420371139</v>
      </c>
      <c r="E61" s="157">
        <f t="shared" si="1"/>
        <v>1.1105369801170339</v>
      </c>
    </row>
    <row r="62" spans="2:5" x14ac:dyDescent="0.25">
      <c r="B62" s="130">
        <f t="shared" si="2"/>
        <v>7</v>
      </c>
      <c r="C62" s="157">
        <f t="shared" si="0"/>
        <v>8.1666666666666665E-2</v>
      </c>
      <c r="D62" s="134">
        <f t="shared" si="3"/>
        <v>1.1429276420371139</v>
      </c>
      <c r="E62" s="157">
        <f t="shared" si="1"/>
        <v>1.1053161884039249</v>
      </c>
    </row>
    <row r="63" spans="2:5" x14ac:dyDescent="0.25">
      <c r="B63" s="130">
        <f t="shared" si="2"/>
        <v>8</v>
      </c>
      <c r="C63" s="157">
        <f t="shared" si="0"/>
        <v>9.3333333333333324E-2</v>
      </c>
      <c r="D63" s="134">
        <f t="shared" si="3"/>
        <v>1.1429276420371139</v>
      </c>
      <c r="E63" s="157">
        <f t="shared" si="1"/>
        <v>1.1001442543672755</v>
      </c>
    </row>
    <row r="64" spans="2:5" x14ac:dyDescent="0.25">
      <c r="B64" s="130">
        <f t="shared" si="2"/>
        <v>9</v>
      </c>
      <c r="C64" s="157">
        <f t="shared" si="0"/>
        <v>0.105</v>
      </c>
      <c r="D64" s="134">
        <f t="shared" si="3"/>
        <v>1.1429276420371139</v>
      </c>
      <c r="E64" s="157">
        <f t="shared" si="1"/>
        <v>1.0950204953648996</v>
      </c>
    </row>
    <row r="65" spans="2:5" x14ac:dyDescent="0.25">
      <c r="B65" s="130">
        <f t="shared" si="2"/>
        <v>10</v>
      </c>
      <c r="C65" s="157">
        <f t="shared" si="0"/>
        <v>0.11666666666666665</v>
      </c>
      <c r="D65" s="134">
        <f t="shared" si="3"/>
        <v>1.1429276420371139</v>
      </c>
      <c r="E65" s="157">
        <f t="shared" si="1"/>
        <v>1.0899442414128768</v>
      </c>
    </row>
    <row r="66" spans="2:5" x14ac:dyDescent="0.25">
      <c r="B66" s="130">
        <f t="shared" si="2"/>
        <v>11</v>
      </c>
      <c r="C66" s="157">
        <f t="shared" si="0"/>
        <v>0.12833333333333333</v>
      </c>
      <c r="D66" s="134">
        <f t="shared" si="3"/>
        <v>1.1429276420371139</v>
      </c>
      <c r="E66" s="157">
        <f t="shared" si="1"/>
        <v>1.0849148348935032</v>
      </c>
    </row>
    <row r="67" spans="2:5" x14ac:dyDescent="0.25">
      <c r="B67" s="130">
        <f t="shared" si="2"/>
        <v>12</v>
      </c>
      <c r="C67" s="157">
        <f t="shared" si="0"/>
        <v>0.13999999999999999</v>
      </c>
      <c r="D67" s="134">
        <f t="shared" si="3"/>
        <v>1.1429276420371139</v>
      </c>
      <c r="E67" s="157">
        <f t="shared" si="1"/>
        <v>1.0799316302712887</v>
      </c>
    </row>
    <row r="68" spans="2:5" x14ac:dyDescent="0.25">
      <c r="B68" s="130">
        <f t="shared" si="2"/>
        <v>13</v>
      </c>
      <c r="C68" s="157">
        <f t="shared" si="0"/>
        <v>0.15166666666666667</v>
      </c>
      <c r="D68" s="134">
        <f t="shared" si="3"/>
        <v>1.1429276420371139</v>
      </c>
      <c r="E68" s="157">
        <f t="shared" si="1"/>
        <v>1.0749939938167496</v>
      </c>
    </row>
    <row r="69" spans="2:5" x14ac:dyDescent="0.25">
      <c r="B69" s="130">
        <f t="shared" si="2"/>
        <v>14</v>
      </c>
      <c r="C69" s="157">
        <f t="shared" si="0"/>
        <v>0.16333333333333333</v>
      </c>
      <c r="D69" s="134">
        <f t="shared" si="3"/>
        <v>1.1429276420371139</v>
      </c>
      <c r="E69" s="157">
        <f t="shared" si="1"/>
        <v>1.07010130333774</v>
      </c>
    </row>
    <row r="70" spans="2:5" x14ac:dyDescent="0.25">
      <c r="B70" s="130">
        <f t="shared" si="2"/>
        <v>15</v>
      </c>
      <c r="C70" s="157">
        <f t="shared" si="0"/>
        <v>0.17499999999999999</v>
      </c>
      <c r="D70" s="134">
        <f t="shared" si="3"/>
        <v>1.1429276420371139</v>
      </c>
      <c r="E70" s="157">
        <f t="shared" si="1"/>
        <v>1.0652529479180868</v>
      </c>
    </row>
    <row r="71" spans="2:5" x14ac:dyDescent="0.25">
      <c r="B71" s="130">
        <f t="shared" si="2"/>
        <v>16</v>
      </c>
      <c r="C71" s="157">
        <f t="shared" si="0"/>
        <v>0.18666666666666665</v>
      </c>
      <c r="D71" s="134">
        <f t="shared" si="3"/>
        <v>1.1429276420371139</v>
      </c>
      <c r="E71" s="157">
        <f t="shared" si="1"/>
        <v>1.0604483276633017</v>
      </c>
    </row>
    <row r="72" spans="2:5" x14ac:dyDescent="0.25">
      <c r="B72" s="130">
        <f t="shared" si="2"/>
        <v>17</v>
      </c>
      <c r="C72" s="157">
        <f t="shared" si="0"/>
        <v>0.19833333333333331</v>
      </c>
      <c r="D72" s="134">
        <f t="shared" si="3"/>
        <v>1.1429276420371139</v>
      </c>
      <c r="E72" s="157">
        <f t="shared" si="1"/>
        <v>1.0556868534531392</v>
      </c>
    </row>
    <row r="73" spans="2:5" x14ac:dyDescent="0.25">
      <c r="B73" s="130">
        <f t="shared" si="2"/>
        <v>18</v>
      </c>
      <c r="C73" s="157">
        <f t="shared" si="0"/>
        <v>0.21</v>
      </c>
      <c r="D73" s="134">
        <f t="shared" si="3"/>
        <v>1.1429276420371139</v>
      </c>
      <c r="E73" s="157">
        <f t="shared" si="1"/>
        <v>1.0509679467007946</v>
      </c>
    </row>
    <row r="74" spans="2:5" x14ac:dyDescent="0.25">
      <c r="B74" s="130">
        <f t="shared" si="2"/>
        <v>19</v>
      </c>
      <c r="C74" s="157">
        <f t="shared" si="0"/>
        <v>0.22166666666666665</v>
      </c>
      <c r="D74" s="134">
        <f t="shared" si="3"/>
        <v>1.1429276420371139</v>
      </c>
      <c r="E74" s="157">
        <f t="shared" si="1"/>
        <v>1.0462910391185278</v>
      </c>
    </row>
    <row r="75" spans="2:5" x14ac:dyDescent="0.25">
      <c r="B75" s="130">
        <f t="shared" si="2"/>
        <v>20</v>
      </c>
      <c r="C75" s="157">
        <f t="shared" si="0"/>
        <v>0.23333333333333331</v>
      </c>
      <c r="D75" s="134">
        <f t="shared" si="3"/>
        <v>1.1429276420371139</v>
      </c>
      <c r="E75" s="157">
        <f t="shared" si="1"/>
        <v>1.0416555724895216</v>
      </c>
    </row>
    <row r="76" spans="2:5" x14ac:dyDescent="0.25">
      <c r="B76" s="130">
        <f t="shared" si="2"/>
        <v>21</v>
      </c>
      <c r="C76" s="157">
        <f t="shared" si="0"/>
        <v>0.24499999999999997</v>
      </c>
      <c r="D76" s="134">
        <f t="shared" si="3"/>
        <v>1.1429276420371139</v>
      </c>
      <c r="E76" s="157">
        <f t="shared" si="1"/>
        <v>1.0370609984457744</v>
      </c>
    </row>
    <row r="77" spans="2:5" x14ac:dyDescent="0.25">
      <c r="B77" s="130">
        <f t="shared" si="2"/>
        <v>22</v>
      </c>
      <c r="C77" s="157">
        <f t="shared" si="0"/>
        <v>0.25666666666666665</v>
      </c>
      <c r="D77" s="134">
        <f t="shared" si="3"/>
        <v>1.1429276420371139</v>
      </c>
      <c r="E77" s="157">
        <f t="shared" si="1"/>
        <v>1.0325067782518469</v>
      </c>
    </row>
    <row r="78" spans="2:5" x14ac:dyDescent="0.25">
      <c r="B78" s="130">
        <f t="shared" si="2"/>
        <v>23</v>
      </c>
      <c r="C78" s="157">
        <f t="shared" si="0"/>
        <v>0.26833333333333331</v>
      </c>
      <c r="D78" s="134">
        <f t="shared" si="3"/>
        <v>1.1429276420371139</v>
      </c>
      <c r="E78" s="157">
        <f t="shared" si="1"/>
        <v>1.0279923825942812</v>
      </c>
    </row>
    <row r="79" spans="2:5" x14ac:dyDescent="0.25">
      <c r="B79" s="130">
        <f t="shared" si="2"/>
        <v>24</v>
      </c>
      <c r="C79" s="157">
        <f t="shared" si="0"/>
        <v>0.27999999999999997</v>
      </c>
      <c r="D79" s="134">
        <f t="shared" si="3"/>
        <v>1.1429276420371139</v>
      </c>
      <c r="E79" s="157">
        <f t="shared" si="1"/>
        <v>1.02351729137652</v>
      </c>
    </row>
    <row r="80" spans="2:5" x14ac:dyDescent="0.25">
      <c r="B80" s="130">
        <f t="shared" si="2"/>
        <v>25</v>
      </c>
      <c r="C80" s="157">
        <f t="shared" si="0"/>
        <v>0.29166666666666669</v>
      </c>
      <c r="D80" s="134">
        <f t="shared" si="3"/>
        <v>1.1429276420371139</v>
      </c>
      <c r="E80" s="157">
        <f t="shared" si="1"/>
        <v>1.0190809935191605</v>
      </c>
    </row>
    <row r="81" spans="2:6" x14ac:dyDescent="0.25">
      <c r="B81" s="130">
        <f t="shared" si="2"/>
        <v>26</v>
      </c>
      <c r="C81" s="157">
        <f t="shared" si="0"/>
        <v>0.30333333333333334</v>
      </c>
      <c r="D81" s="134">
        <f t="shared" si="3"/>
        <v>1.1429276420371139</v>
      </c>
      <c r="E81" s="157">
        <f t="shared" si="1"/>
        <v>1.0146829867653786</v>
      </c>
    </row>
    <row r="82" spans="2:6" x14ac:dyDescent="0.25">
      <c r="B82" s="130">
        <f t="shared" si="2"/>
        <v>27</v>
      </c>
      <c r="C82" s="157">
        <f t="shared" si="0"/>
        <v>0.315</v>
      </c>
      <c r="D82" s="134">
        <f t="shared" si="3"/>
        <v>1.1429276420371139</v>
      </c>
      <c r="E82" s="157">
        <f t="shared" si="1"/>
        <v>1.0103227774913714</v>
      </c>
    </row>
    <row r="83" spans="2:6" x14ac:dyDescent="0.25">
      <c r="B83" s="130">
        <f t="shared" si="2"/>
        <v>28</v>
      </c>
      <c r="C83" s="157">
        <f t="shared" si="0"/>
        <v>0.32666666666666666</v>
      </c>
      <c r="D83" s="134">
        <f t="shared" si="3"/>
        <v>1.1429276420371139</v>
      </c>
      <c r="E83" s="157">
        <f t="shared" si="1"/>
        <v>1.0059998805216652</v>
      </c>
    </row>
    <row r="84" spans="2:6" x14ac:dyDescent="0.25">
      <c r="B84" s="130">
        <f t="shared" si="2"/>
        <v>29</v>
      </c>
      <c r="C84" s="157">
        <f t="shared" si="0"/>
        <v>0.33833333333333332</v>
      </c>
      <c r="D84" s="134">
        <f t="shared" si="3"/>
        <v>1.1429276420371139</v>
      </c>
      <c r="E84" s="157">
        <f t="shared" si="1"/>
        <v>1.0017138189491441</v>
      </c>
    </row>
    <row r="85" spans="2:6" x14ac:dyDescent="0.25">
      <c r="B85" s="130">
        <f t="shared" si="2"/>
        <v>30</v>
      </c>
      <c r="C85" s="157">
        <f>B85/60*0.7</f>
        <v>0.35</v>
      </c>
      <c r="D85" s="134">
        <f t="shared" si="3"/>
        <v>1.1429276420371139</v>
      </c>
      <c r="E85" s="157">
        <f>(1/(1+($C$54*C85))*D85)</f>
        <v>0.99746412395966311</v>
      </c>
      <c r="F85" s="168" t="s">
        <v>376</v>
      </c>
    </row>
    <row r="86" spans="2:6" x14ac:dyDescent="0.25"/>
    <row r="87" spans="2:6" x14ac:dyDescent="0.25">
      <c r="B87" s="9" t="s">
        <v>673</v>
      </c>
      <c r="C87" s="14"/>
      <c r="D87" s="14"/>
    </row>
    <row r="88" spans="2:6" x14ac:dyDescent="0.25">
      <c r="B88" s="14" t="s">
        <v>690</v>
      </c>
      <c r="C88" s="260">
        <v>3.4068706056</v>
      </c>
      <c r="D88" s="14" t="s">
        <v>2</v>
      </c>
    </row>
    <row r="89" spans="2:6" x14ac:dyDescent="0.25">
      <c r="B89" s="14" t="s">
        <v>713</v>
      </c>
      <c r="C89" s="260">
        <v>7.538068948506262</v>
      </c>
      <c r="D89" s="14" t="s">
        <v>2</v>
      </c>
    </row>
    <row r="90" spans="2:6" x14ac:dyDescent="0.25">
      <c r="B90" s="206" t="s">
        <v>714</v>
      </c>
      <c r="C90" s="261">
        <v>0.91463414634146345</v>
      </c>
      <c r="D90" s="206" t="s">
        <v>46</v>
      </c>
    </row>
    <row r="91" spans="2:6" x14ac:dyDescent="0.25">
      <c r="B91" s="206" t="s">
        <v>715</v>
      </c>
      <c r="C91" s="260">
        <v>1.9308943089430894</v>
      </c>
      <c r="D91" s="14" t="s">
        <v>46</v>
      </c>
    </row>
    <row r="92" spans="2:6" x14ac:dyDescent="0.25">
      <c r="B92" s="206" t="s">
        <v>716</v>
      </c>
      <c r="C92" s="261">
        <v>0.91463414634146345</v>
      </c>
      <c r="D92" s="206" t="s">
        <v>46</v>
      </c>
    </row>
    <row r="93" spans="2:6" x14ac:dyDescent="0.25">
      <c r="B93" s="206" t="s">
        <v>717</v>
      </c>
      <c r="C93" s="262">
        <v>4.2682926829268295</v>
      </c>
      <c r="D93" s="206" t="s">
        <v>46</v>
      </c>
    </row>
    <row r="94" spans="2:6" x14ac:dyDescent="0.25">
      <c r="B94" s="206" t="s">
        <v>693</v>
      </c>
      <c r="C94" s="261">
        <v>0.1016260162601626</v>
      </c>
      <c r="D94" s="206" t="s">
        <v>718</v>
      </c>
    </row>
    <row r="95" spans="2:6" x14ac:dyDescent="0.25">
      <c r="B95" s="206" t="s">
        <v>695</v>
      </c>
      <c r="C95" s="261">
        <v>0.1524390243902439</v>
      </c>
      <c r="D95" s="206" t="s">
        <v>719</v>
      </c>
    </row>
    <row r="96" spans="2:6" x14ac:dyDescent="0.25">
      <c r="B96" s="206" t="s">
        <v>720</v>
      </c>
      <c r="C96" s="262">
        <v>4.2682926829268295</v>
      </c>
      <c r="D96" s="206" t="s">
        <v>46</v>
      </c>
    </row>
    <row r="97" spans="2:4" x14ac:dyDescent="0.25">
      <c r="B97" s="206" t="s">
        <v>721</v>
      </c>
      <c r="C97" s="262">
        <v>2.1341463414634148</v>
      </c>
      <c r="D97" s="206" t="s">
        <v>46</v>
      </c>
    </row>
    <row r="98" spans="2:4" x14ac:dyDescent="0.25">
      <c r="B98" s="206" t="s">
        <v>722</v>
      </c>
      <c r="C98" s="262">
        <v>2</v>
      </c>
      <c r="D98" s="206" t="s">
        <v>45</v>
      </c>
    </row>
    <row r="99" spans="2:4" x14ac:dyDescent="0.25">
      <c r="B99" s="206" t="s">
        <v>723</v>
      </c>
      <c r="C99" s="262">
        <v>3</v>
      </c>
      <c r="D99" s="206" t="s">
        <v>724</v>
      </c>
    </row>
    <row r="100" spans="2:4" x14ac:dyDescent="0.25">
      <c r="B100" s="206" t="s">
        <v>725</v>
      </c>
      <c r="C100" s="262">
        <v>2</v>
      </c>
      <c r="D100" s="206" t="s">
        <v>45</v>
      </c>
    </row>
    <row r="101" spans="2:4" x14ac:dyDescent="0.25">
      <c r="B101" s="206" t="s">
        <v>726</v>
      </c>
      <c r="C101" s="262">
        <v>87.575066924449743</v>
      </c>
      <c r="D101" s="206" t="s">
        <v>511</v>
      </c>
    </row>
    <row r="102" spans="2:4" x14ac:dyDescent="0.25">
      <c r="B102" s="206" t="s">
        <v>727</v>
      </c>
      <c r="C102" s="261">
        <v>0.53843349632187576</v>
      </c>
      <c r="D102" s="206" t="s">
        <v>2</v>
      </c>
    </row>
    <row r="103" spans="2:4" x14ac:dyDescent="0.25">
      <c r="B103" s="206" t="s">
        <v>728</v>
      </c>
      <c r="C103" s="262">
        <v>0.79348094194802754</v>
      </c>
      <c r="D103" s="206" t="s">
        <v>2</v>
      </c>
    </row>
    <row r="104" spans="2:4" x14ac:dyDescent="0.25">
      <c r="B104" s="206" t="s">
        <v>729</v>
      </c>
      <c r="C104" s="261">
        <v>2.7771832968180963</v>
      </c>
      <c r="D104" s="206" t="s">
        <v>2</v>
      </c>
    </row>
    <row r="105" spans="2:4" x14ac:dyDescent="0.25">
      <c r="B105" s="206" t="s">
        <v>704</v>
      </c>
      <c r="C105" s="263">
        <v>4.1090977350879996</v>
      </c>
      <c r="D105" s="206" t="s">
        <v>2</v>
      </c>
    </row>
    <row r="106" spans="2:4" x14ac:dyDescent="0.25">
      <c r="B106" s="206" t="s">
        <v>705</v>
      </c>
      <c r="C106" s="264">
        <v>2300</v>
      </c>
      <c r="D106" s="206" t="s">
        <v>73</v>
      </c>
    </row>
    <row r="107" spans="2:4" x14ac:dyDescent="0.25">
      <c r="B107" s="206" t="s">
        <v>706</v>
      </c>
      <c r="C107" s="265">
        <v>40</v>
      </c>
      <c r="D107" s="206" t="s">
        <v>707</v>
      </c>
    </row>
    <row r="108" spans="2:4" x14ac:dyDescent="0.25">
      <c r="B108" s="206" t="s">
        <v>708</v>
      </c>
      <c r="C108" s="266">
        <v>9450.9247907023982</v>
      </c>
      <c r="D108" s="206" t="s">
        <v>553</v>
      </c>
    </row>
    <row r="109" spans="2:4" x14ac:dyDescent="0.25">
      <c r="B109" s="206" t="s">
        <v>709</v>
      </c>
      <c r="C109" s="261">
        <v>0.30479999024640031</v>
      </c>
      <c r="D109" s="206" t="s">
        <v>710</v>
      </c>
    </row>
    <row r="110" spans="2:4" x14ac:dyDescent="0.25">
      <c r="B110" s="206" t="s">
        <v>711</v>
      </c>
      <c r="C110" s="265">
        <v>102.77021490184417</v>
      </c>
      <c r="D110" s="206" t="s">
        <v>46</v>
      </c>
    </row>
    <row r="111" spans="2:4" x14ac:dyDescent="0.25">
      <c r="B111" s="206" t="s">
        <v>712</v>
      </c>
      <c r="C111" s="205">
        <v>102.46920709475535</v>
      </c>
      <c r="D111" s="206" t="s">
        <v>553</v>
      </c>
    </row>
    <row r="112" spans="2:4" x14ac:dyDescent="0.25">
      <c r="B112" s="206" t="s">
        <v>730</v>
      </c>
      <c r="C112" s="265">
        <v>50</v>
      </c>
      <c r="D112" s="206" t="s">
        <v>707</v>
      </c>
    </row>
    <row r="113" spans="2:4" x14ac:dyDescent="0.25">
      <c r="B113" s="206" t="s">
        <v>731</v>
      </c>
      <c r="C113" s="265">
        <v>10</v>
      </c>
      <c r="D113" s="206" t="s">
        <v>46</v>
      </c>
    </row>
    <row r="114" spans="2:4" x14ac:dyDescent="0.25">
      <c r="B114" s="206" t="s">
        <v>732</v>
      </c>
      <c r="C114" s="267">
        <v>12.351775816240441</v>
      </c>
      <c r="D114" s="206" t="s">
        <v>553</v>
      </c>
    </row>
    <row r="115" spans="2:4" x14ac:dyDescent="0.25">
      <c r="B115" s="35" t="s">
        <v>733</v>
      </c>
    </row>
    <row r="116" spans="2:4" x14ac:dyDescent="0.25">
      <c r="B116" s="202" t="s">
        <v>462</v>
      </c>
      <c r="C116" s="268">
        <v>1.7</v>
      </c>
      <c r="D116" s="184" t="s">
        <v>460</v>
      </c>
    </row>
    <row r="117" spans="2:4" x14ac:dyDescent="0.25">
      <c r="B117" s="202" t="s">
        <v>463</v>
      </c>
      <c r="C117" s="268">
        <v>120</v>
      </c>
      <c r="D117" s="184" t="s">
        <v>461</v>
      </c>
    </row>
    <row r="118" spans="2:4" x14ac:dyDescent="0.25">
      <c r="B118" s="202" t="s">
        <v>476</v>
      </c>
      <c r="C118" s="268">
        <v>0.20399999999999999</v>
      </c>
      <c r="D118" s="184" t="s">
        <v>437</v>
      </c>
    </row>
    <row r="119" spans="2:4" x14ac:dyDescent="0.25">
      <c r="B119" s="202" t="s">
        <v>443</v>
      </c>
      <c r="C119" s="263">
        <v>1788.2639999999999</v>
      </c>
      <c r="D119" s="184" t="s">
        <v>477</v>
      </c>
    </row>
    <row r="120" spans="2:4" x14ac:dyDescent="0.25">
      <c r="B120" s="204" t="s">
        <v>443</v>
      </c>
      <c r="C120" s="268">
        <v>5.1770889976788151E-2</v>
      </c>
      <c r="D120" s="184" t="s">
        <v>439</v>
      </c>
    </row>
    <row r="121" spans="2:4" x14ac:dyDescent="0.25">
      <c r="B121" s="269" t="s">
        <v>530</v>
      </c>
      <c r="C121" s="268"/>
      <c r="D121" s="184"/>
    </row>
    <row r="122" spans="2:4" x14ac:dyDescent="0.25">
      <c r="B122" s="35" t="s">
        <v>733</v>
      </c>
    </row>
    <row r="123" spans="2:4" x14ac:dyDescent="0.25"/>
    <row r="124" spans="2:4" x14ac:dyDescent="0.25"/>
    <row r="125" spans="2:4" x14ac:dyDescent="0.25"/>
    <row r="126" spans="2:4" x14ac:dyDescent="0.25"/>
    <row r="127" spans="2:4" hidden="1" x14ac:dyDescent="0.25"/>
    <row r="128" spans="2:4" hidden="1" x14ac:dyDescent="0.25"/>
    <row r="129" hidden="1" x14ac:dyDescent="0.25"/>
    <row r="130" hidden="1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</sheetData>
  <mergeCells count="3">
    <mergeCell ref="G30:O30"/>
    <mergeCell ref="P30:Q30"/>
    <mergeCell ref="B3:I7"/>
  </mergeCells>
  <hyperlinks>
    <hyperlink ref="P30" r:id="rId1" xr:uid="{00000000-0004-0000-0900-000000000000}"/>
    <hyperlink ref="B28" r:id="rId2" xr:uid="{00000000-0004-0000-0900-000001000000}"/>
  </hyperlinks>
  <pageMargins left="0.7" right="0.7" top="0.75" bottom="0.75" header="0.3" footer="0.3"/>
  <pageSetup orientation="portrait" horizontalDpi="300" verticalDpi="300"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>
    <tabColor rgb="FF00B050"/>
  </sheetPr>
  <dimension ref="B1:H27"/>
  <sheetViews>
    <sheetView zoomScale="50" zoomScaleNormal="50" workbookViewId="0">
      <selection activeCell="C8" sqref="C8"/>
    </sheetView>
  </sheetViews>
  <sheetFormatPr defaultRowHeight="15" x14ac:dyDescent="0.25"/>
  <cols>
    <col min="1" max="1" width="9.140625" style="77"/>
    <col min="2" max="6" width="28.85546875" style="77" customWidth="1"/>
    <col min="7" max="7" width="40.7109375" style="77" customWidth="1"/>
    <col min="8" max="8" width="28.85546875" style="77" customWidth="1"/>
    <col min="9" max="16384" width="9.140625" style="77"/>
  </cols>
  <sheetData>
    <row r="1" spans="2:8" x14ac:dyDescent="0.25">
      <c r="B1"/>
      <c r="C1"/>
      <c r="D1"/>
      <c r="E1"/>
      <c r="F1"/>
      <c r="G1"/>
      <c r="H1"/>
    </row>
    <row r="2" spans="2:8" ht="18" x14ac:dyDescent="0.25">
      <c r="B2" s="78" t="s">
        <v>287</v>
      </c>
      <c r="C2" s="79"/>
      <c r="D2" s="79"/>
      <c r="E2" s="79"/>
      <c r="F2" s="79"/>
      <c r="G2" s="79"/>
      <c r="H2" s="79"/>
    </row>
    <row r="3" spans="2:8" ht="15.75" x14ac:dyDescent="0.25">
      <c r="B3" s="79"/>
      <c r="C3" s="80" t="s">
        <v>288</v>
      </c>
      <c r="D3" s="80"/>
      <c r="E3" s="80"/>
      <c r="F3" s="80" t="s">
        <v>289</v>
      </c>
      <c r="G3" s="80"/>
      <c r="H3" s="80"/>
    </row>
    <row r="4" spans="2:8" x14ac:dyDescent="0.25">
      <c r="B4" s="81" t="s">
        <v>290</v>
      </c>
      <c r="C4" s="81" t="s">
        <v>291</v>
      </c>
      <c r="D4" s="81" t="s">
        <v>292</v>
      </c>
      <c r="E4" s="82" t="s">
        <v>54</v>
      </c>
      <c r="F4" s="81" t="s">
        <v>293</v>
      </c>
      <c r="G4" s="81" t="s">
        <v>294</v>
      </c>
      <c r="H4" s="81" t="s">
        <v>295</v>
      </c>
    </row>
    <row r="5" spans="2:8" ht="81.75" customHeight="1" x14ac:dyDescent="0.25">
      <c r="B5" s="83">
        <v>1</v>
      </c>
      <c r="C5" s="322" t="s">
        <v>500</v>
      </c>
      <c r="D5" s="322"/>
      <c r="E5" s="322"/>
      <c r="F5" s="83"/>
      <c r="G5" s="322" t="s">
        <v>501</v>
      </c>
      <c r="H5" s="83"/>
    </row>
    <row r="6" spans="2:8" ht="47.25" x14ac:dyDescent="0.25">
      <c r="B6" s="83">
        <v>2</v>
      </c>
      <c r="C6" s="322" t="s">
        <v>839</v>
      </c>
      <c r="D6" s="322"/>
      <c r="E6" s="322"/>
      <c r="F6" s="83"/>
      <c r="G6" s="322" t="s">
        <v>840</v>
      </c>
      <c r="H6" s="83"/>
    </row>
    <row r="7" spans="2:8" ht="31.5" x14ac:dyDescent="0.25">
      <c r="B7" s="83">
        <v>3</v>
      </c>
      <c r="C7" s="322" t="s">
        <v>841</v>
      </c>
      <c r="D7" s="322"/>
      <c r="E7" s="322"/>
      <c r="F7" s="83"/>
      <c r="G7" s="322" t="s">
        <v>842</v>
      </c>
      <c r="H7" s="83"/>
    </row>
    <row r="8" spans="2:8" ht="90" x14ac:dyDescent="0.25">
      <c r="B8" s="83">
        <v>4</v>
      </c>
      <c r="C8" s="360" t="s">
        <v>901</v>
      </c>
      <c r="D8" s="360"/>
      <c r="E8" s="360"/>
      <c r="F8" s="360"/>
      <c r="G8" s="360" t="s">
        <v>902</v>
      </c>
      <c r="H8" s="360"/>
    </row>
    <row r="9" spans="2:8" ht="63" x14ac:dyDescent="0.25">
      <c r="B9" s="83">
        <v>5</v>
      </c>
      <c r="C9" s="322" t="s">
        <v>804</v>
      </c>
      <c r="D9" s="322"/>
      <c r="E9" s="322"/>
      <c r="F9" s="322"/>
      <c r="G9" s="83" t="s">
        <v>843</v>
      </c>
      <c r="H9" s="83"/>
    </row>
    <row r="10" spans="2:8" ht="45" x14ac:dyDescent="0.25">
      <c r="B10" s="83">
        <v>6</v>
      </c>
      <c r="C10" s="360" t="s">
        <v>903</v>
      </c>
      <c r="D10" s="360"/>
      <c r="E10" s="360"/>
      <c r="F10" s="360"/>
      <c r="G10" s="360" t="s">
        <v>904</v>
      </c>
      <c r="H10" s="360"/>
    </row>
    <row r="11" spans="2:8" ht="63" x14ac:dyDescent="0.25">
      <c r="B11" s="83">
        <v>7</v>
      </c>
      <c r="C11" s="322" t="s">
        <v>844</v>
      </c>
      <c r="D11" s="322"/>
      <c r="E11" s="322"/>
      <c r="F11" s="322"/>
      <c r="G11" s="322" t="s">
        <v>845</v>
      </c>
      <c r="H11" s="83"/>
    </row>
    <row r="12" spans="2:8" ht="141.75" x14ac:dyDescent="0.25">
      <c r="B12" s="83">
        <v>8</v>
      </c>
      <c r="C12" s="322" t="s">
        <v>499</v>
      </c>
      <c r="D12" s="322"/>
      <c r="E12" s="322"/>
      <c r="F12" s="83"/>
      <c r="G12" s="83" t="s">
        <v>498</v>
      </c>
      <c r="H12" s="83"/>
    </row>
    <row r="13" spans="2:8" ht="78.75" x14ac:dyDescent="0.25">
      <c r="B13" s="83">
        <v>9</v>
      </c>
      <c r="C13" s="322" t="s">
        <v>846</v>
      </c>
      <c r="D13" s="322"/>
      <c r="E13" s="322"/>
      <c r="F13" s="83"/>
      <c r="G13" s="83" t="s">
        <v>847</v>
      </c>
      <c r="H13" s="83"/>
    </row>
    <row r="14" spans="2:8" ht="63" x14ac:dyDescent="0.25">
      <c r="B14" s="83">
        <v>10</v>
      </c>
      <c r="C14" s="322" t="s">
        <v>848</v>
      </c>
      <c r="D14" s="322"/>
      <c r="E14" s="84"/>
      <c r="F14" s="83"/>
      <c r="G14" s="83" t="s">
        <v>849</v>
      </c>
      <c r="H14" s="83"/>
    </row>
    <row r="15" spans="2:8" ht="78.75" x14ac:dyDescent="0.25">
      <c r="B15" s="83">
        <v>11</v>
      </c>
      <c r="C15" s="322" t="s">
        <v>554</v>
      </c>
      <c r="D15" s="322"/>
      <c r="E15" s="84"/>
      <c r="F15" s="83"/>
      <c r="G15" s="83" t="s">
        <v>850</v>
      </c>
      <c r="H15" s="83"/>
    </row>
    <row r="16" spans="2:8" ht="110.25" x14ac:dyDescent="0.25">
      <c r="B16" s="83">
        <v>12</v>
      </c>
      <c r="C16" s="322" t="s">
        <v>851</v>
      </c>
      <c r="D16" s="322"/>
      <c r="E16" s="322"/>
      <c r="F16" s="83"/>
      <c r="G16" s="322" t="s">
        <v>852</v>
      </c>
      <c r="H16" s="83"/>
    </row>
    <row r="17" spans="2:8" ht="75" x14ac:dyDescent="0.25">
      <c r="B17" s="83">
        <v>13</v>
      </c>
      <c r="C17" s="360" t="s">
        <v>905</v>
      </c>
      <c r="D17" s="360"/>
      <c r="E17" s="360"/>
      <c r="F17" s="360"/>
      <c r="G17" s="360" t="s">
        <v>906</v>
      </c>
      <c r="H17" s="360"/>
    </row>
    <row r="18" spans="2:8" ht="90" x14ac:dyDescent="0.25">
      <c r="B18" s="83">
        <v>14</v>
      </c>
      <c r="C18" s="360" t="s">
        <v>907</v>
      </c>
      <c r="D18" s="360"/>
      <c r="E18" s="360"/>
      <c r="F18" s="360"/>
      <c r="G18" s="360" t="s">
        <v>908</v>
      </c>
      <c r="H18" s="360"/>
    </row>
    <row r="19" spans="2:8" ht="63" x14ac:dyDescent="0.25">
      <c r="B19" s="83">
        <v>15</v>
      </c>
      <c r="C19" s="322" t="s">
        <v>853</v>
      </c>
      <c r="D19" s="322"/>
      <c r="E19" s="322"/>
      <c r="F19" s="83"/>
      <c r="G19" s="322" t="s">
        <v>854</v>
      </c>
      <c r="H19" s="83"/>
    </row>
    <row r="20" spans="2:8" ht="47.25" x14ac:dyDescent="0.25">
      <c r="B20" s="83">
        <v>16</v>
      </c>
      <c r="C20" s="322" t="s">
        <v>859</v>
      </c>
      <c r="D20" s="322"/>
      <c r="E20" s="322"/>
      <c r="F20" s="83"/>
      <c r="G20" s="322" t="s">
        <v>860</v>
      </c>
      <c r="H20" s="83"/>
    </row>
    <row r="21" spans="2:8" ht="31.5" x14ac:dyDescent="0.25">
      <c r="B21" s="83">
        <v>17</v>
      </c>
      <c r="C21" s="322" t="s">
        <v>738</v>
      </c>
      <c r="D21" s="322"/>
      <c r="E21" s="322"/>
      <c r="F21" s="83"/>
      <c r="G21" s="83" t="s">
        <v>855</v>
      </c>
      <c r="H21" s="83"/>
    </row>
    <row r="22" spans="2:8" ht="78.75" x14ac:dyDescent="0.25">
      <c r="B22" s="83">
        <v>18</v>
      </c>
      <c r="C22" s="322" t="s">
        <v>856</v>
      </c>
      <c r="D22" s="322"/>
      <c r="E22" s="322"/>
      <c r="F22" s="83"/>
      <c r="G22" s="83" t="s">
        <v>857</v>
      </c>
      <c r="H22" s="83"/>
    </row>
    <row r="23" spans="2:8" ht="78.75" x14ac:dyDescent="0.25">
      <c r="B23" s="83">
        <v>19</v>
      </c>
      <c r="C23" s="322" t="s">
        <v>491</v>
      </c>
      <c r="D23" s="322"/>
      <c r="E23" s="322"/>
      <c r="F23" s="83"/>
      <c r="G23" s="83" t="s">
        <v>490</v>
      </c>
      <c r="H23" s="83"/>
    </row>
    <row r="24" spans="2:8" s="66" customFormat="1" ht="47.25" x14ac:dyDescent="0.25">
      <c r="B24" s="83">
        <v>20</v>
      </c>
      <c r="C24" s="322" t="s">
        <v>393</v>
      </c>
      <c r="D24" s="322"/>
      <c r="E24" s="322"/>
      <c r="F24" s="83"/>
      <c r="G24" s="83" t="s">
        <v>858</v>
      </c>
      <c r="H24" s="83"/>
    </row>
    <row r="25" spans="2:8" s="66" customFormat="1" ht="31.5" x14ac:dyDescent="0.25">
      <c r="B25" s="83">
        <v>21</v>
      </c>
      <c r="C25" s="322" t="s">
        <v>834</v>
      </c>
      <c r="D25" s="322"/>
      <c r="E25" s="322"/>
      <c r="F25" s="83"/>
      <c r="G25" s="322" t="s">
        <v>835</v>
      </c>
      <c r="H25" s="83"/>
    </row>
    <row r="26" spans="2:8" s="66" customFormat="1" ht="47.25" x14ac:dyDescent="0.25">
      <c r="B26" s="83">
        <v>22</v>
      </c>
      <c r="C26" s="322" t="s">
        <v>297</v>
      </c>
      <c r="D26" s="84"/>
      <c r="E26" s="84"/>
      <c r="F26" s="83"/>
      <c r="G26" s="83" t="s">
        <v>296</v>
      </c>
      <c r="H26" s="83"/>
    </row>
    <row r="27" spans="2:8" s="66" customFormat="1" ht="31.5" x14ac:dyDescent="0.25">
      <c r="B27" s="83">
        <v>23</v>
      </c>
      <c r="C27" s="322" t="s">
        <v>297</v>
      </c>
      <c r="D27" s="322"/>
      <c r="E27" s="322"/>
      <c r="F27" s="83"/>
      <c r="G27" s="322" t="s">
        <v>861</v>
      </c>
      <c r="H27" s="83"/>
    </row>
  </sheetData>
  <sortState ref="C5:H27">
    <sortCondition ref="C5:C27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>
    <tabColor rgb="FF00B050"/>
  </sheetPr>
  <dimension ref="A1:M152"/>
  <sheetViews>
    <sheetView workbookViewId="0">
      <selection activeCell="H37" sqref="H37"/>
    </sheetView>
  </sheetViews>
  <sheetFormatPr defaultColWidth="0" defaultRowHeight="15" zeroHeight="1" x14ac:dyDescent="0.25"/>
  <cols>
    <col min="1" max="1" width="9.140625" style="8" customWidth="1"/>
    <col min="2" max="2" width="30.7109375" style="14" customWidth="1"/>
    <col min="3" max="3" width="22.140625" style="14" customWidth="1"/>
    <col min="4" max="4" width="17.5703125" style="14" customWidth="1"/>
    <col min="5" max="5" width="19" style="14" customWidth="1"/>
    <col min="6" max="6" width="19.5703125" style="14" customWidth="1"/>
    <col min="7" max="7" width="9.140625" style="14" customWidth="1"/>
    <col min="8" max="8" width="14.7109375" style="14" customWidth="1"/>
    <col min="9" max="9" width="16.85546875" style="14" customWidth="1"/>
    <col min="10" max="10" width="22.28515625" style="14" customWidth="1"/>
    <col min="11" max="11" width="6.28515625" style="14" customWidth="1"/>
    <col min="12" max="13" width="9.140625" style="14" customWidth="1"/>
    <col min="14" max="16384" width="9.140625" style="14" hidden="1"/>
  </cols>
  <sheetData>
    <row r="1" spans="1:11" s="8" customFormat="1" x14ac:dyDescent="0.25">
      <c r="A1" s="7" t="s">
        <v>52</v>
      </c>
    </row>
    <row r="2" spans="1:11" ht="15.75" x14ac:dyDescent="0.25">
      <c r="B2" s="9"/>
      <c r="C2" s="15"/>
      <c r="D2" s="16"/>
      <c r="E2" s="17"/>
      <c r="F2" s="18"/>
      <c r="G2" s="19"/>
      <c r="H2" s="16"/>
      <c r="I2" s="18"/>
      <c r="J2" s="19"/>
      <c r="K2" s="16"/>
    </row>
    <row r="3" spans="1:11" ht="15.75" x14ac:dyDescent="0.25">
      <c r="B3" s="9" t="s">
        <v>53</v>
      </c>
      <c r="D3" s="20"/>
      <c r="E3" s="21"/>
      <c r="G3" s="22"/>
      <c r="I3" s="21"/>
      <c r="J3" s="22"/>
    </row>
    <row r="4" spans="1:11" x14ac:dyDescent="0.25">
      <c r="B4" s="10" t="s">
        <v>54</v>
      </c>
      <c r="C4" s="10" t="s">
        <v>55</v>
      </c>
      <c r="D4" s="10" t="s">
        <v>56</v>
      </c>
      <c r="E4" s="10" t="s">
        <v>57</v>
      </c>
      <c r="F4" s="10" t="s">
        <v>58</v>
      </c>
    </row>
    <row r="5" spans="1:11" ht="15.75" x14ac:dyDescent="0.25">
      <c r="B5" s="11" t="s">
        <v>59</v>
      </c>
      <c r="C5" s="11" t="s">
        <v>60</v>
      </c>
      <c r="D5" s="23">
        <v>10.7639</v>
      </c>
      <c r="E5" s="11"/>
      <c r="F5" s="11"/>
    </row>
    <row r="6" spans="1:11" ht="15.75" x14ac:dyDescent="0.25">
      <c r="B6" s="11" t="s">
        <v>59</v>
      </c>
      <c r="C6" s="11" t="s">
        <v>61</v>
      </c>
      <c r="D6" s="24">
        <v>43560</v>
      </c>
      <c r="E6" s="11"/>
      <c r="F6" s="11"/>
    </row>
    <row r="7" spans="1:11" ht="15.75" x14ac:dyDescent="0.25">
      <c r="B7" s="11" t="s">
        <v>59</v>
      </c>
      <c r="C7" s="11" t="s">
        <v>62</v>
      </c>
      <c r="D7" s="23">
        <v>10.7639</v>
      </c>
      <c r="E7" s="11"/>
      <c r="F7" s="11"/>
    </row>
    <row r="8" spans="1:11" ht="15.75" x14ac:dyDescent="0.25">
      <c r="B8" s="11" t="s">
        <v>63</v>
      </c>
      <c r="C8" s="11" t="s">
        <v>64</v>
      </c>
      <c r="D8" s="24">
        <v>1600</v>
      </c>
      <c r="E8" s="11" t="s">
        <v>65</v>
      </c>
      <c r="F8" s="11" t="s">
        <v>66</v>
      </c>
    </row>
    <row r="9" spans="1:11" ht="15.75" x14ac:dyDescent="0.25">
      <c r="B9" s="11" t="s">
        <v>63</v>
      </c>
      <c r="C9" s="11" t="s">
        <v>67</v>
      </c>
      <c r="D9" s="25">
        <v>2.5000000000000001E-2</v>
      </c>
      <c r="E9" s="11" t="s">
        <v>68</v>
      </c>
      <c r="F9" s="11" t="s">
        <v>66</v>
      </c>
    </row>
    <row r="10" spans="1:11" ht="15.75" x14ac:dyDescent="0.25">
      <c r="B10" s="11" t="s">
        <v>69</v>
      </c>
      <c r="C10" s="11" t="s">
        <v>70</v>
      </c>
      <c r="D10" s="24">
        <v>999.97</v>
      </c>
      <c r="E10" s="11" t="s">
        <v>71</v>
      </c>
      <c r="F10" s="11"/>
    </row>
    <row r="11" spans="1:11" ht="15.75" x14ac:dyDescent="0.25">
      <c r="B11" s="11" t="s">
        <v>69</v>
      </c>
      <c r="C11" s="26" t="s">
        <v>72</v>
      </c>
      <c r="D11" s="23">
        <v>1.214</v>
      </c>
      <c r="E11" s="11" t="s">
        <v>73</v>
      </c>
      <c r="F11" s="11"/>
    </row>
    <row r="12" spans="1:11" ht="15.75" x14ac:dyDescent="0.25">
      <c r="B12" s="11" t="s">
        <v>69</v>
      </c>
      <c r="C12" s="26" t="s">
        <v>74</v>
      </c>
      <c r="D12" s="23">
        <v>0.65600000000000003</v>
      </c>
      <c r="E12" s="11" t="s">
        <v>73</v>
      </c>
      <c r="F12" s="11"/>
    </row>
    <row r="13" spans="1:11" ht="15.75" x14ac:dyDescent="0.25">
      <c r="B13" s="11" t="s">
        <v>69</v>
      </c>
      <c r="C13" s="11" t="s">
        <v>75</v>
      </c>
      <c r="D13" s="24">
        <f>1000/$D$36</f>
        <v>453.59290943563974</v>
      </c>
      <c r="E13" s="11" t="s">
        <v>73</v>
      </c>
      <c r="F13" s="11"/>
    </row>
    <row r="14" spans="1:11" ht="15.75" x14ac:dyDescent="0.25">
      <c r="B14" s="11" t="s">
        <v>69</v>
      </c>
      <c r="C14" s="11" t="s">
        <v>76</v>
      </c>
      <c r="D14" s="23">
        <v>8.3379999999999992</v>
      </c>
      <c r="E14" s="11" t="s">
        <v>77</v>
      </c>
      <c r="F14" s="11"/>
    </row>
    <row r="15" spans="1:11" ht="15.75" x14ac:dyDescent="0.25">
      <c r="B15" s="11" t="s">
        <v>69</v>
      </c>
      <c r="C15" s="11" t="s">
        <v>78</v>
      </c>
      <c r="D15" s="23">
        <f>AVERAGE(1.26,1.48)</f>
        <v>1.37</v>
      </c>
      <c r="E15" s="11" t="s">
        <v>79</v>
      </c>
      <c r="F15" s="27" t="s">
        <v>80</v>
      </c>
    </row>
    <row r="16" spans="1:11" ht="15.75" x14ac:dyDescent="0.25">
      <c r="B16" s="11" t="s">
        <v>69</v>
      </c>
      <c r="C16" s="11" t="s">
        <v>76</v>
      </c>
      <c r="D16" s="24">
        <v>8.3290000000000006</v>
      </c>
      <c r="E16" s="11" t="s">
        <v>81</v>
      </c>
      <c r="F16" s="28" t="s">
        <v>82</v>
      </c>
    </row>
    <row r="17" spans="2:6" ht="15.75" x14ac:dyDescent="0.25">
      <c r="B17" s="11" t="s">
        <v>83</v>
      </c>
      <c r="C17" s="11" t="s">
        <v>84</v>
      </c>
      <c r="D17" s="24">
        <v>1609.34</v>
      </c>
      <c r="E17" s="11"/>
      <c r="F17" s="11"/>
    </row>
    <row r="18" spans="2:6" ht="15.75" x14ac:dyDescent="0.25">
      <c r="B18" s="11" t="s">
        <v>83</v>
      </c>
      <c r="C18" s="11" t="s">
        <v>85</v>
      </c>
      <c r="D18" s="23">
        <v>3.28084</v>
      </c>
      <c r="E18" s="11"/>
      <c r="F18" s="11"/>
    </row>
    <row r="19" spans="2:6" ht="15.75" x14ac:dyDescent="0.25">
      <c r="B19" s="11" t="s">
        <v>83</v>
      </c>
      <c r="C19" s="11" t="s">
        <v>86</v>
      </c>
      <c r="D19" s="23">
        <f>CONVERT(1,"mi", "km")</f>
        <v>1.6093440000000001</v>
      </c>
      <c r="E19" s="11"/>
      <c r="F19" s="11"/>
    </row>
    <row r="20" spans="2:6" ht="15.75" x14ac:dyDescent="0.25">
      <c r="B20" s="11" t="s">
        <v>87</v>
      </c>
      <c r="C20" s="11" t="s">
        <v>88</v>
      </c>
      <c r="D20" s="23">
        <v>0.9</v>
      </c>
      <c r="E20" s="11"/>
      <c r="F20" s="28" t="s">
        <v>89</v>
      </c>
    </row>
    <row r="21" spans="2:6" ht="15.75" x14ac:dyDescent="0.25">
      <c r="B21" s="11" t="s">
        <v>87</v>
      </c>
      <c r="C21" s="11" t="s">
        <v>90</v>
      </c>
      <c r="D21" s="13">
        <v>1000000</v>
      </c>
      <c r="E21" s="11"/>
      <c r="F21" s="11"/>
    </row>
    <row r="22" spans="2:6" ht="15.75" x14ac:dyDescent="0.25">
      <c r="B22" s="11" t="s">
        <v>87</v>
      </c>
      <c r="C22" s="11" t="s">
        <v>91</v>
      </c>
      <c r="D22" s="23">
        <v>3.6</v>
      </c>
      <c r="E22" s="11"/>
      <c r="F22" s="11"/>
    </row>
    <row r="23" spans="2:6" ht="15.75" x14ac:dyDescent="0.25">
      <c r="B23" s="11" t="s">
        <v>87</v>
      </c>
      <c r="C23" s="11" t="s">
        <v>92</v>
      </c>
      <c r="D23" s="24">
        <f>1027</f>
        <v>1027</v>
      </c>
      <c r="E23" s="12"/>
      <c r="F23" s="11"/>
    </row>
    <row r="24" spans="2:6" ht="15.75" x14ac:dyDescent="0.25">
      <c r="B24" s="11" t="s">
        <v>87</v>
      </c>
      <c r="C24" s="11" t="s">
        <v>93</v>
      </c>
      <c r="D24" s="24">
        <v>947.81700000000001</v>
      </c>
      <c r="E24" s="11"/>
      <c r="F24" s="11" t="s">
        <v>94</v>
      </c>
    </row>
    <row r="25" spans="2:6" ht="15.75" x14ac:dyDescent="0.25">
      <c r="B25" s="11" t="s">
        <v>87</v>
      </c>
      <c r="C25" s="11" t="s">
        <v>95</v>
      </c>
      <c r="D25" s="24">
        <v>1000</v>
      </c>
      <c r="E25" s="11" t="s">
        <v>96</v>
      </c>
      <c r="F25" s="11"/>
    </row>
    <row r="26" spans="2:6" ht="15.75" x14ac:dyDescent="0.25">
      <c r="B26" s="11" t="s">
        <v>87</v>
      </c>
      <c r="C26" s="11" t="s">
        <v>97</v>
      </c>
      <c r="D26" s="23">
        <f>CONVERT(1,"HP", "W")/1000</f>
        <v>0.74569987158227025</v>
      </c>
      <c r="E26" s="11"/>
      <c r="F26" s="11"/>
    </row>
    <row r="27" spans="2:6" ht="15.75" x14ac:dyDescent="0.25">
      <c r="B27" s="11" t="s">
        <v>98</v>
      </c>
      <c r="C27" s="11" t="s">
        <v>99</v>
      </c>
      <c r="D27" s="24">
        <v>1000</v>
      </c>
      <c r="E27" s="11"/>
      <c r="F27" s="11"/>
    </row>
    <row r="28" spans="2:6" ht="15.75" x14ac:dyDescent="0.25">
      <c r="B28" s="11" t="s">
        <v>100</v>
      </c>
      <c r="C28" s="11" t="s">
        <v>101</v>
      </c>
      <c r="D28" s="23">
        <f>6/D36</f>
        <v>2.7215574566138385</v>
      </c>
      <c r="E28" s="11" t="s">
        <v>102</v>
      </c>
      <c r="F28" s="11"/>
    </row>
    <row r="29" spans="2:6" ht="15.75" x14ac:dyDescent="0.25">
      <c r="B29" s="11" t="s">
        <v>34</v>
      </c>
      <c r="C29" s="11" t="s">
        <v>103</v>
      </c>
      <c r="D29" s="24">
        <f>CONVERT(1,"m^3", "gal")</f>
        <v>264.17205235814845</v>
      </c>
      <c r="E29" s="11"/>
      <c r="F29" s="11"/>
    </row>
    <row r="30" spans="2:6" ht="15.75" x14ac:dyDescent="0.25">
      <c r="B30" s="11" t="s">
        <v>34</v>
      </c>
      <c r="C30" s="11" t="s">
        <v>104</v>
      </c>
      <c r="D30" s="23">
        <v>35.314700000000002</v>
      </c>
      <c r="E30" s="11"/>
      <c r="F30" s="11"/>
    </row>
    <row r="31" spans="2:6" ht="15.75" x14ac:dyDescent="0.25">
      <c r="B31" s="11" t="s">
        <v>34</v>
      </c>
      <c r="C31" s="11" t="s">
        <v>105</v>
      </c>
      <c r="D31" s="23">
        <v>7.4805200000000003</v>
      </c>
      <c r="E31" s="11"/>
      <c r="F31" s="11"/>
    </row>
    <row r="32" spans="2:6" ht="15.75" x14ac:dyDescent="0.25">
      <c r="B32" s="11" t="s">
        <v>34</v>
      </c>
      <c r="C32" s="11" t="s">
        <v>106</v>
      </c>
      <c r="D32" s="23">
        <v>3.7854100000000002</v>
      </c>
      <c r="E32" s="11"/>
      <c r="F32" s="11"/>
    </row>
    <row r="33" spans="2:6" ht="15.75" x14ac:dyDescent="0.25">
      <c r="B33" s="11" t="s">
        <v>34</v>
      </c>
      <c r="C33" s="11" t="s">
        <v>107</v>
      </c>
      <c r="D33" s="23">
        <f>CONVERT(1,"yd^3", "m^3")</f>
        <v>0.76455485798400002</v>
      </c>
      <c r="E33" s="11"/>
      <c r="F33" s="11"/>
    </row>
    <row r="34" spans="2:6" ht="15.75" x14ac:dyDescent="0.25">
      <c r="B34" s="11" t="s">
        <v>34</v>
      </c>
      <c r="C34" s="11" t="s">
        <v>108</v>
      </c>
      <c r="D34" s="13">
        <f>CONVERT(1,"m^3", "l")</f>
        <v>1000</v>
      </c>
      <c r="E34" s="11"/>
      <c r="F34" s="11"/>
    </row>
    <row r="35" spans="2:6" ht="15.75" x14ac:dyDescent="0.25">
      <c r="B35" s="11" t="s">
        <v>109</v>
      </c>
      <c r="C35" s="11" t="s">
        <v>110</v>
      </c>
      <c r="D35" s="23">
        <v>1.1599999999999999</v>
      </c>
      <c r="E35" s="11"/>
      <c r="F35" s="11" t="s">
        <v>111</v>
      </c>
    </row>
    <row r="36" spans="2:6" ht="15.75" x14ac:dyDescent="0.25">
      <c r="B36" s="11" t="s">
        <v>112</v>
      </c>
      <c r="C36" s="11" t="s">
        <v>113</v>
      </c>
      <c r="D36" s="23">
        <v>2.2046199999999998</v>
      </c>
      <c r="E36" s="11"/>
      <c r="F36" s="11"/>
    </row>
    <row r="37" spans="2:6" ht="15.75" x14ac:dyDescent="0.25">
      <c r="B37" s="11" t="s">
        <v>112</v>
      </c>
      <c r="C37" s="11" t="s">
        <v>114</v>
      </c>
      <c r="D37" s="23">
        <f>CONVERT(1,"ton","g")/1000</f>
        <v>907.18474000000003</v>
      </c>
      <c r="E37" s="11"/>
      <c r="F37" s="11"/>
    </row>
    <row r="38" spans="2:6" ht="15.75" x14ac:dyDescent="0.25">
      <c r="B38" s="11" t="s">
        <v>112</v>
      </c>
      <c r="C38" s="11" t="s">
        <v>115</v>
      </c>
      <c r="D38" s="29">
        <f>CONVERT(1/1000,"g","kg")</f>
        <v>9.9999999999999995E-7</v>
      </c>
      <c r="E38" s="11"/>
      <c r="F38" s="11"/>
    </row>
    <row r="39" spans="2:6" ht="15.75" x14ac:dyDescent="0.25">
      <c r="B39" s="11" t="s">
        <v>30</v>
      </c>
      <c r="C39" s="11" t="s">
        <v>116</v>
      </c>
      <c r="D39" s="30">
        <f>CONVERT(1,"yr","day")</f>
        <v>365.25</v>
      </c>
      <c r="E39" s="11"/>
      <c r="F39" s="11"/>
    </row>
    <row r="40" spans="2:6" ht="15.75" x14ac:dyDescent="0.25">
      <c r="B40" s="11" t="s">
        <v>30</v>
      </c>
      <c r="C40" s="11" t="s">
        <v>117</v>
      </c>
      <c r="D40" s="13">
        <v>8760</v>
      </c>
      <c r="E40" s="11"/>
      <c r="F40" s="11" t="s">
        <v>94</v>
      </c>
    </row>
    <row r="41" spans="2:6" ht="15.75" x14ac:dyDescent="0.25">
      <c r="B41" s="11" t="s">
        <v>118</v>
      </c>
      <c r="C41" s="11" t="s">
        <v>119</v>
      </c>
      <c r="D41" s="13">
        <v>60</v>
      </c>
      <c r="E41" s="11"/>
      <c r="F41" s="11"/>
    </row>
    <row r="42" spans="2:6" x14ac:dyDescent="0.25">
      <c r="B42" s="11" t="s">
        <v>30</v>
      </c>
      <c r="C42" s="11" t="s">
        <v>120</v>
      </c>
      <c r="D42" s="11">
        <v>24</v>
      </c>
      <c r="E42" s="11"/>
      <c r="F42" s="11"/>
    </row>
    <row r="43" spans="2:6" x14ac:dyDescent="0.25">
      <c r="B43" s="11" t="s">
        <v>121</v>
      </c>
      <c r="C43" s="11"/>
      <c r="D43" s="11">
        <v>650</v>
      </c>
      <c r="E43" s="11" t="s">
        <v>73</v>
      </c>
      <c r="F43" s="11" t="s">
        <v>122</v>
      </c>
    </row>
    <row r="44" spans="2:6" ht="15.75" x14ac:dyDescent="0.25">
      <c r="B44" s="31" t="s">
        <v>123</v>
      </c>
      <c r="D44" s="32">
        <v>0.83199999999999996</v>
      </c>
      <c r="E44" s="31" t="s">
        <v>124</v>
      </c>
      <c r="F44" s="11" t="s">
        <v>125</v>
      </c>
    </row>
    <row r="45" spans="2:6" x14ac:dyDescent="0.25">
      <c r="B45" s="11" t="s">
        <v>126</v>
      </c>
      <c r="C45" s="11"/>
      <c r="D45" s="11">
        <v>1400</v>
      </c>
      <c r="E45" s="11" t="s">
        <v>73</v>
      </c>
      <c r="F45" s="11"/>
    </row>
    <row r="46" spans="2:6" x14ac:dyDescent="0.25">
      <c r="B46" s="11" t="s">
        <v>127</v>
      </c>
      <c r="C46" s="11"/>
      <c r="D46" s="11">
        <v>1000</v>
      </c>
      <c r="E46" s="11" t="s">
        <v>73</v>
      </c>
      <c r="F46" s="11"/>
    </row>
    <row r="47" spans="2:6" x14ac:dyDescent="0.25">
      <c r="B47" s="11" t="s">
        <v>128</v>
      </c>
      <c r="C47" s="11"/>
      <c r="D47" s="33">
        <v>0.48099999999999998</v>
      </c>
      <c r="E47" s="11" t="s">
        <v>129</v>
      </c>
      <c r="F47" s="11" t="s">
        <v>130</v>
      </c>
    </row>
    <row r="48" spans="2:6" s="182" customFormat="1" x14ac:dyDescent="0.25">
      <c r="B48" s="183" t="s">
        <v>456</v>
      </c>
      <c r="C48" s="183">
        <v>1.2110000000000001</v>
      </c>
      <c r="D48" s="183" t="s">
        <v>457</v>
      </c>
      <c r="E48" s="183" t="s">
        <v>458</v>
      </c>
      <c r="F48" s="183"/>
    </row>
    <row r="49" spans="2:10" s="182" customFormat="1" x14ac:dyDescent="0.25">
      <c r="B49" s="183" t="s">
        <v>876</v>
      </c>
      <c r="C49" s="183"/>
      <c r="D49" s="340">
        <f>44/28</f>
        <v>1.5714285714285714</v>
      </c>
      <c r="E49" s="183"/>
      <c r="F49" s="183" t="s">
        <v>877</v>
      </c>
    </row>
    <row r="50" spans="2:10" ht="15.75" x14ac:dyDescent="0.25">
      <c r="B50" s="309" t="s">
        <v>811</v>
      </c>
      <c r="C50" s="132" t="s">
        <v>812</v>
      </c>
      <c r="D50" s="309">
        <v>0.6</v>
      </c>
      <c r="E50" s="11"/>
      <c r="F50" s="132"/>
    </row>
    <row r="51" spans="2:10" x14ac:dyDescent="0.25">
      <c r="B51" s="16"/>
      <c r="C51" s="16"/>
      <c r="D51" s="16"/>
      <c r="E51" s="16"/>
    </row>
    <row r="52" spans="2:10" x14ac:dyDescent="0.25">
      <c r="B52" s="7" t="s">
        <v>132</v>
      </c>
      <c r="H52" s="7" t="s">
        <v>133</v>
      </c>
    </row>
    <row r="53" spans="2:10" x14ac:dyDescent="0.25">
      <c r="B53" s="10"/>
      <c r="C53" s="10" t="s">
        <v>134</v>
      </c>
      <c r="D53" s="10" t="s">
        <v>135</v>
      </c>
      <c r="E53" s="10"/>
      <c r="F53" s="10"/>
      <c r="H53" s="10" t="s">
        <v>136</v>
      </c>
      <c r="I53" s="10" t="s">
        <v>137</v>
      </c>
      <c r="J53" s="10" t="s">
        <v>138</v>
      </c>
    </row>
    <row r="54" spans="2:10" x14ac:dyDescent="0.25">
      <c r="B54" s="10" t="s">
        <v>139</v>
      </c>
      <c r="C54" s="10" t="s">
        <v>140</v>
      </c>
      <c r="D54" s="10" t="s">
        <v>141</v>
      </c>
      <c r="E54" s="10" t="s">
        <v>102</v>
      </c>
      <c r="F54" s="10" t="s">
        <v>823</v>
      </c>
      <c r="H54" s="11" t="s">
        <v>142</v>
      </c>
      <c r="I54" s="11">
        <v>5.67</v>
      </c>
      <c r="J54" s="11" t="s">
        <v>143</v>
      </c>
    </row>
    <row r="55" spans="2:10" x14ac:dyDescent="0.25">
      <c r="B55" s="11">
        <v>2</v>
      </c>
      <c r="C55" s="11" t="s">
        <v>144</v>
      </c>
      <c r="D55" s="11">
        <v>0.17</v>
      </c>
      <c r="E55" s="34">
        <f>D55/$D$36</f>
        <v>7.7110794604058758E-2</v>
      </c>
      <c r="F55" s="34">
        <f>E55*CONVERT(1,"m","ft")</f>
        <v>0.25298817127315865</v>
      </c>
      <c r="H55" s="11" t="s">
        <v>145</v>
      </c>
      <c r="I55" s="11">
        <v>5.15</v>
      </c>
      <c r="J55" s="11" t="s">
        <v>146</v>
      </c>
    </row>
    <row r="56" spans="2:10" x14ac:dyDescent="0.25">
      <c r="B56" s="11">
        <v>3</v>
      </c>
      <c r="C56" s="11" t="s">
        <v>147</v>
      </c>
      <c r="D56" s="11">
        <v>0.38</v>
      </c>
      <c r="E56" s="34">
        <f t="shared" ref="E56:E66" si="0">D56/$D$36</f>
        <v>0.17236530558554311</v>
      </c>
      <c r="F56" s="34">
        <f t="shared" ref="F56:F66" si="1">E56*CONVERT(1,"m","ft")</f>
        <v>0.5655029710811782</v>
      </c>
      <c r="H56" s="11" t="s">
        <v>148</v>
      </c>
      <c r="I56" s="11">
        <v>7.35</v>
      </c>
      <c r="J56" s="11" t="s">
        <v>149</v>
      </c>
    </row>
    <row r="57" spans="2:10" x14ac:dyDescent="0.25">
      <c r="B57" s="11">
        <v>4</v>
      </c>
      <c r="C57" s="11" t="s">
        <v>150</v>
      </c>
      <c r="D57" s="11">
        <v>0.67</v>
      </c>
      <c r="E57" s="34">
        <f t="shared" si="0"/>
        <v>0.30390724932187863</v>
      </c>
      <c r="F57" s="34">
        <f t="shared" si="1"/>
        <v>0.99707102795891944</v>
      </c>
      <c r="H57" s="11" t="s">
        <v>151</v>
      </c>
      <c r="I57" s="11">
        <v>6.2</v>
      </c>
      <c r="J57" s="11" t="s">
        <v>152</v>
      </c>
    </row>
    <row r="58" spans="2:10" x14ac:dyDescent="0.25">
      <c r="B58" s="11">
        <v>5</v>
      </c>
      <c r="C58" s="11" t="s">
        <v>153</v>
      </c>
      <c r="D58" s="11">
        <v>1.04</v>
      </c>
      <c r="E58" s="34">
        <f t="shared" si="0"/>
        <v>0.47173662581306536</v>
      </c>
      <c r="F58" s="34">
        <f t="shared" si="1"/>
        <v>1.5476923419063824</v>
      </c>
      <c r="H58" s="11" t="s">
        <v>154</v>
      </c>
      <c r="I58" s="11">
        <v>9.0299999999999994</v>
      </c>
      <c r="J58" s="11" t="s">
        <v>155</v>
      </c>
    </row>
    <row r="59" spans="2:10" x14ac:dyDescent="0.25">
      <c r="B59" s="11">
        <v>6</v>
      </c>
      <c r="C59" s="11" t="s">
        <v>156</v>
      </c>
      <c r="D59" s="11">
        <v>1.5</v>
      </c>
      <c r="E59" s="34">
        <f t="shared" si="0"/>
        <v>0.68038936415345963</v>
      </c>
      <c r="F59" s="34">
        <f t="shared" si="1"/>
        <v>2.2322485700572825</v>
      </c>
      <c r="H59" s="11" t="s">
        <v>157</v>
      </c>
      <c r="I59" s="11">
        <v>7.35</v>
      </c>
      <c r="J59" s="11" t="s">
        <v>158</v>
      </c>
    </row>
    <row r="60" spans="2:10" x14ac:dyDescent="0.25">
      <c r="B60" s="11">
        <v>7</v>
      </c>
      <c r="C60" s="11" t="s">
        <v>159</v>
      </c>
      <c r="D60" s="11">
        <v>2.04</v>
      </c>
      <c r="E60" s="34">
        <f t="shared" si="0"/>
        <v>0.92532953524870509</v>
      </c>
      <c r="F60" s="34">
        <f t="shared" si="1"/>
        <v>3.0358580552779038</v>
      </c>
      <c r="H60" s="11" t="s">
        <v>160</v>
      </c>
      <c r="I60" s="11">
        <v>10.94</v>
      </c>
      <c r="J60" s="11" t="s">
        <v>161</v>
      </c>
    </row>
    <row r="61" spans="2:10" x14ac:dyDescent="0.25">
      <c r="B61" s="11">
        <v>8</v>
      </c>
      <c r="C61" s="11" t="s">
        <v>162</v>
      </c>
      <c r="D61" s="11">
        <v>2.67</v>
      </c>
      <c r="E61" s="34">
        <f t="shared" si="0"/>
        <v>1.211093068193158</v>
      </c>
      <c r="F61" s="34">
        <f t="shared" si="1"/>
        <v>3.973402454701962</v>
      </c>
      <c r="H61" s="11" t="s">
        <v>163</v>
      </c>
      <c r="I61" s="11">
        <v>12.62</v>
      </c>
      <c r="J61" s="11" t="s">
        <v>164</v>
      </c>
    </row>
    <row r="62" spans="2:10" x14ac:dyDescent="0.25">
      <c r="B62" s="11">
        <v>9</v>
      </c>
      <c r="C62" s="11" t="s">
        <v>165</v>
      </c>
      <c r="D62" s="11">
        <v>3.4</v>
      </c>
      <c r="E62" s="34">
        <f t="shared" si="0"/>
        <v>1.542215892081175</v>
      </c>
      <c r="F62" s="34">
        <f t="shared" si="1"/>
        <v>5.0597634254631725</v>
      </c>
      <c r="H62" s="11" t="s">
        <v>166</v>
      </c>
      <c r="I62" s="11">
        <v>14.3</v>
      </c>
      <c r="J62" s="11" t="s">
        <v>167</v>
      </c>
    </row>
    <row r="63" spans="2:10" x14ac:dyDescent="0.25">
      <c r="B63" s="11">
        <v>10</v>
      </c>
      <c r="C63" s="11" t="s">
        <v>168</v>
      </c>
      <c r="D63" s="11">
        <v>4.3</v>
      </c>
      <c r="E63" s="34">
        <f t="shared" si="0"/>
        <v>1.9504495105732509</v>
      </c>
      <c r="F63" s="34">
        <f t="shared" si="1"/>
        <v>6.3991125674975429</v>
      </c>
      <c r="H63" s="11" t="s">
        <v>169</v>
      </c>
      <c r="I63" s="11">
        <v>15.87</v>
      </c>
      <c r="J63" s="11" t="s">
        <v>170</v>
      </c>
    </row>
    <row r="64" spans="2:10" x14ac:dyDescent="0.25">
      <c r="B64" s="11">
        <v>11</v>
      </c>
      <c r="C64" s="11" t="s">
        <v>171</v>
      </c>
      <c r="D64" s="11">
        <v>5.31</v>
      </c>
      <c r="E64" s="34">
        <f t="shared" si="0"/>
        <v>2.4085783491032466</v>
      </c>
      <c r="F64" s="34">
        <f t="shared" si="1"/>
        <v>7.9021599380027778</v>
      </c>
      <c r="H64" s="11" t="s">
        <v>172</v>
      </c>
      <c r="I64" s="11">
        <v>17.55</v>
      </c>
      <c r="J64" s="11" t="s">
        <v>173</v>
      </c>
    </row>
    <row r="65" spans="2:8" x14ac:dyDescent="0.25">
      <c r="B65" s="11">
        <v>14</v>
      </c>
      <c r="C65" s="11" t="s">
        <v>174</v>
      </c>
      <c r="D65" s="11">
        <v>7.65</v>
      </c>
      <c r="E65" s="34">
        <f t="shared" si="0"/>
        <v>3.469985757182644</v>
      </c>
      <c r="F65" s="34">
        <f t="shared" si="1"/>
        <v>11.38446770729214</v>
      </c>
      <c r="H65" s="35" t="s">
        <v>175</v>
      </c>
    </row>
    <row r="66" spans="2:8" x14ac:dyDescent="0.25">
      <c r="B66" s="11">
        <v>18</v>
      </c>
      <c r="C66" s="11" t="s">
        <v>176</v>
      </c>
      <c r="D66" s="11">
        <v>13.6</v>
      </c>
      <c r="E66" s="34">
        <f t="shared" si="0"/>
        <v>6.1688635683247002</v>
      </c>
      <c r="F66" s="34">
        <f t="shared" si="1"/>
        <v>20.23905370185269</v>
      </c>
    </row>
    <row r="67" spans="2:8" x14ac:dyDescent="0.25"/>
    <row r="68" spans="2:8" x14ac:dyDescent="0.25">
      <c r="B68" s="7" t="s">
        <v>177</v>
      </c>
    </row>
    <row r="69" spans="2:8" x14ac:dyDescent="0.25">
      <c r="B69" s="10" t="s">
        <v>178</v>
      </c>
      <c r="C69" s="10" t="s">
        <v>179</v>
      </c>
      <c r="D69" s="10" t="s">
        <v>57</v>
      </c>
      <c r="E69" s="10" t="s">
        <v>180</v>
      </c>
      <c r="F69" s="10" t="s">
        <v>58</v>
      </c>
    </row>
    <row r="70" spans="2:8" x14ac:dyDescent="0.25">
      <c r="B70" s="11" t="s">
        <v>181</v>
      </c>
      <c r="C70" s="11">
        <v>322</v>
      </c>
      <c r="D70" s="11" t="s">
        <v>182</v>
      </c>
      <c r="E70" s="11"/>
      <c r="F70" s="28" t="s">
        <v>183</v>
      </c>
    </row>
    <row r="71" spans="2:8" x14ac:dyDescent="0.25">
      <c r="B71" s="11" t="s">
        <v>184</v>
      </c>
      <c r="C71" s="11">
        <v>93.54</v>
      </c>
      <c r="D71" s="11" t="s">
        <v>182</v>
      </c>
      <c r="E71" s="11">
        <v>0.5</v>
      </c>
      <c r="F71" s="28" t="s">
        <v>185</v>
      </c>
    </row>
    <row r="72" spans="2:8" x14ac:dyDescent="0.25">
      <c r="B72" s="11" t="s">
        <v>186</v>
      </c>
      <c r="C72" s="11">
        <v>27.73</v>
      </c>
      <c r="D72" s="11" t="s">
        <v>182</v>
      </c>
      <c r="E72" s="11">
        <v>0.312</v>
      </c>
      <c r="F72" s="28" t="s">
        <v>185</v>
      </c>
    </row>
    <row r="73" spans="2:8" x14ac:dyDescent="0.25">
      <c r="B73" s="11" t="s">
        <v>187</v>
      </c>
      <c r="C73" s="11">
        <v>49.61</v>
      </c>
      <c r="D73" s="11" t="s">
        <v>182</v>
      </c>
      <c r="E73" s="11">
        <v>0.375</v>
      </c>
      <c r="F73" s="28" t="s">
        <v>185</v>
      </c>
    </row>
    <row r="74" spans="2:8" x14ac:dyDescent="0.25">
      <c r="B74" s="11" t="s">
        <v>188</v>
      </c>
      <c r="C74" s="11">
        <v>11.36</v>
      </c>
      <c r="D74" s="11" t="s">
        <v>182</v>
      </c>
      <c r="E74" s="11">
        <v>0.25</v>
      </c>
      <c r="F74" s="28" t="s">
        <v>189</v>
      </c>
    </row>
    <row r="75" spans="2:8" x14ac:dyDescent="0.25">
      <c r="B75" s="11" t="s">
        <v>190</v>
      </c>
      <c r="C75" s="11">
        <v>41.59</v>
      </c>
      <c r="D75" s="11" t="s">
        <v>182</v>
      </c>
      <c r="E75" s="11">
        <v>0.375</v>
      </c>
      <c r="F75" s="28" t="s">
        <v>185</v>
      </c>
    </row>
    <row r="76" spans="2:8" x14ac:dyDescent="0.25">
      <c r="B76" s="11" t="s">
        <v>191</v>
      </c>
      <c r="C76" s="11">
        <v>8.69</v>
      </c>
      <c r="D76" s="11" t="s">
        <v>182</v>
      </c>
      <c r="E76" s="11">
        <v>0.25</v>
      </c>
      <c r="F76" s="28" t="s">
        <v>189</v>
      </c>
    </row>
    <row r="77" spans="2:8" x14ac:dyDescent="0.25">
      <c r="B77" s="11" t="s">
        <v>192</v>
      </c>
      <c r="C77" s="11">
        <v>265</v>
      </c>
      <c r="D77" s="11" t="s">
        <v>182</v>
      </c>
      <c r="E77" s="11"/>
      <c r="F77" s="28" t="s">
        <v>183</v>
      </c>
    </row>
    <row r="78" spans="2:8" x14ac:dyDescent="0.25">
      <c r="B78" s="11" t="s">
        <v>193</v>
      </c>
      <c r="C78" s="11">
        <v>21.06</v>
      </c>
      <c r="D78" s="11" t="s">
        <v>182</v>
      </c>
      <c r="E78" s="11">
        <v>0.312</v>
      </c>
      <c r="F78" s="28" t="s">
        <v>189</v>
      </c>
    </row>
    <row r="79" spans="2:8" x14ac:dyDescent="0.25">
      <c r="B79" s="11" t="s">
        <v>194</v>
      </c>
      <c r="C79" s="11">
        <v>3.7330000000000001</v>
      </c>
      <c r="D79" s="11" t="s">
        <v>182</v>
      </c>
      <c r="E79" s="11">
        <v>0.28000000000000003</v>
      </c>
      <c r="F79" s="28" t="s">
        <v>195</v>
      </c>
    </row>
    <row r="80" spans="2:8" x14ac:dyDescent="0.25">
      <c r="B80" s="11" t="s">
        <v>196</v>
      </c>
      <c r="C80" s="11">
        <v>2.1179999999999999</v>
      </c>
      <c r="D80" s="11" t="s">
        <v>182</v>
      </c>
      <c r="E80" s="11">
        <v>0.23699999999999999</v>
      </c>
      <c r="F80" s="28" t="s">
        <v>195</v>
      </c>
    </row>
    <row r="81" spans="2:12" x14ac:dyDescent="0.25"/>
    <row r="82" spans="2:12" ht="15.75" thickBot="1" x14ac:dyDescent="0.3">
      <c r="B82" s="9" t="s">
        <v>197</v>
      </c>
    </row>
    <row r="83" spans="2:12" ht="15" customHeight="1" x14ac:dyDescent="0.25">
      <c r="B83" s="36" t="s">
        <v>198</v>
      </c>
      <c r="C83" s="37"/>
      <c r="D83" s="403" t="s">
        <v>199</v>
      </c>
      <c r="E83" s="403"/>
      <c r="F83" s="403"/>
      <c r="G83" s="38"/>
      <c r="H83" s="403" t="s">
        <v>200</v>
      </c>
      <c r="I83" s="403"/>
      <c r="J83" s="403"/>
      <c r="K83" s="38"/>
      <c r="L83" s="39" t="s">
        <v>69</v>
      </c>
    </row>
    <row r="84" spans="2:12" ht="25.5" x14ac:dyDescent="0.25">
      <c r="B84" s="40" t="s">
        <v>201</v>
      </c>
      <c r="C84" s="41"/>
      <c r="D84" s="42" t="s">
        <v>202</v>
      </c>
      <c r="E84" s="42" t="s">
        <v>203</v>
      </c>
      <c r="F84" s="42" t="s">
        <v>204</v>
      </c>
      <c r="G84" s="42"/>
      <c r="H84" s="42" t="s">
        <v>202</v>
      </c>
      <c r="I84" s="42" t="s">
        <v>203</v>
      </c>
      <c r="J84" s="42" t="s">
        <v>204</v>
      </c>
      <c r="K84" s="42"/>
      <c r="L84" s="43" t="s">
        <v>205</v>
      </c>
    </row>
    <row r="85" spans="2:12" x14ac:dyDescent="0.25">
      <c r="B85" s="44" t="s">
        <v>206</v>
      </c>
      <c r="C85" s="45"/>
      <c r="D85" s="46">
        <v>983</v>
      </c>
      <c r="E85" s="47">
        <f>D85/$L85*453.59</f>
        <v>20267.225909090906</v>
      </c>
      <c r="F85" s="48">
        <f>E85*1.05506/1000*2.2046</f>
        <v>47.141269049911173</v>
      </c>
      <c r="G85" s="46"/>
      <c r="H85" s="46">
        <v>1089</v>
      </c>
      <c r="I85" s="47">
        <f>H85/$L85*453.59</f>
        <v>22452.704999999998</v>
      </c>
      <c r="J85" s="48">
        <f>I85*1.05506/1000*2.2046</f>
        <v>52.224661236371581</v>
      </c>
      <c r="K85" s="46"/>
      <c r="L85" s="49">
        <v>22</v>
      </c>
    </row>
    <row r="86" spans="2:12" x14ac:dyDescent="0.25">
      <c r="B86" s="44" t="s">
        <v>207</v>
      </c>
      <c r="C86" s="50"/>
      <c r="D86" s="51">
        <v>290</v>
      </c>
      <c r="E86" s="52">
        <f t="shared" ref="E86:E119" si="2">D86/L86*453.59</f>
        <v>51682.028917177428</v>
      </c>
      <c r="F86" s="53">
        <f t="shared" ref="F86:F119" si="3">E86*1.05506/1000*2.2046</f>
        <v>120.21163829516094</v>
      </c>
      <c r="G86" s="54"/>
      <c r="H86" s="55">
        <v>343</v>
      </c>
      <c r="I86" s="52">
        <f t="shared" ref="I86:I119" si="4">H86/$L86*453.59</f>
        <v>61127.365236523648</v>
      </c>
      <c r="J86" s="53">
        <f t="shared" ref="J86:J119" si="5">I86*1.05506/1000*2.2046</f>
        <v>142.1813515008283</v>
      </c>
      <c r="K86" s="54"/>
      <c r="L86" s="56">
        <v>2.5451999999999999</v>
      </c>
    </row>
    <row r="87" spans="2:12" x14ac:dyDescent="0.25">
      <c r="B87" s="44" t="s">
        <v>208</v>
      </c>
      <c r="C87" s="50"/>
      <c r="D87" s="51">
        <v>1458</v>
      </c>
      <c r="E87" s="52">
        <f t="shared" si="2"/>
        <v>20162.628658536585</v>
      </c>
      <c r="F87" s="48">
        <f t="shared" si="3"/>
        <v>46.897977385211739</v>
      </c>
      <c r="G87" s="54"/>
      <c r="H87" s="55">
        <v>1584</v>
      </c>
      <c r="I87" s="52">
        <f t="shared" si="4"/>
        <v>21905.078048780488</v>
      </c>
      <c r="J87" s="48">
        <f t="shared" si="5"/>
        <v>50.950889011094226</v>
      </c>
      <c r="K87" s="54"/>
      <c r="L87" s="57">
        <v>32.799999999999997</v>
      </c>
    </row>
    <row r="88" spans="2:12" ht="25.5" x14ac:dyDescent="0.25">
      <c r="B88" s="40" t="s">
        <v>209</v>
      </c>
      <c r="C88" s="41"/>
      <c r="D88" s="42" t="s">
        <v>210</v>
      </c>
      <c r="E88" s="42" t="s">
        <v>203</v>
      </c>
      <c r="F88" s="42" t="s">
        <v>204</v>
      </c>
      <c r="G88" s="42"/>
      <c r="H88" s="42" t="s">
        <v>210</v>
      </c>
      <c r="I88" s="42" t="s">
        <v>203</v>
      </c>
      <c r="J88" s="42" t="s">
        <v>204</v>
      </c>
      <c r="K88" s="42"/>
      <c r="L88" s="43" t="s">
        <v>211</v>
      </c>
    </row>
    <row r="89" spans="2:12" x14ac:dyDescent="0.25">
      <c r="B89" s="58" t="s">
        <v>212</v>
      </c>
      <c r="C89" s="50"/>
      <c r="D89" s="55">
        <v>129670</v>
      </c>
      <c r="E89" s="52">
        <f t="shared" si="2"/>
        <v>18351.642839313572</v>
      </c>
      <c r="F89" s="48">
        <f t="shared" si="3"/>
        <v>42.685651034654214</v>
      </c>
      <c r="G89" s="54"/>
      <c r="H89" s="55">
        <v>138350</v>
      </c>
      <c r="I89" s="52">
        <f t="shared" si="4"/>
        <v>19580.086271450855</v>
      </c>
      <c r="J89" s="48">
        <f t="shared" si="5"/>
        <v>45.542992370204438</v>
      </c>
      <c r="K89" s="54"/>
      <c r="L89" s="59">
        <v>3205</v>
      </c>
    </row>
    <row r="90" spans="2:12" x14ac:dyDescent="0.25">
      <c r="B90" s="58" t="s">
        <v>213</v>
      </c>
      <c r="C90" s="50"/>
      <c r="D90" s="55">
        <v>116090</v>
      </c>
      <c r="E90" s="52">
        <f t="shared" si="2"/>
        <v>18679.412238382403</v>
      </c>
      <c r="F90" s="48">
        <f t="shared" si="3"/>
        <v>43.448037830811678</v>
      </c>
      <c r="G90" s="54"/>
      <c r="H90" s="55">
        <v>124340</v>
      </c>
      <c r="I90" s="52">
        <f t="shared" si="4"/>
        <v>20006.874991131608</v>
      </c>
      <c r="J90" s="48">
        <f t="shared" si="5"/>
        <v>46.535696648144757</v>
      </c>
      <c r="K90" s="54"/>
      <c r="L90" s="59">
        <v>2819</v>
      </c>
    </row>
    <row r="91" spans="2:12" x14ac:dyDescent="0.25">
      <c r="B91" s="58" t="s">
        <v>214</v>
      </c>
      <c r="C91" s="50"/>
      <c r="D91" s="55">
        <v>113601.50975397152</v>
      </c>
      <c r="E91" s="52">
        <f t="shared" si="2"/>
        <v>18210.67343395916</v>
      </c>
      <c r="F91" s="48">
        <f t="shared" si="3"/>
        <v>42.357758273433376</v>
      </c>
      <c r="G91" s="54"/>
      <c r="H91" s="55">
        <v>121848.38036482914</v>
      </c>
      <c r="I91" s="52">
        <f t="shared" si="4"/>
        <v>19532.672304147527</v>
      </c>
      <c r="J91" s="48">
        <f t="shared" si="5"/>
        <v>45.432708180380153</v>
      </c>
      <c r="K91" s="54"/>
      <c r="L91" s="59">
        <v>2829.5773353012783</v>
      </c>
    </row>
    <row r="92" spans="2:12" x14ac:dyDescent="0.25">
      <c r="B92" s="58" t="s">
        <v>215</v>
      </c>
      <c r="C92" s="50"/>
      <c r="D92" s="55">
        <v>113927.15396104372</v>
      </c>
      <c r="E92" s="52">
        <f t="shared" si="2"/>
        <v>18271.813278014368</v>
      </c>
      <c r="F92" s="48">
        <f t="shared" si="3"/>
        <v>42.499968650482714</v>
      </c>
      <c r="G92" s="54"/>
      <c r="H92" s="55">
        <v>122174.43408423416</v>
      </c>
      <c r="I92" s="52">
        <f t="shared" si="4"/>
        <v>19594.524828536756</v>
      </c>
      <c r="J92" s="48">
        <f t="shared" si="5"/>
        <v>45.576576241392928</v>
      </c>
      <c r="K92" s="54"/>
      <c r="L92" s="59">
        <v>2828.193183616288</v>
      </c>
    </row>
    <row r="93" spans="2:12" x14ac:dyDescent="0.25">
      <c r="B93" s="58" t="s">
        <v>216</v>
      </c>
      <c r="C93" s="50"/>
      <c r="D93" s="55">
        <v>128450</v>
      </c>
      <c r="E93" s="52">
        <f t="shared" si="2"/>
        <v>18397.106251973477</v>
      </c>
      <c r="F93" s="48">
        <f t="shared" si="3"/>
        <v>42.791398263097854</v>
      </c>
      <c r="G93" s="54"/>
      <c r="H93" s="55">
        <v>137380</v>
      </c>
      <c r="I93" s="52">
        <f t="shared" si="4"/>
        <v>19676.095421534574</v>
      </c>
      <c r="J93" s="48">
        <f t="shared" si="5"/>
        <v>45.766308239660439</v>
      </c>
      <c r="K93" s="54"/>
      <c r="L93" s="59">
        <v>3167</v>
      </c>
    </row>
    <row r="94" spans="2:12" x14ac:dyDescent="0.25">
      <c r="B94" s="58" t="s">
        <v>217</v>
      </c>
      <c r="C94" s="50"/>
      <c r="D94" s="55">
        <v>129487.84757606639</v>
      </c>
      <c r="E94" s="52">
        <f t="shared" si="2"/>
        <v>18320.147467881456</v>
      </c>
      <c r="F94" s="48">
        <f t="shared" si="3"/>
        <v>42.612393264440954</v>
      </c>
      <c r="G94" s="54"/>
      <c r="H94" s="55">
        <v>138490</v>
      </c>
      <c r="I94" s="52">
        <f t="shared" si="4"/>
        <v>19593.786369307545</v>
      </c>
      <c r="J94" s="48">
        <f t="shared" si="5"/>
        <v>45.574858596098856</v>
      </c>
      <c r="K94" s="54"/>
      <c r="L94" s="59">
        <v>3206</v>
      </c>
    </row>
    <row r="95" spans="2:12" x14ac:dyDescent="0.25">
      <c r="B95" s="58" t="s">
        <v>218</v>
      </c>
      <c r="C95" s="50"/>
      <c r="D95" s="55">
        <v>116920</v>
      </c>
      <c r="E95" s="52">
        <f t="shared" si="2"/>
        <v>19320.124881602911</v>
      </c>
      <c r="F95" s="48">
        <f t="shared" si="3"/>
        <v>44.938326005089621</v>
      </c>
      <c r="G95" s="54"/>
      <c r="H95" s="55">
        <v>125080</v>
      </c>
      <c r="I95" s="52">
        <f t="shared" si="4"/>
        <v>20668.501712204008</v>
      </c>
      <c r="J95" s="48">
        <f t="shared" si="5"/>
        <v>48.074630659567319</v>
      </c>
      <c r="K95" s="54"/>
      <c r="L95" s="60">
        <v>2745</v>
      </c>
    </row>
    <row r="96" spans="2:12" x14ac:dyDescent="0.25">
      <c r="B96" s="58" t="s">
        <v>219</v>
      </c>
      <c r="C96" s="50"/>
      <c r="D96" s="55">
        <v>111520</v>
      </c>
      <c r="E96" s="52">
        <f t="shared" si="2"/>
        <v>19081.236061863448</v>
      </c>
      <c r="F96" s="48">
        <f t="shared" si="3"/>
        <v>44.382674127774621</v>
      </c>
      <c r="G96" s="54"/>
      <c r="H96" s="55">
        <v>119740</v>
      </c>
      <c r="I96" s="52">
        <f t="shared" si="4"/>
        <v>20487.69015465862</v>
      </c>
      <c r="J96" s="48">
        <f t="shared" si="5"/>
        <v>47.654065638986118</v>
      </c>
      <c r="K96" s="54"/>
      <c r="L96" s="59">
        <v>2651</v>
      </c>
    </row>
    <row r="97" spans="2:12" x14ac:dyDescent="0.25">
      <c r="B97" s="58" t="s">
        <v>220</v>
      </c>
      <c r="C97" s="50"/>
      <c r="D97" s="55">
        <v>140352.52220119376</v>
      </c>
      <c r="E97" s="52">
        <f t="shared" si="2"/>
        <v>16967.617416108602</v>
      </c>
      <c r="F97" s="48">
        <f t="shared" si="3"/>
        <v>39.466428278669781</v>
      </c>
      <c r="G97" s="54"/>
      <c r="H97" s="55">
        <v>150110</v>
      </c>
      <c r="I97" s="52">
        <f t="shared" si="4"/>
        <v>18147.226785714287</v>
      </c>
      <c r="J97" s="48">
        <f t="shared" si="5"/>
        <v>42.210182303804245</v>
      </c>
      <c r="K97" s="54"/>
      <c r="L97" s="59">
        <v>3752</v>
      </c>
    </row>
    <row r="98" spans="2:12" x14ac:dyDescent="0.25">
      <c r="B98" s="58" t="s">
        <v>221</v>
      </c>
      <c r="C98" s="61"/>
      <c r="D98" s="55">
        <v>57250</v>
      </c>
      <c r="E98" s="52">
        <f t="shared" si="2"/>
        <v>8638.7317032601459</v>
      </c>
      <c r="F98" s="48">
        <f t="shared" si="3"/>
        <v>20.093562745097504</v>
      </c>
      <c r="G98" s="54"/>
      <c r="H98" s="55">
        <v>65200</v>
      </c>
      <c r="I98" s="52">
        <f t="shared" si="4"/>
        <v>9838.345974717231</v>
      </c>
      <c r="J98" s="48">
        <f t="shared" si="5"/>
        <v>22.883847877386152</v>
      </c>
      <c r="K98" s="54"/>
      <c r="L98" s="60">
        <v>3006</v>
      </c>
    </row>
    <row r="99" spans="2:12" x14ac:dyDescent="0.25">
      <c r="B99" s="58" t="s">
        <v>222</v>
      </c>
      <c r="C99" s="61"/>
      <c r="D99" s="55">
        <v>76330</v>
      </c>
      <c r="E99" s="52">
        <f t="shared" si="2"/>
        <v>11587.19032797858</v>
      </c>
      <c r="F99" s="48">
        <f t="shared" si="3"/>
        <v>26.95163409308779</v>
      </c>
      <c r="G99" s="54"/>
      <c r="H99" s="55">
        <v>84530</v>
      </c>
      <c r="I99" s="52">
        <f t="shared" si="4"/>
        <v>12831.982161981257</v>
      </c>
      <c r="J99" s="48">
        <f t="shared" si="5"/>
        <v>29.847001570663057</v>
      </c>
      <c r="K99" s="54"/>
      <c r="L99" s="60">
        <v>2988</v>
      </c>
    </row>
    <row r="100" spans="2:12" x14ac:dyDescent="0.25">
      <c r="B100" s="58" t="s">
        <v>223</v>
      </c>
      <c r="C100" s="61"/>
      <c r="D100" s="55">
        <v>99837</v>
      </c>
      <c r="E100" s="52">
        <f t="shared" si="2"/>
        <v>14774.898802610114</v>
      </c>
      <c r="F100" s="48">
        <f t="shared" si="3"/>
        <v>34.366197069261162</v>
      </c>
      <c r="G100" s="54"/>
      <c r="H100" s="55">
        <v>108458</v>
      </c>
      <c r="I100" s="52">
        <f t="shared" si="4"/>
        <v>16050.722420880913</v>
      </c>
      <c r="J100" s="48">
        <f t="shared" si="5"/>
        <v>37.33374402013208</v>
      </c>
      <c r="K100" s="54"/>
      <c r="L100" s="60">
        <v>3065</v>
      </c>
    </row>
    <row r="101" spans="2:12" x14ac:dyDescent="0.25">
      <c r="B101" s="58" t="s">
        <v>224</v>
      </c>
      <c r="C101" s="61"/>
      <c r="D101" s="55">
        <v>83127</v>
      </c>
      <c r="E101" s="52">
        <f t="shared" si="2"/>
        <v>12721.179463562754</v>
      </c>
      <c r="F101" s="48">
        <f t="shared" si="3"/>
        <v>29.589276125600549</v>
      </c>
      <c r="G101" s="54"/>
      <c r="H101" s="55">
        <v>89511</v>
      </c>
      <c r="I101" s="52">
        <f t="shared" si="4"/>
        <v>13698.142540485829</v>
      </c>
      <c r="J101" s="48">
        <f t="shared" si="5"/>
        <v>31.861677857719279</v>
      </c>
      <c r="K101" s="54"/>
      <c r="L101" s="60">
        <v>2964</v>
      </c>
    </row>
    <row r="102" spans="2:12" x14ac:dyDescent="0.25">
      <c r="B102" s="58" t="s">
        <v>225</v>
      </c>
      <c r="C102" s="61"/>
      <c r="D102" s="55">
        <v>116090</v>
      </c>
      <c r="E102" s="52">
        <f t="shared" si="2"/>
        <v>18679.412238382403</v>
      </c>
      <c r="F102" s="48">
        <f t="shared" si="3"/>
        <v>43.448037830811678</v>
      </c>
      <c r="G102" s="54"/>
      <c r="H102" s="55">
        <v>124340</v>
      </c>
      <c r="I102" s="52">
        <f t="shared" si="4"/>
        <v>20006.874991131608</v>
      </c>
      <c r="J102" s="48">
        <f t="shared" si="5"/>
        <v>46.535696648144757</v>
      </c>
      <c r="K102" s="54"/>
      <c r="L102" s="60">
        <v>2819</v>
      </c>
    </row>
    <row r="103" spans="2:12" x14ac:dyDescent="0.25">
      <c r="B103" s="58" t="s">
        <v>226</v>
      </c>
      <c r="C103" s="61"/>
      <c r="D103" s="55">
        <v>84950</v>
      </c>
      <c r="E103" s="52">
        <f t="shared" si="2"/>
        <v>20037.686167446696</v>
      </c>
      <c r="F103" s="48">
        <f t="shared" si="3"/>
        <v>46.607362990589891</v>
      </c>
      <c r="G103" s="54"/>
      <c r="H103" s="55">
        <v>91410</v>
      </c>
      <c r="I103" s="52">
        <f t="shared" si="4"/>
        <v>21561.446645865835</v>
      </c>
      <c r="J103" s="48">
        <f t="shared" si="5"/>
        <v>50.151607427543532</v>
      </c>
      <c r="K103" s="54"/>
      <c r="L103" s="60">
        <v>1923</v>
      </c>
    </row>
    <row r="104" spans="2:12" x14ac:dyDescent="0.25">
      <c r="B104" s="58" t="s">
        <v>227</v>
      </c>
      <c r="C104" s="61"/>
      <c r="D104" s="55">
        <v>74720</v>
      </c>
      <c r="E104" s="52">
        <f t="shared" si="2"/>
        <v>20908.23244910549</v>
      </c>
      <c r="F104" s="48">
        <f t="shared" si="3"/>
        <v>48.632240823804793</v>
      </c>
      <c r="G104" s="54"/>
      <c r="H104" s="55">
        <v>84820</v>
      </c>
      <c r="I104" s="52">
        <f t="shared" si="4"/>
        <v>23734.425539790249</v>
      </c>
      <c r="J104" s="48">
        <f t="shared" si="5"/>
        <v>55.205924339870478</v>
      </c>
      <c r="K104" s="54"/>
      <c r="L104" s="60">
        <v>1621</v>
      </c>
    </row>
    <row r="105" spans="2:12" x14ac:dyDescent="0.25">
      <c r="B105" s="58" t="s">
        <v>228</v>
      </c>
      <c r="C105" s="61"/>
      <c r="D105" s="55">
        <v>68930</v>
      </c>
      <c r="E105" s="52">
        <f t="shared" si="2"/>
        <v>12416.981215250198</v>
      </c>
      <c r="F105" s="48">
        <f t="shared" si="3"/>
        <v>28.881715479040551</v>
      </c>
      <c r="G105" s="54"/>
      <c r="H105" s="55">
        <v>75610</v>
      </c>
      <c r="I105" s="52">
        <f t="shared" si="4"/>
        <v>13620.3097299444</v>
      </c>
      <c r="J105" s="48">
        <f t="shared" si="5"/>
        <v>31.680639886410216</v>
      </c>
      <c r="K105" s="54"/>
      <c r="L105" s="60">
        <v>2518</v>
      </c>
    </row>
    <row r="106" spans="2:12" x14ac:dyDescent="0.25">
      <c r="B106" s="58" t="s">
        <v>229</v>
      </c>
      <c r="C106" s="61"/>
      <c r="D106" s="55">
        <v>72200</v>
      </c>
      <c r="E106" s="52">
        <f t="shared" si="2"/>
        <v>10061.197542242702</v>
      </c>
      <c r="F106" s="48">
        <f t="shared" si="3"/>
        <v>23.402197342183918</v>
      </c>
      <c r="G106" s="54"/>
      <c r="H106" s="55">
        <v>79196.89540113158</v>
      </c>
      <c r="I106" s="52">
        <f t="shared" si="4"/>
        <v>11036.227276497471</v>
      </c>
      <c r="J106" s="48">
        <f t="shared" si="5"/>
        <v>25.670102147722705</v>
      </c>
      <c r="K106" s="54"/>
      <c r="L106" s="60">
        <v>3255</v>
      </c>
    </row>
    <row r="107" spans="2:12" x14ac:dyDescent="0.25">
      <c r="B107" s="58" t="s">
        <v>230</v>
      </c>
      <c r="C107" s="61"/>
      <c r="D107" s="55">
        <v>119550</v>
      </c>
      <c r="E107" s="52">
        <f t="shared" si="2"/>
        <v>16134.09238321928</v>
      </c>
      <c r="F107" s="48">
        <f t="shared" si="3"/>
        <v>37.527661324991804</v>
      </c>
      <c r="G107" s="54"/>
      <c r="H107" s="55">
        <v>127960</v>
      </c>
      <c r="I107" s="52">
        <f t="shared" si="4"/>
        <v>17269.079559654863</v>
      </c>
      <c r="J107" s="48">
        <f t="shared" si="5"/>
        <v>40.167624785829787</v>
      </c>
      <c r="K107" s="54"/>
      <c r="L107" s="60">
        <v>3361</v>
      </c>
    </row>
    <row r="108" spans="2:12" x14ac:dyDescent="0.25">
      <c r="B108" s="58" t="s">
        <v>231</v>
      </c>
      <c r="C108" s="61"/>
      <c r="D108" s="55">
        <v>123670</v>
      </c>
      <c r="E108" s="52">
        <f t="shared" si="2"/>
        <v>18593.130692741131</v>
      </c>
      <c r="F108" s="48">
        <f t="shared" si="3"/>
        <v>43.247348226059557</v>
      </c>
      <c r="G108" s="54"/>
      <c r="H108" s="55">
        <v>130030</v>
      </c>
      <c r="I108" s="52">
        <f t="shared" si="4"/>
        <v>19549.323069274113</v>
      </c>
      <c r="J108" s="48">
        <f t="shared" si="5"/>
        <v>45.471437614898726</v>
      </c>
      <c r="K108" s="54"/>
      <c r="L108" s="60">
        <v>3017</v>
      </c>
    </row>
    <row r="109" spans="2:12" x14ac:dyDescent="0.25">
      <c r="B109" s="58" t="s">
        <v>232</v>
      </c>
      <c r="C109" s="61"/>
      <c r="D109" s="55">
        <v>117059</v>
      </c>
      <c r="E109" s="52">
        <f t="shared" si="2"/>
        <v>18729.027093474426</v>
      </c>
      <c r="F109" s="48">
        <f t="shared" si="3"/>
        <v>43.563441253226593</v>
      </c>
      <c r="G109" s="54"/>
      <c r="H109" s="55">
        <v>125294</v>
      </c>
      <c r="I109" s="52">
        <f t="shared" si="4"/>
        <v>20046.598045855379</v>
      </c>
      <c r="J109" s="48">
        <f t="shared" si="5"/>
        <v>46.628091888549989</v>
      </c>
      <c r="K109" s="54"/>
      <c r="L109" s="60">
        <v>2835</v>
      </c>
    </row>
    <row r="110" spans="2:12" x14ac:dyDescent="0.25">
      <c r="B110" s="58" t="s">
        <v>233</v>
      </c>
      <c r="C110" s="61"/>
      <c r="D110" s="55">
        <v>122887</v>
      </c>
      <c r="E110" s="52">
        <f t="shared" si="2"/>
        <v>18907.840681818183</v>
      </c>
      <c r="F110" s="48">
        <f t="shared" si="3"/>
        <v>43.979359026862895</v>
      </c>
      <c r="G110" s="54"/>
      <c r="H110" s="55">
        <v>130817</v>
      </c>
      <c r="I110" s="52">
        <f t="shared" si="4"/>
        <v>20127.979318181817</v>
      </c>
      <c r="J110" s="48">
        <f t="shared" si="5"/>
        <v>46.817383529723436</v>
      </c>
      <c r="K110" s="54"/>
      <c r="L110" s="60">
        <v>2948</v>
      </c>
    </row>
    <row r="111" spans="2:12" x14ac:dyDescent="0.25">
      <c r="B111" s="58" t="s">
        <v>234</v>
      </c>
      <c r="C111" s="61"/>
      <c r="D111" s="55">
        <v>115983</v>
      </c>
      <c r="E111" s="52">
        <f t="shared" si="2"/>
        <v>18589.656879858656</v>
      </c>
      <c r="F111" s="48">
        <f t="shared" si="3"/>
        <v>43.23926818844334</v>
      </c>
      <c r="G111" s="54"/>
      <c r="H111" s="55">
        <v>124230</v>
      </c>
      <c r="I111" s="52">
        <f t="shared" si="4"/>
        <v>19911.479045936394</v>
      </c>
      <c r="J111" s="48">
        <f t="shared" si="5"/>
        <v>46.313807084230582</v>
      </c>
      <c r="K111" s="54"/>
      <c r="L111" s="60">
        <v>2830</v>
      </c>
    </row>
    <row r="112" spans="2:12" x14ac:dyDescent="0.25">
      <c r="B112" s="58" t="s">
        <v>235</v>
      </c>
      <c r="C112" s="61"/>
      <c r="D112" s="55">
        <v>30500</v>
      </c>
      <c r="E112" s="52">
        <f t="shared" si="2"/>
        <v>51621.249999999993</v>
      </c>
      <c r="F112" s="53">
        <f t="shared" si="3"/>
        <v>120.070267428715</v>
      </c>
      <c r="G112" s="54"/>
      <c r="H112" s="55">
        <v>36020</v>
      </c>
      <c r="I112" s="52">
        <f t="shared" si="4"/>
        <v>60963.849999999991</v>
      </c>
      <c r="J112" s="53">
        <f t="shared" si="5"/>
        <v>141.80101746827262</v>
      </c>
      <c r="K112" s="54"/>
      <c r="L112" s="60">
        <v>268</v>
      </c>
    </row>
    <row r="113" spans="2:12" x14ac:dyDescent="0.25">
      <c r="B113" s="58" t="s">
        <v>236</v>
      </c>
      <c r="C113" s="61"/>
      <c r="D113" s="55">
        <v>93540</v>
      </c>
      <c r="E113" s="52">
        <f t="shared" si="2"/>
        <v>15093.848665955175</v>
      </c>
      <c r="F113" s="48">
        <f t="shared" si="3"/>
        <v>35.108069755183983</v>
      </c>
      <c r="G113" s="54"/>
      <c r="H113" s="55">
        <v>101130</v>
      </c>
      <c r="I113" s="52">
        <f t="shared" si="4"/>
        <v>16318.59007470651</v>
      </c>
      <c r="J113" s="48">
        <f t="shared" si="5"/>
        <v>37.95680023884708</v>
      </c>
      <c r="K113" s="54"/>
      <c r="L113" s="60">
        <v>2811</v>
      </c>
    </row>
    <row r="114" spans="2:12" x14ac:dyDescent="0.25">
      <c r="B114" s="58" t="s">
        <v>237</v>
      </c>
      <c r="C114" s="61"/>
      <c r="D114" s="55">
        <v>96720</v>
      </c>
      <c r="E114" s="52">
        <f t="shared" si="2"/>
        <v>15612.535516014234</v>
      </c>
      <c r="F114" s="48">
        <f t="shared" si="3"/>
        <v>36.314527731276172</v>
      </c>
      <c r="G114" s="54"/>
      <c r="H114" s="55">
        <v>104530</v>
      </c>
      <c r="I114" s="52">
        <f t="shared" si="4"/>
        <v>16873.225160142349</v>
      </c>
      <c r="J114" s="48">
        <f t="shared" si="5"/>
        <v>39.246873281123854</v>
      </c>
      <c r="K114" s="54"/>
      <c r="L114" s="60">
        <v>2810</v>
      </c>
    </row>
    <row r="115" spans="2:12" x14ac:dyDescent="0.25">
      <c r="B115" s="58" t="s">
        <v>238</v>
      </c>
      <c r="C115" s="61"/>
      <c r="D115" s="55">
        <v>100480</v>
      </c>
      <c r="E115" s="52">
        <f t="shared" si="2"/>
        <v>15645.974322004806</v>
      </c>
      <c r="F115" s="48">
        <f t="shared" si="3"/>
        <v>36.392305901657274</v>
      </c>
      <c r="G115" s="54"/>
      <c r="H115" s="55">
        <v>108570</v>
      </c>
      <c r="I115" s="52">
        <f t="shared" si="4"/>
        <v>16905.687023686918</v>
      </c>
      <c r="J115" s="48">
        <f t="shared" si="5"/>
        <v>39.322379097760042</v>
      </c>
      <c r="K115" s="54"/>
      <c r="L115" s="60">
        <v>2913</v>
      </c>
    </row>
    <row r="116" spans="2:12" x14ac:dyDescent="0.25">
      <c r="B116" s="58" t="s">
        <v>239</v>
      </c>
      <c r="C116" s="61"/>
      <c r="D116" s="55">
        <v>94970</v>
      </c>
      <c r="E116" s="52">
        <f t="shared" si="2"/>
        <v>19465.631405332126</v>
      </c>
      <c r="F116" s="48">
        <f t="shared" si="3"/>
        <v>45.27677203684572</v>
      </c>
      <c r="G116" s="54"/>
      <c r="H116" s="55">
        <v>103220</v>
      </c>
      <c r="I116" s="52">
        <f t="shared" si="4"/>
        <v>21156.601807501127</v>
      </c>
      <c r="J116" s="48">
        <f t="shared" si="5"/>
        <v>49.209944294442614</v>
      </c>
      <c r="K116" s="54"/>
      <c r="L116" s="60">
        <v>2213</v>
      </c>
    </row>
    <row r="117" spans="2:12" x14ac:dyDescent="0.25">
      <c r="B117" s="58" t="s">
        <v>240</v>
      </c>
      <c r="C117" s="61"/>
      <c r="D117" s="55">
        <v>90060</v>
      </c>
      <c r="E117" s="52">
        <f t="shared" si="2"/>
        <v>19287.212181303115</v>
      </c>
      <c r="F117" s="48">
        <f t="shared" si="3"/>
        <v>44.861771548798892</v>
      </c>
      <c r="G117" s="54"/>
      <c r="H117" s="55">
        <v>98560</v>
      </c>
      <c r="I117" s="52">
        <f t="shared" si="4"/>
        <v>21107.568649669498</v>
      </c>
      <c r="J117" s="48">
        <f t="shared" si="5"/>
        <v>49.095893891290459</v>
      </c>
      <c r="K117" s="54"/>
      <c r="L117" s="60">
        <v>2118</v>
      </c>
    </row>
    <row r="118" spans="2:12" x14ac:dyDescent="0.25">
      <c r="B118" s="58" t="s">
        <v>241</v>
      </c>
      <c r="C118" s="61"/>
      <c r="D118" s="55">
        <v>95720</v>
      </c>
      <c r="E118" s="52">
        <f t="shared" si="2"/>
        <v>19271.031868619615</v>
      </c>
      <c r="F118" s="48">
        <f t="shared" si="3"/>
        <v>44.824136379735997</v>
      </c>
      <c r="G118" s="54"/>
      <c r="H118" s="55">
        <v>103010</v>
      </c>
      <c r="I118" s="52">
        <f t="shared" si="4"/>
        <v>20738.706569019083</v>
      </c>
      <c r="J118" s="48">
        <f t="shared" si="5"/>
        <v>48.237926122822877</v>
      </c>
      <c r="K118" s="54"/>
      <c r="L118" s="60">
        <v>2253</v>
      </c>
    </row>
    <row r="119" spans="2:12" x14ac:dyDescent="0.25">
      <c r="B119" s="58" t="s">
        <v>242</v>
      </c>
      <c r="C119" s="50"/>
      <c r="D119" s="55">
        <v>84250</v>
      </c>
      <c r="E119" s="52">
        <f t="shared" si="2"/>
        <v>19903.623697916668</v>
      </c>
      <c r="F119" s="48">
        <f t="shared" si="3"/>
        <v>46.295535660398848</v>
      </c>
      <c r="G119" s="54"/>
      <c r="H119" s="55">
        <v>91420</v>
      </c>
      <c r="I119" s="52">
        <f t="shared" si="4"/>
        <v>21597.498854166668</v>
      </c>
      <c r="J119" s="48">
        <f t="shared" si="5"/>
        <v>50.235464333218552</v>
      </c>
      <c r="K119" s="54"/>
      <c r="L119" s="59">
        <v>1920</v>
      </c>
    </row>
    <row r="120" spans="2:12" x14ac:dyDescent="0.25">
      <c r="B120" s="40" t="s">
        <v>243</v>
      </c>
      <c r="C120" s="41"/>
      <c r="D120" s="42" t="s">
        <v>244</v>
      </c>
      <c r="E120" s="42" t="s">
        <v>245</v>
      </c>
      <c r="F120" s="42" t="s">
        <v>204</v>
      </c>
      <c r="G120" s="42"/>
      <c r="H120" s="42" t="s">
        <v>244</v>
      </c>
      <c r="I120" s="42" t="s">
        <v>245</v>
      </c>
      <c r="J120" s="42" t="s">
        <v>204</v>
      </c>
      <c r="K120" s="42"/>
      <c r="L120" s="43"/>
    </row>
    <row r="121" spans="2:12" x14ac:dyDescent="0.25">
      <c r="B121" s="44" t="s">
        <v>246</v>
      </c>
      <c r="C121" s="50"/>
      <c r="D121" s="62">
        <v>19546300</v>
      </c>
      <c r="E121" s="52">
        <f t="shared" ref="E121:E129" si="6">D121/2000</f>
        <v>9773.15</v>
      </c>
      <c r="F121" s="48">
        <f t="shared" ref="F121:F129" si="7">E121*1.05506/1000*2.2046</f>
        <v>22.7322030001394</v>
      </c>
      <c r="G121" s="54"/>
      <c r="H121" s="55">
        <v>20608570</v>
      </c>
      <c r="I121" s="52">
        <f>H121/2000</f>
        <v>10304.285</v>
      </c>
      <c r="J121" s="48">
        <f t="shared" ref="J121:J129" si="8">I121*1.05506/1000*2.2046</f>
        <v>23.967615189707661</v>
      </c>
      <c r="K121" s="54"/>
      <c r="L121" s="60"/>
    </row>
    <row r="122" spans="2:12" x14ac:dyDescent="0.25">
      <c r="B122" s="44" t="s">
        <v>247</v>
      </c>
      <c r="C122" s="50"/>
      <c r="D122" s="62">
        <v>22460600</v>
      </c>
      <c r="E122" s="52">
        <f t="shared" si="6"/>
        <v>11230.3</v>
      </c>
      <c r="F122" s="48">
        <f t="shared" si="7"/>
        <v>26.121512445062798</v>
      </c>
      <c r="G122" s="54"/>
      <c r="H122" s="55">
        <v>23445900</v>
      </c>
      <c r="I122" s="52">
        <f t="shared" ref="I122:I129" si="9">H122/2000</f>
        <v>11722.95</v>
      </c>
      <c r="J122" s="48">
        <f t="shared" si="8"/>
        <v>27.267409091284208</v>
      </c>
      <c r="K122" s="54"/>
      <c r="L122" s="60"/>
    </row>
    <row r="123" spans="2:12" x14ac:dyDescent="0.25">
      <c r="B123" s="58" t="s">
        <v>248</v>
      </c>
      <c r="C123" s="45"/>
      <c r="D123" s="62">
        <v>24600497.144575384</v>
      </c>
      <c r="E123" s="52">
        <f t="shared" si="6"/>
        <v>12300.248572287692</v>
      </c>
      <c r="F123" s="48">
        <f t="shared" si="7"/>
        <v>28.610197070281195</v>
      </c>
      <c r="G123" s="54"/>
      <c r="H123" s="55">
        <v>25679670</v>
      </c>
      <c r="I123" s="52">
        <f t="shared" si="9"/>
        <v>12839.834999999999</v>
      </c>
      <c r="J123" s="48">
        <f t="shared" si="8"/>
        <v>29.865267156269461</v>
      </c>
      <c r="K123" s="54"/>
      <c r="L123" s="60"/>
    </row>
    <row r="124" spans="2:12" x14ac:dyDescent="0.25">
      <c r="B124" s="44" t="s">
        <v>249</v>
      </c>
      <c r="C124" s="50"/>
      <c r="D124" s="62">
        <v>16811000</v>
      </c>
      <c r="E124" s="52">
        <f t="shared" si="6"/>
        <v>8405.5</v>
      </c>
      <c r="F124" s="48">
        <f t="shared" si="7"/>
        <v>19.551069237418005</v>
      </c>
      <c r="G124" s="54"/>
      <c r="H124" s="55">
        <v>17703170</v>
      </c>
      <c r="I124" s="52">
        <f t="shared" si="9"/>
        <v>8851.5849999999991</v>
      </c>
      <c r="J124" s="48">
        <f t="shared" si="8"/>
        <v>20.588656379262464</v>
      </c>
      <c r="K124" s="54"/>
      <c r="L124" s="60"/>
    </row>
    <row r="125" spans="2:12" x14ac:dyDescent="0.25">
      <c r="B125" s="44" t="s">
        <v>250</v>
      </c>
      <c r="C125" s="50"/>
      <c r="D125" s="62">
        <v>14797554.763920812</v>
      </c>
      <c r="E125" s="52">
        <f t="shared" si="6"/>
        <v>7398.7773819604063</v>
      </c>
      <c r="F125" s="48">
        <f t="shared" si="7"/>
        <v>17.209447250841734</v>
      </c>
      <c r="G125" s="54"/>
      <c r="H125" s="55">
        <v>15582870</v>
      </c>
      <c r="I125" s="52">
        <f t="shared" si="9"/>
        <v>7791.4350000000004</v>
      </c>
      <c r="J125" s="48">
        <f t="shared" si="8"/>
        <v>18.122763088911064</v>
      </c>
      <c r="K125" s="54"/>
      <c r="L125" s="60"/>
    </row>
    <row r="126" spans="2:12" x14ac:dyDescent="0.25">
      <c r="B126" s="44" t="s">
        <v>251</v>
      </c>
      <c r="C126" s="50"/>
      <c r="D126" s="62">
        <v>14075990</v>
      </c>
      <c r="E126" s="52">
        <f t="shared" si="6"/>
        <v>7037.9949999999999</v>
      </c>
      <c r="F126" s="48">
        <f t="shared" si="7"/>
        <v>16.370272742561625</v>
      </c>
      <c r="G126" s="54"/>
      <c r="H126" s="55">
        <v>14974460</v>
      </c>
      <c r="I126" s="52">
        <f t="shared" si="9"/>
        <v>7487.23</v>
      </c>
      <c r="J126" s="48">
        <f t="shared" si="8"/>
        <v>17.415186738025483</v>
      </c>
      <c r="K126" s="54"/>
      <c r="L126" s="60"/>
    </row>
    <row r="127" spans="2:12" x14ac:dyDescent="0.25">
      <c r="B127" s="44" t="s">
        <v>252</v>
      </c>
      <c r="C127" s="50"/>
      <c r="D127" s="62">
        <v>13243490</v>
      </c>
      <c r="E127" s="52">
        <f t="shared" si="6"/>
        <v>6621.7449999999999</v>
      </c>
      <c r="F127" s="48">
        <f t="shared" si="7"/>
        <v>15.40208137142662</v>
      </c>
      <c r="G127" s="54"/>
      <c r="H127" s="55">
        <v>14164160</v>
      </c>
      <c r="I127" s="52">
        <f t="shared" si="9"/>
        <v>7082.08</v>
      </c>
      <c r="J127" s="48">
        <f t="shared" si="8"/>
        <v>16.472813803454081</v>
      </c>
      <c r="K127" s="54"/>
      <c r="L127" s="60"/>
    </row>
    <row r="128" spans="2:12" x14ac:dyDescent="0.25">
      <c r="B128" s="44" t="s">
        <v>253</v>
      </c>
      <c r="C128" s="50"/>
      <c r="D128" s="62">
        <v>12947318</v>
      </c>
      <c r="E128" s="52">
        <f t="shared" si="6"/>
        <v>6473.6589999999997</v>
      </c>
      <c r="F128" s="48">
        <f t="shared" si="7"/>
        <v>15.057635515844886</v>
      </c>
      <c r="G128" s="54"/>
      <c r="H128" s="55">
        <v>14062678</v>
      </c>
      <c r="I128" s="52">
        <f t="shared" si="9"/>
        <v>7031.3389999999999</v>
      </c>
      <c r="J128" s="48">
        <f t="shared" si="8"/>
        <v>16.354790984564566</v>
      </c>
      <c r="K128" s="54"/>
      <c r="L128" s="60"/>
    </row>
    <row r="129" spans="2:12" x14ac:dyDescent="0.25">
      <c r="B129" s="44" t="s">
        <v>254</v>
      </c>
      <c r="C129" s="50"/>
      <c r="D129" s="62">
        <v>25370000</v>
      </c>
      <c r="E129" s="52">
        <f t="shared" si="6"/>
        <v>12685</v>
      </c>
      <c r="F129" s="48">
        <f t="shared" si="7"/>
        <v>29.505123226060004</v>
      </c>
      <c r="G129" s="54"/>
      <c r="H129" s="55">
        <v>26920000</v>
      </c>
      <c r="I129" s="52">
        <f t="shared" si="9"/>
        <v>13460</v>
      </c>
      <c r="J129" s="48">
        <f t="shared" si="8"/>
        <v>31.307761814960006</v>
      </c>
      <c r="K129" s="54"/>
      <c r="L129" s="60"/>
    </row>
    <row r="130" spans="2:12" x14ac:dyDescent="0.25">
      <c r="B130" s="404" t="s">
        <v>255</v>
      </c>
      <c r="C130" s="405"/>
      <c r="D130" s="405"/>
      <c r="E130" s="405"/>
      <c r="F130" s="405"/>
      <c r="G130" s="405"/>
      <c r="H130" s="405"/>
      <c r="I130" s="405"/>
      <c r="J130" s="405"/>
      <c r="K130" s="405"/>
      <c r="L130" s="406"/>
    </row>
    <row r="131" spans="2:12" ht="15" customHeight="1" x14ac:dyDescent="0.25">
      <c r="B131" s="407" t="s">
        <v>256</v>
      </c>
      <c r="C131" s="408"/>
      <c r="D131" s="408"/>
      <c r="E131" s="408"/>
      <c r="F131" s="408"/>
      <c r="G131" s="408"/>
      <c r="H131" s="408"/>
      <c r="I131" s="408"/>
      <c r="J131" s="408"/>
      <c r="K131" s="408"/>
      <c r="L131" s="409"/>
    </row>
    <row r="132" spans="2:12" ht="15" customHeight="1" x14ac:dyDescent="0.25">
      <c r="B132" s="397" t="s">
        <v>257</v>
      </c>
      <c r="C132" s="398"/>
      <c r="D132" s="398"/>
      <c r="E132" s="398"/>
      <c r="F132" s="398"/>
      <c r="G132" s="398"/>
      <c r="H132" s="398"/>
      <c r="I132" s="398"/>
      <c r="J132" s="398"/>
      <c r="K132" s="398"/>
      <c r="L132" s="399"/>
    </row>
    <row r="133" spans="2:12" x14ac:dyDescent="0.25">
      <c r="B133" s="397" t="s">
        <v>258</v>
      </c>
      <c r="C133" s="398"/>
      <c r="D133" s="398"/>
      <c r="E133" s="398"/>
      <c r="F133" s="398"/>
      <c r="G133" s="398"/>
      <c r="H133" s="398"/>
      <c r="I133" s="398"/>
      <c r="J133" s="398"/>
      <c r="K133" s="398"/>
      <c r="L133" s="399"/>
    </row>
    <row r="134" spans="2:12" ht="15" customHeight="1" x14ac:dyDescent="0.25">
      <c r="B134" s="397" t="s">
        <v>259</v>
      </c>
      <c r="C134" s="398"/>
      <c r="D134" s="398"/>
      <c r="E134" s="398"/>
      <c r="F134" s="398"/>
      <c r="G134" s="398"/>
      <c r="H134" s="398"/>
      <c r="I134" s="398"/>
      <c r="J134" s="398"/>
      <c r="K134" s="398"/>
      <c r="L134" s="399"/>
    </row>
    <row r="135" spans="2:12" ht="15" customHeight="1" x14ac:dyDescent="0.25">
      <c r="B135" s="400" t="s">
        <v>260</v>
      </c>
      <c r="C135" s="401"/>
      <c r="D135" s="401"/>
      <c r="E135" s="401"/>
      <c r="F135" s="401"/>
      <c r="G135" s="401"/>
      <c r="H135" s="401"/>
      <c r="I135" s="401"/>
      <c r="J135" s="401"/>
      <c r="K135" s="401"/>
      <c r="L135" s="402"/>
    </row>
    <row r="136" spans="2:12" ht="15" customHeight="1" x14ac:dyDescent="0.25">
      <c r="B136" s="397" t="s">
        <v>261</v>
      </c>
      <c r="C136" s="398"/>
      <c r="D136" s="398"/>
      <c r="E136" s="398"/>
      <c r="F136" s="398"/>
      <c r="G136" s="398"/>
      <c r="H136" s="398"/>
      <c r="I136" s="398"/>
      <c r="J136" s="398"/>
      <c r="K136" s="398"/>
      <c r="L136" s="399"/>
    </row>
    <row r="137" spans="2:12" ht="15" customHeight="1" x14ac:dyDescent="0.25">
      <c r="B137" s="397" t="s">
        <v>262</v>
      </c>
      <c r="C137" s="398"/>
      <c r="D137" s="398"/>
      <c r="E137" s="398"/>
      <c r="F137" s="398"/>
      <c r="G137" s="398"/>
      <c r="H137" s="398"/>
      <c r="I137" s="398"/>
      <c r="J137" s="398"/>
      <c r="K137" s="398"/>
      <c r="L137" s="399"/>
    </row>
    <row r="138" spans="2:12" ht="15" customHeight="1" x14ac:dyDescent="0.25">
      <c r="B138" s="397" t="s">
        <v>263</v>
      </c>
      <c r="C138" s="398"/>
      <c r="D138" s="398"/>
      <c r="E138" s="398"/>
      <c r="F138" s="398"/>
      <c r="G138" s="398"/>
      <c r="H138" s="398"/>
      <c r="I138" s="398"/>
      <c r="J138" s="398"/>
      <c r="K138" s="398"/>
      <c r="L138" s="399"/>
    </row>
    <row r="139" spans="2:12" x14ac:dyDescent="0.25">
      <c r="B139" s="63"/>
      <c r="C139" s="64"/>
      <c r="D139" s="64"/>
      <c r="E139" s="64"/>
      <c r="F139" s="64"/>
      <c r="G139" s="64"/>
      <c r="H139" s="64"/>
      <c r="I139" s="64"/>
      <c r="J139" s="64"/>
      <c r="K139" s="64"/>
      <c r="L139" s="65"/>
    </row>
    <row r="140" spans="2:12" x14ac:dyDescent="0.25">
      <c r="B140" s="397" t="s">
        <v>264</v>
      </c>
      <c r="C140" s="398"/>
      <c r="D140" s="398"/>
      <c r="E140" s="398"/>
      <c r="F140" s="398"/>
      <c r="G140" s="398"/>
      <c r="H140" s="398"/>
      <c r="I140" s="398"/>
      <c r="J140" s="398"/>
      <c r="K140" s="398"/>
      <c r="L140" s="399"/>
    </row>
    <row r="141" spans="2:12" ht="15.75" customHeight="1" thickBot="1" x14ac:dyDescent="0.3">
      <c r="B141" s="394" t="s">
        <v>265</v>
      </c>
      <c r="C141" s="395"/>
      <c r="D141" s="395"/>
      <c r="E141" s="395"/>
      <c r="F141" s="395"/>
      <c r="G141" s="395"/>
      <c r="H141" s="395"/>
      <c r="I141" s="395"/>
      <c r="J141" s="395"/>
      <c r="K141" s="395"/>
      <c r="L141" s="396"/>
    </row>
    <row r="142" spans="2:12" x14ac:dyDescent="0.25"/>
    <row r="143" spans="2:12" x14ac:dyDescent="0.25"/>
    <row r="144" spans="2:12" x14ac:dyDescent="0.25"/>
    <row r="145" x14ac:dyDescent="0.25"/>
    <row r="146" x14ac:dyDescent="0.25"/>
    <row r="147" x14ac:dyDescent="0.25"/>
    <row r="148" x14ac:dyDescent="0.25"/>
    <row r="149" hidden="1" x14ac:dyDescent="0.25"/>
    <row r="150" hidden="1" x14ac:dyDescent="0.25"/>
    <row r="151" hidden="1" x14ac:dyDescent="0.25"/>
    <row r="152" x14ac:dyDescent="0.25"/>
  </sheetData>
  <mergeCells count="13">
    <mergeCell ref="B133:L133"/>
    <mergeCell ref="D83:F83"/>
    <mergeCell ref="H83:J83"/>
    <mergeCell ref="B130:L130"/>
    <mergeCell ref="B131:L131"/>
    <mergeCell ref="B132:L132"/>
    <mergeCell ref="B141:L141"/>
    <mergeCell ref="B134:L134"/>
    <mergeCell ref="B135:L135"/>
    <mergeCell ref="B136:L136"/>
    <mergeCell ref="B137:L137"/>
    <mergeCell ref="B138:L138"/>
    <mergeCell ref="B140:L140"/>
  </mergeCells>
  <hyperlinks>
    <hyperlink ref="F15" r:id="rId1" xr:uid="{00000000-0004-0000-0B00-000000000000}"/>
  </hyperlinks>
  <pageMargins left="0.7" right="0.7" top="0.75" bottom="0.75" header="0.3" footer="0.3"/>
  <pageSetup orientation="portrait" horizontalDpi="300" verticalDpi="300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>
    <tabColor rgb="FFFF0000"/>
  </sheetPr>
  <dimension ref="A1:T74"/>
  <sheetViews>
    <sheetView workbookViewId="0">
      <selection activeCell="E33" sqref="E33"/>
    </sheetView>
  </sheetViews>
  <sheetFormatPr defaultRowHeight="15" x14ac:dyDescent="0.25"/>
  <cols>
    <col min="1" max="1" width="9.140625" style="77"/>
    <col min="2" max="2" width="20.28515625" style="77" bestFit="1" customWidth="1"/>
    <col min="3" max="3" width="9.28515625" style="77" customWidth="1"/>
    <col min="4" max="4" width="9.5703125" style="77" bestFit="1" customWidth="1"/>
    <col min="5" max="5" width="22.28515625" style="77" bestFit="1" customWidth="1"/>
    <col min="6" max="16384" width="9.140625" style="77"/>
  </cols>
  <sheetData>
    <row r="1" spans="1:4" x14ac:dyDescent="0.25">
      <c r="A1" s="67" t="s">
        <v>357</v>
      </c>
    </row>
    <row r="2" spans="1:4" x14ac:dyDescent="0.25">
      <c r="A2" s="67"/>
    </row>
    <row r="3" spans="1:4" x14ac:dyDescent="0.25">
      <c r="B3" s="77" t="s">
        <v>383</v>
      </c>
    </row>
    <row r="4" spans="1:4" x14ac:dyDescent="0.25">
      <c r="B4" s="77" t="s">
        <v>384</v>
      </c>
    </row>
    <row r="5" spans="1:4" x14ac:dyDescent="0.25">
      <c r="B5" s="77" t="s">
        <v>382</v>
      </c>
    </row>
    <row r="7" spans="1:4" x14ac:dyDescent="0.25">
      <c r="B7" s="67" t="s">
        <v>304</v>
      </c>
    </row>
    <row r="8" spans="1:4" x14ac:dyDescent="0.25">
      <c r="B8" s="77" t="s">
        <v>17</v>
      </c>
      <c r="C8" s="77">
        <v>2.5000000000000001E-2</v>
      </c>
      <c r="D8" s="77" t="s">
        <v>25</v>
      </c>
    </row>
    <row r="9" spans="1:4" x14ac:dyDescent="0.25">
      <c r="B9" s="77" t="s">
        <v>17</v>
      </c>
      <c r="C9" s="85">
        <f>C8*1000000/'Conversion Factors'!$D$29</f>
        <v>94.635294599999995</v>
      </c>
      <c r="D9" s="77" t="s">
        <v>19</v>
      </c>
    </row>
    <row r="10" spans="1:4" x14ac:dyDescent="0.25">
      <c r="B10" s="77" t="s">
        <v>266</v>
      </c>
      <c r="C10" s="77">
        <v>2</v>
      </c>
      <c r="D10" s="77" t="s">
        <v>2</v>
      </c>
    </row>
    <row r="11" spans="1:4" x14ac:dyDescent="0.25">
      <c r="B11" s="77" t="s">
        <v>48</v>
      </c>
      <c r="C11" s="85">
        <f>C10/C9*'Conversion Factors'!$D$42*60</f>
        <v>30.432620431658702</v>
      </c>
      <c r="D11" s="77" t="s">
        <v>40</v>
      </c>
    </row>
    <row r="13" spans="1:4" x14ac:dyDescent="0.25">
      <c r="B13" s="67" t="s">
        <v>361</v>
      </c>
    </row>
    <row r="14" spans="1:4" x14ac:dyDescent="0.25">
      <c r="B14" s="77" t="s">
        <v>362</v>
      </c>
    </row>
    <row r="15" spans="1:4" x14ac:dyDescent="0.25">
      <c r="B15" s="77" t="s">
        <v>363</v>
      </c>
    </row>
    <row r="16" spans="1:4" x14ac:dyDescent="0.25">
      <c r="B16" s="77" t="s">
        <v>364</v>
      </c>
    </row>
    <row r="18" spans="2:20" x14ac:dyDescent="0.25">
      <c r="B18" s="67" t="s">
        <v>305</v>
      </c>
      <c r="T18" s="1" t="s">
        <v>315</v>
      </c>
    </row>
    <row r="19" spans="2:20" x14ac:dyDescent="0.25">
      <c r="B19" s="67" t="s">
        <v>375</v>
      </c>
      <c r="C19" s="77">
        <v>4.16</v>
      </c>
      <c r="D19" s="77" t="s">
        <v>50</v>
      </c>
      <c r="T19" s="1"/>
    </row>
    <row r="20" spans="2:20" x14ac:dyDescent="0.25">
      <c r="B20" s="67" t="s">
        <v>378</v>
      </c>
      <c r="E20" s="96">
        <f>C40</f>
        <v>0.7409244491660617</v>
      </c>
      <c r="F20" s="77" t="s">
        <v>380</v>
      </c>
      <c r="T20" s="1"/>
    </row>
    <row r="21" spans="2:20" ht="15" customHeight="1" x14ac:dyDescent="0.25">
      <c r="B21" s="87" t="s">
        <v>366</v>
      </c>
      <c r="C21" s="88"/>
      <c r="D21" s="88"/>
      <c r="E21" s="116">
        <f>'GPS-X Model'!D64</f>
        <v>0.18854487254666211</v>
      </c>
      <c r="F21" s="88" t="s">
        <v>379</v>
      </c>
      <c r="G21" s="410" t="s">
        <v>306</v>
      </c>
      <c r="H21" s="410"/>
      <c r="I21" s="410"/>
      <c r="J21" s="410"/>
      <c r="K21" s="410"/>
      <c r="L21" s="410"/>
      <c r="M21" s="410"/>
      <c r="N21" s="410"/>
      <c r="O21" s="410"/>
      <c r="P21" s="411" t="s">
        <v>307</v>
      </c>
      <c r="Q21" s="411"/>
    </row>
    <row r="22" spans="2:20" x14ac:dyDescent="0.25">
      <c r="B22" s="89" t="s">
        <v>308</v>
      </c>
      <c r="E22" s="77">
        <v>7.6</v>
      </c>
      <c r="F22" s="77" t="s">
        <v>309</v>
      </c>
      <c r="H22" s="68" t="s">
        <v>310</v>
      </c>
    </row>
    <row r="23" spans="2:20" x14ac:dyDescent="0.25">
      <c r="B23" s="86" t="s">
        <v>311</v>
      </c>
      <c r="E23" s="97">
        <f>E21*E22+E20</f>
        <v>2.1738654805206936</v>
      </c>
      <c r="F23" s="77" t="s">
        <v>380</v>
      </c>
      <c r="H23" s="68" t="s">
        <v>312</v>
      </c>
    </row>
    <row r="24" spans="2:20" x14ac:dyDescent="0.25">
      <c r="B24" s="86" t="s">
        <v>367</v>
      </c>
      <c r="E24" s="97">
        <f>D45-E74</f>
        <v>0.25278075702463898</v>
      </c>
      <c r="F24" s="77" t="s">
        <v>380</v>
      </c>
      <c r="H24" s="68"/>
    </row>
    <row r="25" spans="2:20" x14ac:dyDescent="0.25">
      <c r="B25" s="86" t="s">
        <v>365</v>
      </c>
      <c r="E25" s="77">
        <v>1</v>
      </c>
      <c r="F25" s="77" t="s">
        <v>380</v>
      </c>
    </row>
    <row r="26" spans="2:20" x14ac:dyDescent="0.25">
      <c r="B26" s="93" t="s">
        <v>313</v>
      </c>
      <c r="C26" s="94"/>
      <c r="D26" s="94"/>
      <c r="E26" s="121">
        <f>E23+E25+E24</f>
        <v>3.4266462375453326</v>
      </c>
      <c r="F26" s="95" t="s">
        <v>50</v>
      </c>
      <c r="H26" s="68" t="s">
        <v>314</v>
      </c>
    </row>
    <row r="27" spans="2:20" x14ac:dyDescent="0.25">
      <c r="B27" s="122" t="s">
        <v>381</v>
      </c>
      <c r="C27" s="123"/>
      <c r="D27" s="123"/>
      <c r="E27" s="124">
        <f>E74*C11</f>
        <v>52.750497126570401</v>
      </c>
      <c r="F27" s="123" t="s">
        <v>51</v>
      </c>
      <c r="H27" s="68"/>
    </row>
    <row r="29" spans="2:20" x14ac:dyDescent="0.25">
      <c r="B29" s="67" t="s">
        <v>377</v>
      </c>
    </row>
    <row r="30" spans="2:20" x14ac:dyDescent="0.25">
      <c r="B30" s="77" t="s">
        <v>272</v>
      </c>
      <c r="C30" s="77">
        <v>0.62</v>
      </c>
    </row>
    <row r="31" spans="2:20" x14ac:dyDescent="0.25">
      <c r="B31" s="77" t="s">
        <v>273</v>
      </c>
      <c r="C31" s="77">
        <v>0.52200000000000002</v>
      </c>
    </row>
    <row r="32" spans="2:20" x14ac:dyDescent="0.25">
      <c r="B32" s="77" t="s">
        <v>274</v>
      </c>
      <c r="C32" s="77">
        <v>0.30199999999999999</v>
      </c>
    </row>
    <row r="33" spans="2:16" x14ac:dyDescent="0.25">
      <c r="B33" s="77" t="s">
        <v>275</v>
      </c>
      <c r="C33" s="77">
        <v>0.84199999999999997</v>
      </c>
    </row>
    <row r="34" spans="2:16" x14ac:dyDescent="0.25">
      <c r="B34" s="77" t="s">
        <v>280</v>
      </c>
      <c r="C34" s="77">
        <v>7</v>
      </c>
    </row>
    <row r="35" spans="2:16" x14ac:dyDescent="0.25">
      <c r="B35" s="77" t="s">
        <v>324</v>
      </c>
      <c r="C35" s="77">
        <v>30.2</v>
      </c>
    </row>
    <row r="36" spans="2:16" x14ac:dyDescent="0.25">
      <c r="B36" s="77" t="s">
        <v>277</v>
      </c>
      <c r="C36" s="77">
        <v>10.3</v>
      </c>
    </row>
    <row r="37" spans="2:16" x14ac:dyDescent="0.25">
      <c r="B37" s="77" t="s">
        <v>278</v>
      </c>
      <c r="C37" s="77">
        <v>10.7</v>
      </c>
    </row>
    <row r="38" spans="2:16" x14ac:dyDescent="0.25">
      <c r="B38" s="77" t="s">
        <v>323</v>
      </c>
      <c r="C38" s="77">
        <v>1E-3</v>
      </c>
    </row>
    <row r="39" spans="2:16" x14ac:dyDescent="0.25">
      <c r="B39" s="77" t="s">
        <v>279</v>
      </c>
      <c r="C39" s="77">
        <f>C38*C35</f>
        <v>3.0200000000000001E-2</v>
      </c>
    </row>
    <row r="40" spans="2:16" x14ac:dyDescent="0.25">
      <c r="B40" s="90" t="s">
        <v>276</v>
      </c>
      <c r="C40" s="91">
        <f>EXP(-$C$30+($C$31*LOG($C$34/$C$36))+($C$32*LOG(C39))+C33*LOG(C37))</f>
        <v>0.7409244491660617</v>
      </c>
      <c r="D40" s="92" t="s">
        <v>325</v>
      </c>
    </row>
    <row r="42" spans="2:16" x14ac:dyDescent="0.25">
      <c r="B42" s="67" t="s">
        <v>372</v>
      </c>
    </row>
    <row r="43" spans="2:16" x14ac:dyDescent="0.25">
      <c r="B43" s="119" t="s">
        <v>373</v>
      </c>
      <c r="C43" s="120">
        <f>10/24</f>
        <v>0.41666666666666669</v>
      </c>
      <c r="D43" s="119" t="s">
        <v>374</v>
      </c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</row>
    <row r="44" spans="2:16" ht="18" x14ac:dyDescent="0.35">
      <c r="B44" s="9" t="s">
        <v>371</v>
      </c>
      <c r="C44" s="9" t="s">
        <v>370</v>
      </c>
      <c r="D44" s="9" t="s">
        <v>369</v>
      </c>
      <c r="E44" s="9" t="s">
        <v>368</v>
      </c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</row>
    <row r="45" spans="2:16" x14ac:dyDescent="0.25">
      <c r="B45" s="117">
        <v>1</v>
      </c>
      <c r="C45" s="117">
        <f t="shared" ref="C45:C74" si="0">B45/60*0.7</f>
        <v>1.1666666666666665E-2</v>
      </c>
      <c r="D45" s="118">
        <f>C19-E23</f>
        <v>1.9861345194793065</v>
      </c>
      <c r="E45" s="120">
        <f>(1/(1+($C$43*C45))*D45)</f>
        <v>1.9765264050105054</v>
      </c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</row>
    <row r="46" spans="2:16" x14ac:dyDescent="0.25">
      <c r="B46" s="117">
        <f t="shared" ref="B46:B74" si="1">B45+1</f>
        <v>2</v>
      </c>
      <c r="C46" s="117">
        <f t="shared" si="0"/>
        <v>2.3333333333333331E-2</v>
      </c>
      <c r="D46" s="118">
        <f>$D$45</f>
        <v>1.9861345194793065</v>
      </c>
      <c r="E46" s="120">
        <f t="shared" ref="E46:E74" si="2">(1/(1+($C$43*C46))*D46)</f>
        <v>1.9670108033357645</v>
      </c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</row>
    <row r="47" spans="2:16" x14ac:dyDescent="0.25">
      <c r="B47" s="117">
        <f t="shared" si="1"/>
        <v>3</v>
      </c>
      <c r="C47" s="117">
        <f t="shared" si="0"/>
        <v>3.4999999999999996E-2</v>
      </c>
      <c r="D47" s="118">
        <f t="shared" ref="D47:D74" si="3">$D$45</f>
        <v>1.9861345194793065</v>
      </c>
      <c r="E47" s="120">
        <f t="shared" si="2"/>
        <v>1.9575863847023964</v>
      </c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</row>
    <row r="48" spans="2:16" x14ac:dyDescent="0.25">
      <c r="B48" s="117">
        <f t="shared" si="1"/>
        <v>4</v>
      </c>
      <c r="C48" s="117">
        <f t="shared" si="0"/>
        <v>4.6666666666666662E-2</v>
      </c>
      <c r="D48" s="118">
        <f t="shared" si="3"/>
        <v>1.9861345194793065</v>
      </c>
      <c r="E48" s="120">
        <f t="shared" si="2"/>
        <v>1.9482518447208457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</row>
    <row r="49" spans="2:16" x14ac:dyDescent="0.25">
      <c r="B49" s="117">
        <f t="shared" si="1"/>
        <v>5</v>
      </c>
      <c r="C49" s="117">
        <f t="shared" si="0"/>
        <v>5.8333333333333327E-2</v>
      </c>
      <c r="D49" s="118">
        <f t="shared" si="3"/>
        <v>1.9861345194793065</v>
      </c>
      <c r="E49" s="120">
        <f t="shared" si="2"/>
        <v>1.9390059037628482</v>
      </c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</row>
    <row r="50" spans="2:16" x14ac:dyDescent="0.25">
      <c r="B50" s="117">
        <f t="shared" si="1"/>
        <v>6</v>
      </c>
      <c r="C50" s="117">
        <f t="shared" si="0"/>
        <v>6.9999999999999993E-2</v>
      </c>
      <c r="D50" s="118">
        <f t="shared" si="3"/>
        <v>1.9861345194793065</v>
      </c>
      <c r="E50" s="120">
        <f t="shared" si="2"/>
        <v>1.9298473063766541</v>
      </c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</row>
    <row r="51" spans="2:16" x14ac:dyDescent="0.25">
      <c r="B51" s="117">
        <f t="shared" si="1"/>
        <v>7</v>
      </c>
      <c r="C51" s="117">
        <f t="shared" si="0"/>
        <v>8.1666666666666665E-2</v>
      </c>
      <c r="D51" s="118">
        <f t="shared" si="3"/>
        <v>1.9861345194793065</v>
      </c>
      <c r="E51" s="120">
        <f t="shared" si="2"/>
        <v>1.9207748207187385</v>
      </c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</row>
    <row r="52" spans="2:16" x14ac:dyDescent="0.25">
      <c r="B52" s="117">
        <f t="shared" si="1"/>
        <v>8</v>
      </c>
      <c r="C52" s="117">
        <f t="shared" si="0"/>
        <v>9.3333333333333324E-2</v>
      </c>
      <c r="D52" s="118">
        <f t="shared" si="3"/>
        <v>1.9861345194793065</v>
      </c>
      <c r="E52" s="120">
        <f t="shared" si="2"/>
        <v>1.9117872380014715</v>
      </c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</row>
    <row r="53" spans="2:16" x14ac:dyDescent="0.25">
      <c r="B53" s="117">
        <f t="shared" si="1"/>
        <v>9</v>
      </c>
      <c r="C53" s="117">
        <f t="shared" si="0"/>
        <v>0.105</v>
      </c>
      <c r="D53" s="118">
        <f t="shared" si="3"/>
        <v>1.9861345194793065</v>
      </c>
      <c r="E53" s="120">
        <f t="shared" si="2"/>
        <v>1.9028833719562219</v>
      </c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</row>
    <row r="54" spans="2:16" x14ac:dyDescent="0.25">
      <c r="B54" s="117">
        <f t="shared" si="1"/>
        <v>10</v>
      </c>
      <c r="C54" s="117">
        <f t="shared" si="0"/>
        <v>0.11666666666666665</v>
      </c>
      <c r="D54" s="118">
        <f t="shared" si="3"/>
        <v>1.9861345194793065</v>
      </c>
      <c r="E54" s="120">
        <f t="shared" si="2"/>
        <v>1.8940620583113916</v>
      </c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</row>
    <row r="55" spans="2:16" x14ac:dyDescent="0.25">
      <c r="B55" s="117">
        <f t="shared" si="1"/>
        <v>11</v>
      </c>
      <c r="C55" s="117">
        <f t="shared" si="0"/>
        <v>0.12833333333333333</v>
      </c>
      <c r="D55" s="118">
        <f t="shared" si="3"/>
        <v>1.9861345194793065</v>
      </c>
      <c r="E55" s="120">
        <f t="shared" si="2"/>
        <v>1.8853221542849055</v>
      </c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</row>
    <row r="56" spans="2:16" x14ac:dyDescent="0.25">
      <c r="B56" s="117">
        <f t="shared" si="1"/>
        <v>12</v>
      </c>
      <c r="C56" s="117">
        <f t="shared" si="0"/>
        <v>0.13999999999999999</v>
      </c>
      <c r="D56" s="118">
        <f t="shared" si="3"/>
        <v>1.9861345194793065</v>
      </c>
      <c r="E56" s="120">
        <f t="shared" si="2"/>
        <v>1.8766625380906834</v>
      </c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</row>
    <row r="57" spans="2:16" x14ac:dyDescent="0.25">
      <c r="B57" s="117">
        <f t="shared" si="1"/>
        <v>13</v>
      </c>
      <c r="C57" s="117">
        <f t="shared" si="0"/>
        <v>0.15166666666666667</v>
      </c>
      <c r="D57" s="118">
        <f t="shared" si="3"/>
        <v>1.9861345194793065</v>
      </c>
      <c r="E57" s="120">
        <f t="shared" si="2"/>
        <v>1.8680821084586552</v>
      </c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</row>
    <row r="58" spans="2:16" x14ac:dyDescent="0.25">
      <c r="B58" s="117">
        <f t="shared" si="1"/>
        <v>14</v>
      </c>
      <c r="C58" s="117">
        <f t="shared" si="0"/>
        <v>0.16333333333333333</v>
      </c>
      <c r="D58" s="118">
        <f t="shared" si="3"/>
        <v>1.9861345194793065</v>
      </c>
      <c r="E58" s="120">
        <f t="shared" si="2"/>
        <v>1.8595797841678812</v>
      </c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</row>
    <row r="59" spans="2:16" x14ac:dyDescent="0.25">
      <c r="B59" s="117">
        <f t="shared" si="1"/>
        <v>15</v>
      </c>
      <c r="C59" s="117">
        <f t="shared" si="0"/>
        <v>0.17499999999999999</v>
      </c>
      <c r="D59" s="118">
        <f t="shared" si="3"/>
        <v>1.9861345194793065</v>
      </c>
      <c r="E59" s="120">
        <f t="shared" si="2"/>
        <v>1.8511545035923631</v>
      </c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</row>
    <row r="60" spans="2:16" x14ac:dyDescent="0.25">
      <c r="B60" s="117">
        <f t="shared" si="1"/>
        <v>16</v>
      </c>
      <c r="C60" s="117">
        <f t="shared" si="0"/>
        <v>0.18666666666666665</v>
      </c>
      <c r="D60" s="118">
        <f t="shared" si="3"/>
        <v>1.9861345194793065</v>
      </c>
      <c r="E60" s="120">
        <f t="shared" si="2"/>
        <v>1.8428052242591504</v>
      </c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</row>
    <row r="61" spans="2:16" x14ac:dyDescent="0.25">
      <c r="B61" s="117">
        <f t="shared" si="1"/>
        <v>17</v>
      </c>
      <c r="C61" s="117">
        <f t="shared" si="0"/>
        <v>0.19833333333333331</v>
      </c>
      <c r="D61" s="118">
        <f t="shared" si="3"/>
        <v>1.9861345194793065</v>
      </c>
      <c r="E61" s="120">
        <f t="shared" si="2"/>
        <v>1.8345309224183459</v>
      </c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</row>
    <row r="62" spans="2:16" x14ac:dyDescent="0.25">
      <c r="B62" s="117">
        <f t="shared" si="1"/>
        <v>18</v>
      </c>
      <c r="C62" s="117">
        <f t="shared" si="0"/>
        <v>0.21</v>
      </c>
      <c r="D62" s="118">
        <f t="shared" si="3"/>
        <v>1.9861345194793065</v>
      </c>
      <c r="E62" s="120">
        <f t="shared" si="2"/>
        <v>1.8263305926246498</v>
      </c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</row>
    <row r="63" spans="2:16" x14ac:dyDescent="0.25">
      <c r="B63" s="117">
        <f t="shared" si="1"/>
        <v>19</v>
      </c>
      <c r="C63" s="117">
        <f t="shared" si="0"/>
        <v>0.22166666666666665</v>
      </c>
      <c r="D63" s="118">
        <f t="shared" si="3"/>
        <v>1.9861345194793065</v>
      </c>
      <c r="E63" s="120">
        <f t="shared" si="2"/>
        <v>1.8182032473300709</v>
      </c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</row>
    <row r="64" spans="2:16" x14ac:dyDescent="0.25">
      <c r="B64" s="117">
        <f t="shared" si="1"/>
        <v>20</v>
      </c>
      <c r="C64" s="117">
        <f t="shared" si="0"/>
        <v>0.23333333333333331</v>
      </c>
      <c r="D64" s="118">
        <f t="shared" si="3"/>
        <v>1.9861345194793065</v>
      </c>
      <c r="E64" s="120">
        <f t="shared" si="2"/>
        <v>1.8101479164874692</v>
      </c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</row>
    <row r="65" spans="2:16" x14ac:dyDescent="0.25">
      <c r="B65" s="117">
        <f t="shared" si="1"/>
        <v>21</v>
      </c>
      <c r="C65" s="117">
        <f t="shared" si="0"/>
        <v>0.24499999999999997</v>
      </c>
      <c r="D65" s="118">
        <f t="shared" si="3"/>
        <v>1.9861345194793065</v>
      </c>
      <c r="E65" s="120">
        <f t="shared" si="2"/>
        <v>1.8021636471645881</v>
      </c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</row>
    <row r="66" spans="2:16" x14ac:dyDescent="0.25">
      <c r="B66" s="117">
        <f t="shared" si="1"/>
        <v>22</v>
      </c>
      <c r="C66" s="117">
        <f t="shared" si="0"/>
        <v>0.25666666666666665</v>
      </c>
      <c r="D66" s="118">
        <f t="shared" si="3"/>
        <v>1.9861345194793065</v>
      </c>
      <c r="E66" s="120">
        <f t="shared" si="2"/>
        <v>1.7942495031682568</v>
      </c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</row>
    <row r="67" spans="2:16" x14ac:dyDescent="0.25">
      <c r="B67" s="117">
        <f t="shared" si="1"/>
        <v>23</v>
      </c>
      <c r="C67" s="117">
        <f t="shared" si="0"/>
        <v>0.26833333333333331</v>
      </c>
      <c r="D67" s="118">
        <f t="shared" si="3"/>
        <v>1.9861345194793065</v>
      </c>
      <c r="E67" s="120">
        <f t="shared" si="2"/>
        <v>1.7864045646784521</v>
      </c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</row>
    <row r="68" spans="2:16" x14ac:dyDescent="0.25">
      <c r="B68" s="117">
        <f t="shared" si="1"/>
        <v>24</v>
      </c>
      <c r="C68" s="117">
        <f t="shared" si="0"/>
        <v>0.27999999999999997</v>
      </c>
      <c r="D68" s="118">
        <f t="shared" si="3"/>
        <v>1.9861345194793065</v>
      </c>
      <c r="E68" s="120">
        <f t="shared" si="2"/>
        <v>1.7786279278919164</v>
      </c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</row>
    <row r="69" spans="2:16" x14ac:dyDescent="0.25">
      <c r="B69" s="117">
        <f t="shared" si="1"/>
        <v>25</v>
      </c>
      <c r="C69" s="117">
        <f t="shared" si="0"/>
        <v>0.29166666666666669</v>
      </c>
      <c r="D69" s="118">
        <f t="shared" si="3"/>
        <v>1.9861345194793065</v>
      </c>
      <c r="E69" s="120">
        <f t="shared" si="2"/>
        <v>1.7709187046750474</v>
      </c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</row>
    <row r="70" spans="2:16" x14ac:dyDescent="0.25">
      <c r="B70" s="117">
        <f t="shared" si="1"/>
        <v>26</v>
      </c>
      <c r="C70" s="117">
        <f t="shared" si="0"/>
        <v>0.30333333333333334</v>
      </c>
      <c r="D70" s="118">
        <f t="shared" si="3"/>
        <v>1.9861345194793065</v>
      </c>
      <c r="E70" s="120">
        <f t="shared" si="2"/>
        <v>1.7632760222257715</v>
      </c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</row>
    <row r="71" spans="2:16" x14ac:dyDescent="0.25">
      <c r="B71" s="117">
        <f t="shared" si="1"/>
        <v>27</v>
      </c>
      <c r="C71" s="117">
        <f t="shared" si="0"/>
        <v>0.315</v>
      </c>
      <c r="D71" s="118">
        <f t="shared" si="3"/>
        <v>1.9861345194793065</v>
      </c>
      <c r="E71" s="120">
        <f t="shared" si="2"/>
        <v>1.7556990227441382</v>
      </c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</row>
    <row r="72" spans="2:16" x14ac:dyDescent="0.25">
      <c r="B72" s="117">
        <f t="shared" si="1"/>
        <v>28</v>
      </c>
      <c r="C72" s="117">
        <f t="shared" si="0"/>
        <v>0.32666666666666666</v>
      </c>
      <c r="D72" s="118">
        <f t="shared" si="3"/>
        <v>1.9861345194793065</v>
      </c>
      <c r="E72" s="120">
        <f t="shared" si="2"/>
        <v>1.7481868631113702</v>
      </c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</row>
    <row r="73" spans="2:16" x14ac:dyDescent="0.25">
      <c r="B73" s="117">
        <f t="shared" si="1"/>
        <v>29</v>
      </c>
      <c r="C73" s="117">
        <f t="shared" si="0"/>
        <v>0.33833333333333332</v>
      </c>
      <c r="D73" s="118">
        <f t="shared" si="3"/>
        <v>1.9861345194793065</v>
      </c>
      <c r="E73" s="120">
        <f t="shared" si="2"/>
        <v>1.7407387145771158</v>
      </c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</row>
    <row r="74" spans="2:16" x14ac:dyDescent="0.25">
      <c r="B74" s="117">
        <f t="shared" si="1"/>
        <v>30</v>
      </c>
      <c r="C74" s="117">
        <f t="shared" si="0"/>
        <v>0.35</v>
      </c>
      <c r="D74" s="118">
        <f t="shared" si="3"/>
        <v>1.9861345194793065</v>
      </c>
      <c r="E74" s="120">
        <f t="shared" si="2"/>
        <v>1.7333537624546675</v>
      </c>
      <c r="F74" s="71" t="s">
        <v>376</v>
      </c>
      <c r="G74" s="117"/>
      <c r="H74" s="117"/>
      <c r="I74" s="117"/>
      <c r="J74" s="117"/>
      <c r="K74" s="117"/>
      <c r="L74" s="117"/>
      <c r="M74" s="117"/>
      <c r="N74" s="117"/>
      <c r="O74" s="117"/>
      <c r="P74" s="117"/>
    </row>
  </sheetData>
  <mergeCells count="2">
    <mergeCell ref="G21:O21"/>
    <mergeCell ref="P21:Q21"/>
  </mergeCells>
  <hyperlinks>
    <hyperlink ref="P21" r:id="rId1" xr:uid="{00000000-0004-0000-0C00-000000000000}"/>
    <hyperlink ref="F74" location="'Cl (1)'!E29" display="Should equal the target residual" xr:uid="{00000000-0004-0000-0C00-000001000000}"/>
  </hyperlinks>
  <pageMargins left="0.7" right="0.7" top="0.75" bottom="0.75" header="0.3" footer="0.3"/>
  <pageSetup orientation="portrait" horizontalDpi="300" verticalDpi="30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tabColor rgb="FFFF0000"/>
  </sheetPr>
  <dimension ref="A1:E37"/>
  <sheetViews>
    <sheetView topLeftCell="A19" workbookViewId="0">
      <selection activeCell="C37" sqref="C37"/>
    </sheetView>
  </sheetViews>
  <sheetFormatPr defaultRowHeight="15" x14ac:dyDescent="0.25"/>
  <cols>
    <col min="2" max="2" width="19.5703125" bestFit="1" customWidth="1"/>
    <col min="3" max="3" width="6.5703125" bestFit="1" customWidth="1"/>
    <col min="4" max="4" width="11.140625" bestFit="1" customWidth="1"/>
    <col min="5" max="5" width="45" bestFit="1" customWidth="1"/>
  </cols>
  <sheetData>
    <row r="1" spans="1:5" x14ac:dyDescent="0.25">
      <c r="A1" s="1" t="s">
        <v>0</v>
      </c>
    </row>
    <row r="2" spans="1:5" x14ac:dyDescent="0.25">
      <c r="A2" s="1"/>
      <c r="B2" t="s">
        <v>11</v>
      </c>
    </row>
    <row r="4" spans="1:5" x14ac:dyDescent="0.25">
      <c r="B4" t="s">
        <v>8</v>
      </c>
      <c r="C4" s="2"/>
    </row>
    <row r="5" spans="1:5" x14ac:dyDescent="0.25">
      <c r="B5" t="s">
        <v>9</v>
      </c>
      <c r="C5" t="s">
        <v>10</v>
      </c>
    </row>
    <row r="6" spans="1:5" x14ac:dyDescent="0.25">
      <c r="B6" t="s">
        <v>12</v>
      </c>
    </row>
    <row r="8" spans="1:5" x14ac:dyDescent="0.25">
      <c r="B8" t="s">
        <v>1</v>
      </c>
      <c r="D8" t="s">
        <v>2</v>
      </c>
    </row>
    <row r="9" spans="1:5" x14ac:dyDescent="0.25">
      <c r="B9" t="s">
        <v>3</v>
      </c>
      <c r="D9" t="s">
        <v>4</v>
      </c>
    </row>
    <row r="10" spans="1:5" x14ac:dyDescent="0.25">
      <c r="B10" t="s">
        <v>5</v>
      </c>
      <c r="C10">
        <v>85</v>
      </c>
      <c r="D10" t="s">
        <v>6</v>
      </c>
      <c r="E10" t="s">
        <v>7</v>
      </c>
    </row>
    <row r="11" spans="1:5" x14ac:dyDescent="0.25">
      <c r="B11" t="s">
        <v>17</v>
      </c>
      <c r="C11">
        <v>2.5000000000000001E-2</v>
      </c>
      <c r="D11" t="s">
        <v>25</v>
      </c>
    </row>
    <row r="12" spans="1:5" x14ac:dyDescent="0.25">
      <c r="B12" t="s">
        <v>17</v>
      </c>
      <c r="C12">
        <f>C11*1000000/(60*24*60)*CONVERT(1,"gal","l")</f>
        <v>1.0953159097222223</v>
      </c>
      <c r="D12" t="s">
        <v>29</v>
      </c>
      <c r="E12" s="6"/>
    </row>
    <row r="13" spans="1:5" x14ac:dyDescent="0.25">
      <c r="B13" t="s">
        <v>299</v>
      </c>
      <c r="C13">
        <v>100</v>
      </c>
      <c r="D13" t="s">
        <v>300</v>
      </c>
      <c r="E13" s="6"/>
    </row>
    <row r="14" spans="1:5" x14ac:dyDescent="0.25">
      <c r="B14" t="s">
        <v>301</v>
      </c>
      <c r="C14">
        <v>5</v>
      </c>
      <c r="D14" t="s">
        <v>300</v>
      </c>
      <c r="E14" s="6"/>
    </row>
    <row r="15" spans="1:5" x14ac:dyDescent="0.25">
      <c r="B15" t="s">
        <v>34</v>
      </c>
      <c r="C15">
        <f>(PI()*(C14/2)^2*C13)/CONVERT(1,"m^3", "in^3")*0.5</f>
        <v>1.6087962461345553E-2</v>
      </c>
      <c r="D15" t="s">
        <v>2</v>
      </c>
    </row>
    <row r="16" spans="1:5" x14ac:dyDescent="0.25">
      <c r="B16" s="3" t="s">
        <v>35</v>
      </c>
    </row>
    <row r="28" spans="2:5" x14ac:dyDescent="0.25">
      <c r="B28" t="s">
        <v>14</v>
      </c>
      <c r="C28">
        <v>100</v>
      </c>
      <c r="D28" t="s">
        <v>10</v>
      </c>
    </row>
    <row r="29" spans="2:5" x14ac:dyDescent="0.25">
      <c r="B29" t="s">
        <v>15</v>
      </c>
      <c r="C29">
        <v>0.79</v>
      </c>
      <c r="D29" t="s">
        <v>16</v>
      </c>
    </row>
    <row r="30" spans="2:5" x14ac:dyDescent="0.25">
      <c r="B30" t="s">
        <v>18</v>
      </c>
      <c r="C30">
        <f>0.025*1000000/CONVERT(1, "m^3", "gal")</f>
        <v>94.635294599999995</v>
      </c>
      <c r="D30" t="s">
        <v>19</v>
      </c>
    </row>
    <row r="31" spans="2:5" x14ac:dyDescent="0.25">
      <c r="B31" t="s">
        <v>23</v>
      </c>
      <c r="C31">
        <v>0.95</v>
      </c>
      <c r="D31" t="s">
        <v>21</v>
      </c>
      <c r="E31" t="s">
        <v>22</v>
      </c>
    </row>
    <row r="32" spans="2:5" x14ac:dyDescent="0.25">
      <c r="B32" t="s">
        <v>20</v>
      </c>
      <c r="C32">
        <v>0.7</v>
      </c>
      <c r="D32" t="s">
        <v>21</v>
      </c>
      <c r="E32" s="3" t="s">
        <v>24</v>
      </c>
    </row>
    <row r="33" spans="2:5" x14ac:dyDescent="0.25">
      <c r="B33" t="s">
        <v>26</v>
      </c>
      <c r="C33" s="4">
        <v>0.85</v>
      </c>
      <c r="E33" t="s">
        <v>27</v>
      </c>
    </row>
    <row r="34" spans="2:5" x14ac:dyDescent="0.25">
      <c r="B34" t="s">
        <v>32</v>
      </c>
      <c r="C34">
        <f>C35*C33*C32*C31</f>
        <v>6.7829999999999986</v>
      </c>
      <c r="D34" t="s">
        <v>33</v>
      </c>
    </row>
    <row r="35" spans="2:5" x14ac:dyDescent="0.25">
      <c r="B35" t="s">
        <v>28</v>
      </c>
      <c r="C35" s="5">
        <v>12</v>
      </c>
      <c r="D35" t="s">
        <v>33</v>
      </c>
      <c r="E35" t="s">
        <v>302</v>
      </c>
    </row>
    <row r="36" spans="2:5" x14ac:dyDescent="0.25">
      <c r="B36" t="s">
        <v>30</v>
      </c>
      <c r="C36">
        <f>C15*1000/C12</f>
        <v>14.687965653147083</v>
      </c>
      <c r="D36" t="s">
        <v>31</v>
      </c>
    </row>
    <row r="37" spans="2:5" x14ac:dyDescent="0.25">
      <c r="B37" t="s">
        <v>13</v>
      </c>
      <c r="C37">
        <f>C34*C36</f>
        <v>99.628471025296648</v>
      </c>
      <c r="D37" t="s">
        <v>10</v>
      </c>
    </row>
  </sheetData>
  <hyperlinks>
    <hyperlink ref="E32" r:id="rId1" xr:uid="{00000000-0004-0000-0D00-000000000000}"/>
    <hyperlink ref="B16" r:id="rId2" xr:uid="{00000000-0004-0000-0D00-000001000000}"/>
  </hyperlinks>
  <pageMargins left="0.7" right="0.7" top="0.75" bottom="0.75" header="0.3" footer="0.3"/>
  <pageSetup orientation="portrait" horizontalDpi="300" verticalDpi="3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H45"/>
  <sheetViews>
    <sheetView workbookViewId="0">
      <selection activeCell="B18" sqref="B18"/>
    </sheetView>
  </sheetViews>
  <sheetFormatPr defaultColWidth="0" defaultRowHeight="12.75" zeroHeight="1" x14ac:dyDescent="0.2"/>
  <cols>
    <col min="1" max="1" width="8.85546875" style="104" customWidth="1"/>
    <col min="2" max="2" width="35.7109375" style="104" customWidth="1"/>
    <col min="3" max="3" width="125" style="104" customWidth="1"/>
    <col min="4" max="8" width="8.85546875" style="104" customWidth="1"/>
    <col min="9" max="16384" width="8.85546875" style="104" hidden="1"/>
  </cols>
  <sheetData>
    <row r="1" spans="1:3" x14ac:dyDescent="0.2"/>
    <row r="2" spans="1:3" ht="29.25" thickBot="1" x14ac:dyDescent="0.5">
      <c r="B2" s="342" t="s">
        <v>878</v>
      </c>
    </row>
    <row r="3" spans="1:3" s="344" customFormat="1" ht="15" x14ac:dyDescent="0.25">
      <c r="B3" s="343" t="s">
        <v>879</v>
      </c>
      <c r="C3" s="343" t="s">
        <v>880</v>
      </c>
    </row>
    <row r="4" spans="1:3" s="344" customFormat="1" ht="15" x14ac:dyDescent="0.25">
      <c r="B4" s="345" t="s">
        <v>662</v>
      </c>
      <c r="C4" s="345" t="s">
        <v>881</v>
      </c>
    </row>
    <row r="5" spans="1:3" s="344" customFormat="1" ht="15" x14ac:dyDescent="0.25">
      <c r="B5" s="344" t="s">
        <v>882</v>
      </c>
      <c r="C5" s="345" t="s">
        <v>883</v>
      </c>
    </row>
    <row r="6" spans="1:3" s="344" customFormat="1" ht="15" x14ac:dyDescent="0.25">
      <c r="B6" s="344" t="s">
        <v>444</v>
      </c>
      <c r="C6" s="345" t="s">
        <v>884</v>
      </c>
    </row>
    <row r="7" spans="1:3" s="344" customFormat="1" ht="15" x14ac:dyDescent="0.25">
      <c r="B7" s="344" t="s">
        <v>351</v>
      </c>
      <c r="C7" s="345" t="s">
        <v>885</v>
      </c>
    </row>
    <row r="8" spans="1:3" s="344" customFormat="1" ht="15" x14ac:dyDescent="0.25">
      <c r="B8" s="344" t="s">
        <v>303</v>
      </c>
      <c r="C8" s="345" t="s">
        <v>886</v>
      </c>
    </row>
    <row r="9" spans="1:3" s="344" customFormat="1" ht="15" x14ac:dyDescent="0.25">
      <c r="B9" s="344" t="s">
        <v>0</v>
      </c>
      <c r="C9" s="345" t="s">
        <v>887</v>
      </c>
    </row>
    <row r="10" spans="1:3" s="344" customFormat="1" ht="15" x14ac:dyDescent="0.25">
      <c r="B10" s="344" t="s">
        <v>888</v>
      </c>
      <c r="C10" s="345" t="s">
        <v>889</v>
      </c>
    </row>
    <row r="11" spans="1:3" s="344" customFormat="1" ht="15" x14ac:dyDescent="0.25">
      <c r="B11" s="344" t="s">
        <v>287</v>
      </c>
      <c r="C11" s="345" t="s">
        <v>890</v>
      </c>
    </row>
    <row r="12" spans="1:3" s="344" customFormat="1" ht="15.75" thickBot="1" x14ac:dyDescent="0.3">
      <c r="A12" s="379" t="s">
        <v>915</v>
      </c>
      <c r="B12" s="346" t="s">
        <v>53</v>
      </c>
      <c r="C12" s="347" t="s">
        <v>891</v>
      </c>
    </row>
    <row r="13" spans="1:3" x14ac:dyDescent="0.2"/>
    <row r="14" spans="1:3" x14ac:dyDescent="0.2"/>
    <row r="15" spans="1:3" x14ac:dyDescent="0.2"/>
    <row r="16" spans="1:3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4" tint="0.59999389629810485"/>
  </sheetPr>
  <dimension ref="A1:K101"/>
  <sheetViews>
    <sheetView zoomScale="90" zoomScaleNormal="90" workbookViewId="0">
      <selection activeCell="D91" sqref="D91"/>
    </sheetView>
  </sheetViews>
  <sheetFormatPr defaultColWidth="0" defaultRowHeight="15" zeroHeight="1" x14ac:dyDescent="0.25"/>
  <cols>
    <col min="1" max="1" width="9.140625" style="77" customWidth="1"/>
    <col min="2" max="2" width="25.28515625" style="77" bestFit="1" customWidth="1"/>
    <col min="3" max="3" width="22" style="77" bestFit="1" customWidth="1"/>
    <col min="4" max="4" width="8.7109375" style="77" bestFit="1" customWidth="1"/>
    <col min="5" max="5" width="12.140625" style="77" bestFit="1" customWidth="1"/>
    <col min="6" max="6" width="12" style="77" customWidth="1"/>
    <col min="7" max="7" width="63.140625" style="77" bestFit="1" customWidth="1"/>
    <col min="8" max="8" width="13.5703125" style="77" customWidth="1"/>
    <col min="9" max="11" width="9.140625" style="77" customWidth="1"/>
    <col min="12" max="16384" width="9.140625" style="77" hidden="1"/>
  </cols>
  <sheetData>
    <row r="1" spans="1:5" x14ac:dyDescent="0.25">
      <c r="A1" s="67" t="s">
        <v>332</v>
      </c>
    </row>
    <row r="2" spans="1:5" x14ac:dyDescent="0.25">
      <c r="A2" s="380" t="s">
        <v>916</v>
      </c>
      <c r="B2" s="341"/>
    </row>
    <row r="3" spans="1:5" x14ac:dyDescent="0.25">
      <c r="A3" s="67"/>
    </row>
    <row r="4" spans="1:5" x14ac:dyDescent="0.25">
      <c r="A4" s="67"/>
      <c r="B4" s="94" t="s">
        <v>57</v>
      </c>
      <c r="C4" s="94" t="s">
        <v>55</v>
      </c>
      <c r="D4" s="94" t="s">
        <v>56</v>
      </c>
      <c r="E4" s="94" t="s">
        <v>333</v>
      </c>
    </row>
    <row r="5" spans="1:5" x14ac:dyDescent="0.25">
      <c r="A5" s="67"/>
      <c r="B5" s="91" t="s">
        <v>331</v>
      </c>
      <c r="C5" s="100" t="s">
        <v>334</v>
      </c>
      <c r="D5" s="110">
        <v>117.34770999999999</v>
      </c>
      <c r="E5" s="100" t="s">
        <v>917</v>
      </c>
    </row>
    <row r="6" spans="1:5" x14ac:dyDescent="0.25">
      <c r="A6" s="67"/>
      <c r="B6" s="91" t="s">
        <v>331</v>
      </c>
      <c r="C6" s="100" t="s">
        <v>335</v>
      </c>
      <c r="D6" s="125">
        <v>93.286985223259435</v>
      </c>
      <c r="E6" s="100" t="s">
        <v>50</v>
      </c>
    </row>
    <row r="7" spans="1:5" x14ac:dyDescent="0.25">
      <c r="A7" s="67"/>
      <c r="B7" s="91" t="s">
        <v>331</v>
      </c>
      <c r="C7" s="100" t="s">
        <v>336</v>
      </c>
      <c r="D7" s="125">
        <v>43.844883064260628</v>
      </c>
      <c r="E7" s="100" t="s">
        <v>50</v>
      </c>
    </row>
    <row r="8" spans="1:5" x14ac:dyDescent="0.25">
      <c r="A8" s="67"/>
      <c r="B8" s="91" t="s">
        <v>331</v>
      </c>
      <c r="C8" s="100" t="s">
        <v>385</v>
      </c>
      <c r="D8" s="126">
        <v>0.47000000009999993</v>
      </c>
      <c r="E8" s="100" t="s">
        <v>347</v>
      </c>
    </row>
    <row r="9" spans="1:5" x14ac:dyDescent="0.25">
      <c r="A9" s="67"/>
      <c r="B9" s="91" t="s">
        <v>331</v>
      </c>
      <c r="C9" s="100" t="s">
        <v>337</v>
      </c>
      <c r="D9" s="125">
        <v>164.99999998623849</v>
      </c>
      <c r="E9" s="100" t="s">
        <v>50</v>
      </c>
    </row>
    <row r="10" spans="1:5" x14ac:dyDescent="0.25">
      <c r="A10" s="67"/>
      <c r="B10" s="91" t="s">
        <v>331</v>
      </c>
      <c r="C10" s="100" t="s">
        <v>316</v>
      </c>
      <c r="D10" s="125">
        <v>330</v>
      </c>
      <c r="E10" s="100" t="s">
        <v>50</v>
      </c>
    </row>
    <row r="11" spans="1:5" x14ac:dyDescent="0.25">
      <c r="B11" s="91" t="s">
        <v>331</v>
      </c>
      <c r="C11" s="91" t="s">
        <v>318</v>
      </c>
      <c r="D11" s="112">
        <v>0.57999999995162621</v>
      </c>
      <c r="E11" s="91"/>
    </row>
    <row r="12" spans="1:5" x14ac:dyDescent="0.25">
      <c r="A12" s="67"/>
      <c r="B12" s="91" t="s">
        <v>331</v>
      </c>
      <c r="C12" s="100" t="s">
        <v>338</v>
      </c>
      <c r="D12" s="125">
        <v>151.80000000000001</v>
      </c>
      <c r="E12" s="100" t="s">
        <v>50</v>
      </c>
    </row>
    <row r="13" spans="1:5" x14ac:dyDescent="0.25">
      <c r="A13" s="67"/>
      <c r="B13" s="91" t="s">
        <v>331</v>
      </c>
      <c r="C13" s="100" t="s">
        <v>339</v>
      </c>
      <c r="D13" s="110">
        <v>1.9</v>
      </c>
      <c r="E13" s="100" t="s">
        <v>379</v>
      </c>
    </row>
    <row r="14" spans="1:5" x14ac:dyDescent="0.25">
      <c r="A14" s="67"/>
      <c r="B14" s="91" t="s">
        <v>331</v>
      </c>
      <c r="C14" s="100" t="s">
        <v>340</v>
      </c>
      <c r="D14" s="110">
        <v>8.5</v>
      </c>
      <c r="E14" s="100" t="s">
        <v>379</v>
      </c>
    </row>
    <row r="15" spans="1:5" x14ac:dyDescent="0.25">
      <c r="A15" s="67"/>
      <c r="B15" s="91" t="s">
        <v>331</v>
      </c>
      <c r="C15" s="100" t="s">
        <v>341</v>
      </c>
      <c r="D15" s="110">
        <v>9.14</v>
      </c>
      <c r="E15" s="100" t="s">
        <v>379</v>
      </c>
    </row>
    <row r="16" spans="1:5" x14ac:dyDescent="0.25">
      <c r="A16" s="67"/>
      <c r="B16" s="91" t="s">
        <v>331</v>
      </c>
      <c r="C16" s="100" t="s">
        <v>342</v>
      </c>
      <c r="D16" s="102">
        <v>0.5</v>
      </c>
      <c r="E16" s="100" t="s">
        <v>918</v>
      </c>
    </row>
    <row r="17" spans="1:5" x14ac:dyDescent="0.25">
      <c r="A17" s="67"/>
      <c r="B17" s="91" t="s">
        <v>331</v>
      </c>
      <c r="C17" s="100" t="s">
        <v>343</v>
      </c>
      <c r="D17" s="102">
        <v>1.1200000000000001</v>
      </c>
      <c r="E17" s="100" t="s">
        <v>918</v>
      </c>
    </row>
    <row r="18" spans="1:5" x14ac:dyDescent="0.25">
      <c r="A18" s="67"/>
      <c r="B18" s="91" t="s">
        <v>331</v>
      </c>
      <c r="C18" s="100" t="s">
        <v>344</v>
      </c>
      <c r="D18" s="111">
        <v>284.78683866052489</v>
      </c>
      <c r="E18" s="100" t="s">
        <v>919</v>
      </c>
    </row>
    <row r="19" spans="1:5" x14ac:dyDescent="0.25">
      <c r="A19" s="67"/>
      <c r="B19" s="91" t="s">
        <v>331</v>
      </c>
      <c r="C19" s="100" t="s">
        <v>345</v>
      </c>
      <c r="D19" s="102">
        <v>6.9999465942382813</v>
      </c>
      <c r="E19" s="100" t="s">
        <v>347</v>
      </c>
    </row>
    <row r="20" spans="1:5" x14ac:dyDescent="0.25">
      <c r="A20" s="67"/>
      <c r="B20" s="91" t="s">
        <v>331</v>
      </c>
      <c r="C20" s="91" t="s">
        <v>319</v>
      </c>
      <c r="D20" s="113">
        <v>1.1599999999999999</v>
      </c>
      <c r="E20" s="94" t="s">
        <v>347</v>
      </c>
    </row>
    <row r="21" spans="1:5" x14ac:dyDescent="0.25">
      <c r="A21" s="67"/>
      <c r="B21" s="91" t="s">
        <v>331</v>
      </c>
      <c r="C21" s="91" t="s">
        <v>317</v>
      </c>
      <c r="D21" s="125">
        <v>191.39999998403664</v>
      </c>
      <c r="E21" s="100" t="s">
        <v>50</v>
      </c>
    </row>
    <row r="22" spans="1:5" x14ac:dyDescent="0.25">
      <c r="A22" s="67"/>
      <c r="B22" s="91" t="s">
        <v>346</v>
      </c>
      <c r="C22" s="100" t="s">
        <v>277</v>
      </c>
      <c r="D22" s="127">
        <v>106</v>
      </c>
      <c r="E22" s="100" t="s">
        <v>348</v>
      </c>
    </row>
    <row r="23" spans="1:5" x14ac:dyDescent="0.25">
      <c r="B23" s="91" t="s">
        <v>331</v>
      </c>
      <c r="C23" s="91" t="s">
        <v>321</v>
      </c>
      <c r="D23" s="113">
        <v>1.8056603772078927</v>
      </c>
      <c r="E23" s="91" t="s">
        <v>347</v>
      </c>
    </row>
    <row r="24" spans="1:5" x14ac:dyDescent="0.25">
      <c r="B24" s="91" t="s">
        <v>331</v>
      </c>
      <c r="C24" s="91" t="s">
        <v>322</v>
      </c>
      <c r="D24" s="112">
        <v>0.46</v>
      </c>
      <c r="E24" s="91" t="s">
        <v>347</v>
      </c>
    </row>
    <row r="25" spans="1:5" x14ac:dyDescent="0.25">
      <c r="B25" s="91" t="s">
        <v>349</v>
      </c>
      <c r="C25" s="91" t="s">
        <v>48</v>
      </c>
      <c r="D25" s="115">
        <v>8.6307537638412217</v>
      </c>
      <c r="E25" s="91"/>
    </row>
    <row r="26" spans="1:5" x14ac:dyDescent="0.25">
      <c r="B26" s="91" t="s">
        <v>349</v>
      </c>
      <c r="C26" s="91" t="s">
        <v>34</v>
      </c>
      <c r="D26" s="115">
        <v>42.2</v>
      </c>
      <c r="E26" s="91" t="s">
        <v>920</v>
      </c>
    </row>
    <row r="27" spans="1:5" x14ac:dyDescent="0.25">
      <c r="B27" s="91" t="s">
        <v>349</v>
      </c>
      <c r="C27" s="91" t="s">
        <v>350</v>
      </c>
      <c r="D27" s="113">
        <v>3.6</v>
      </c>
      <c r="E27" s="91" t="s">
        <v>921</v>
      </c>
    </row>
    <row r="28" spans="1:5" x14ac:dyDescent="0.25">
      <c r="B28" s="91" t="s">
        <v>351</v>
      </c>
      <c r="C28" s="91" t="s">
        <v>352</v>
      </c>
      <c r="D28" s="114">
        <v>60000</v>
      </c>
      <c r="E28" s="91" t="s">
        <v>50</v>
      </c>
    </row>
    <row r="29" spans="1:5" x14ac:dyDescent="0.25">
      <c r="B29" s="91" t="s">
        <v>351</v>
      </c>
      <c r="C29" s="91" t="s">
        <v>353</v>
      </c>
      <c r="D29" s="113">
        <v>7.0101362944542096</v>
      </c>
      <c r="E29" s="91" t="s">
        <v>6</v>
      </c>
    </row>
    <row r="30" spans="1:5" x14ac:dyDescent="0.25">
      <c r="B30" s="91" t="s">
        <v>351</v>
      </c>
      <c r="C30" s="91" t="s">
        <v>354</v>
      </c>
      <c r="D30" s="112">
        <v>0.76740060780303654</v>
      </c>
      <c r="E30" s="91" t="s">
        <v>922</v>
      </c>
    </row>
    <row r="31" spans="1:5" x14ac:dyDescent="0.25">
      <c r="B31" s="91" t="s">
        <v>303</v>
      </c>
      <c r="C31" s="91" t="s">
        <v>47</v>
      </c>
      <c r="D31" s="112">
        <v>24.4</v>
      </c>
      <c r="E31" s="91" t="s">
        <v>2</v>
      </c>
    </row>
    <row r="32" spans="1:5" x14ac:dyDescent="0.25">
      <c r="B32" s="91" t="s">
        <v>303</v>
      </c>
      <c r="C32" s="91" t="s">
        <v>923</v>
      </c>
      <c r="D32" s="114">
        <v>10529.914267430646</v>
      </c>
      <c r="E32" s="91" t="s">
        <v>50</v>
      </c>
    </row>
    <row r="33" spans="2:5" x14ac:dyDescent="0.25">
      <c r="B33" s="91" t="s">
        <v>303</v>
      </c>
      <c r="C33" s="91" t="s">
        <v>924</v>
      </c>
      <c r="D33" s="114">
        <v>4630.1422114207726</v>
      </c>
      <c r="E33" s="91" t="s">
        <v>50</v>
      </c>
    </row>
    <row r="34" spans="2:5" x14ac:dyDescent="0.25">
      <c r="B34" s="91" t="s">
        <v>303</v>
      </c>
      <c r="C34" s="91" t="s">
        <v>808</v>
      </c>
      <c r="D34" s="114">
        <v>8.39</v>
      </c>
      <c r="E34" s="91" t="s">
        <v>810</v>
      </c>
    </row>
    <row r="35" spans="2:5" x14ac:dyDescent="0.25">
      <c r="B35" s="91" t="s">
        <v>303</v>
      </c>
      <c r="C35" s="91" t="s">
        <v>809</v>
      </c>
      <c r="D35" s="114">
        <v>160</v>
      </c>
      <c r="E35" s="91" t="s">
        <v>50</v>
      </c>
    </row>
    <row r="36" spans="2:5" x14ac:dyDescent="0.25">
      <c r="B36" s="91" t="s">
        <v>303</v>
      </c>
      <c r="C36" s="91" t="s">
        <v>338</v>
      </c>
      <c r="D36" s="115">
        <v>19.488468274245715</v>
      </c>
      <c r="E36" s="91" t="s">
        <v>50</v>
      </c>
    </row>
    <row r="37" spans="2:5" x14ac:dyDescent="0.25">
      <c r="B37" s="91" t="s">
        <v>303</v>
      </c>
      <c r="C37" s="91" t="s">
        <v>339</v>
      </c>
      <c r="D37" s="112">
        <v>0.18854487254666211</v>
      </c>
      <c r="E37" s="91" t="s">
        <v>379</v>
      </c>
    </row>
    <row r="38" spans="2:5" x14ac:dyDescent="0.25">
      <c r="B38" s="91" t="s">
        <v>303</v>
      </c>
      <c r="C38" s="91" t="s">
        <v>925</v>
      </c>
      <c r="D38" s="112">
        <v>0.1219887458292941</v>
      </c>
      <c r="E38" s="91" t="s">
        <v>379</v>
      </c>
    </row>
    <row r="39" spans="2:5" x14ac:dyDescent="0.25">
      <c r="B39" s="91" t="s">
        <v>303</v>
      </c>
      <c r="C39" s="91" t="s">
        <v>926</v>
      </c>
      <c r="D39" s="115">
        <v>4.5965450744010629E-2</v>
      </c>
      <c r="E39" s="91" t="s">
        <v>379</v>
      </c>
    </row>
    <row r="40" spans="2:5" x14ac:dyDescent="0.25">
      <c r="B40" s="91" t="s">
        <v>303</v>
      </c>
      <c r="C40" s="91" t="s">
        <v>342</v>
      </c>
      <c r="D40" s="113">
        <v>0.11594210842605832</v>
      </c>
      <c r="E40" s="91" t="s">
        <v>918</v>
      </c>
    </row>
    <row r="41" spans="2:5" x14ac:dyDescent="0.25">
      <c r="B41" s="91" t="s">
        <v>303</v>
      </c>
      <c r="C41" s="91" t="s">
        <v>48</v>
      </c>
      <c r="D41" s="113">
        <v>4.3791589795588779</v>
      </c>
      <c r="E41" s="91" t="s">
        <v>927</v>
      </c>
    </row>
    <row r="42" spans="2:5" x14ac:dyDescent="0.25">
      <c r="B42" s="91" t="s">
        <v>303</v>
      </c>
      <c r="C42" s="91" t="s">
        <v>928</v>
      </c>
      <c r="D42" s="113">
        <v>1.9990321284175583</v>
      </c>
      <c r="E42" s="91" t="s">
        <v>285</v>
      </c>
    </row>
    <row r="43" spans="2:5" x14ac:dyDescent="0.25">
      <c r="B43" s="91" t="s">
        <v>303</v>
      </c>
      <c r="C43" s="91" t="s">
        <v>929</v>
      </c>
      <c r="D43" s="199">
        <v>2.2721947367769126</v>
      </c>
      <c r="E43" s="91" t="s">
        <v>930</v>
      </c>
    </row>
    <row r="44" spans="2:5" x14ac:dyDescent="0.25">
      <c r="B44" s="91" t="s">
        <v>303</v>
      </c>
      <c r="C44" s="91" t="s">
        <v>931</v>
      </c>
      <c r="D44" s="113">
        <v>0.97590044937496379</v>
      </c>
      <c r="E44" s="91" t="s">
        <v>917</v>
      </c>
    </row>
    <row r="45" spans="2:5" x14ac:dyDescent="0.25">
      <c r="B45" s="91" t="s">
        <v>303</v>
      </c>
      <c r="C45" s="91" t="s">
        <v>932</v>
      </c>
      <c r="D45" s="115">
        <v>10.264075367485928</v>
      </c>
      <c r="E45" s="91" t="s">
        <v>922</v>
      </c>
    </row>
    <row r="46" spans="2:5" x14ac:dyDescent="0.25">
      <c r="B46" s="91" t="s">
        <v>303</v>
      </c>
      <c r="C46" s="91" t="s">
        <v>430</v>
      </c>
      <c r="D46" s="115">
        <v>1.2790010130049103E-2</v>
      </c>
      <c r="E46" s="91" t="s">
        <v>917</v>
      </c>
    </row>
    <row r="47" spans="2:5" x14ac:dyDescent="0.25">
      <c r="B47" s="91" t="s">
        <v>303</v>
      </c>
      <c r="C47" s="91" t="s">
        <v>933</v>
      </c>
      <c r="D47" s="115">
        <v>30.057763484715057</v>
      </c>
      <c r="E47" s="91" t="s">
        <v>934</v>
      </c>
    </row>
    <row r="48" spans="2:5" x14ac:dyDescent="0.25">
      <c r="B48" s="91" t="s">
        <v>303</v>
      </c>
      <c r="C48" s="91" t="s">
        <v>935</v>
      </c>
      <c r="D48" s="115">
        <v>55</v>
      </c>
      <c r="E48" s="91" t="s">
        <v>934</v>
      </c>
    </row>
    <row r="49" spans="2:5" x14ac:dyDescent="0.25">
      <c r="B49" s="91" t="s">
        <v>303</v>
      </c>
      <c r="C49" s="91" t="s">
        <v>933</v>
      </c>
      <c r="D49" s="189">
        <v>0.35338059988041493</v>
      </c>
      <c r="E49" s="91" t="s">
        <v>479</v>
      </c>
    </row>
    <row r="50" spans="2:5" x14ac:dyDescent="0.25">
      <c r="B50" s="91" t="s">
        <v>303</v>
      </c>
      <c r="C50" s="91" t="s">
        <v>935</v>
      </c>
      <c r="D50" s="189">
        <v>0.64661940011958507</v>
      </c>
      <c r="E50" s="91" t="s">
        <v>479</v>
      </c>
    </row>
    <row r="51" spans="2:5" x14ac:dyDescent="0.25">
      <c r="B51" s="91" t="s">
        <v>303</v>
      </c>
      <c r="C51" s="91" t="s">
        <v>482</v>
      </c>
      <c r="D51" s="112">
        <v>117.5871925528093</v>
      </c>
      <c r="E51" s="91" t="s">
        <v>19</v>
      </c>
    </row>
    <row r="52" spans="2:5" x14ac:dyDescent="0.25">
      <c r="B52" s="91" t="s">
        <v>0</v>
      </c>
      <c r="C52" s="91" t="s">
        <v>356</v>
      </c>
      <c r="D52" s="112">
        <v>0.84239314139412513</v>
      </c>
      <c r="E52" s="91" t="s">
        <v>50</v>
      </c>
    </row>
    <row r="53" spans="2:5" x14ac:dyDescent="0.25">
      <c r="B53" s="91" t="s">
        <v>0</v>
      </c>
      <c r="C53" s="91" t="s">
        <v>316</v>
      </c>
      <c r="D53" s="115">
        <v>18.659963735448716</v>
      </c>
      <c r="E53" s="91" t="s">
        <v>50</v>
      </c>
    </row>
    <row r="54" spans="2:5" x14ac:dyDescent="0.25">
      <c r="B54" s="91" t="s">
        <v>0</v>
      </c>
      <c r="C54" s="91" t="s">
        <v>339</v>
      </c>
      <c r="D54" s="112">
        <v>0.18854487254666211</v>
      </c>
      <c r="E54" s="91" t="s">
        <v>379</v>
      </c>
    </row>
    <row r="55" spans="2:5" x14ac:dyDescent="0.25">
      <c r="B55" s="91" t="s">
        <v>0</v>
      </c>
      <c r="C55" s="91" t="s">
        <v>925</v>
      </c>
      <c r="D55" s="112">
        <v>0.1219887458292941</v>
      </c>
      <c r="E55" s="91" t="s">
        <v>379</v>
      </c>
    </row>
    <row r="56" spans="2:5" x14ac:dyDescent="0.25">
      <c r="B56" s="91" t="s">
        <v>0</v>
      </c>
      <c r="C56" s="91" t="s">
        <v>926</v>
      </c>
      <c r="D56" s="115">
        <v>4.5965450744010629E-2</v>
      </c>
      <c r="E56" s="91" t="s">
        <v>379</v>
      </c>
    </row>
    <row r="57" spans="2:5" x14ac:dyDescent="0.25">
      <c r="B57" s="91" t="s">
        <v>0</v>
      </c>
      <c r="C57" s="91" t="s">
        <v>340</v>
      </c>
      <c r="D57" s="113">
        <v>0.82359705315643139</v>
      </c>
      <c r="E57" s="91" t="s">
        <v>379</v>
      </c>
    </row>
    <row r="58" spans="2:5" x14ac:dyDescent="0.25">
      <c r="B58" s="91" t="s">
        <v>0</v>
      </c>
      <c r="C58" s="91" t="s">
        <v>341</v>
      </c>
      <c r="D58" s="115">
        <v>0.99155124972973607</v>
      </c>
      <c r="E58" s="91" t="s">
        <v>379</v>
      </c>
    </row>
    <row r="59" spans="2:5" x14ac:dyDescent="0.25">
      <c r="B59" s="91" t="s">
        <v>0</v>
      </c>
      <c r="C59" s="91" t="s">
        <v>342</v>
      </c>
      <c r="D59" s="113">
        <v>0.11594210842605832</v>
      </c>
      <c r="E59" s="91" t="s">
        <v>918</v>
      </c>
    </row>
    <row r="60" spans="2:5" x14ac:dyDescent="0.25">
      <c r="B60" s="91" t="s">
        <v>0</v>
      </c>
      <c r="C60" s="91" t="s">
        <v>343</v>
      </c>
      <c r="D60" s="113">
        <v>0.19598992967626047</v>
      </c>
      <c r="E60" s="91" t="s">
        <v>918</v>
      </c>
    </row>
    <row r="61" spans="2:5" x14ac:dyDescent="0.25">
      <c r="B61" s="91" t="s">
        <v>0</v>
      </c>
      <c r="C61" s="91" t="s">
        <v>936</v>
      </c>
      <c r="D61" s="112">
        <v>0.10041916386269473</v>
      </c>
      <c r="E61" s="91" t="s">
        <v>937</v>
      </c>
    </row>
    <row r="62" spans="2:5" x14ac:dyDescent="0.25">
      <c r="B62" s="91" t="s">
        <v>0</v>
      </c>
      <c r="C62" s="91" t="s">
        <v>938</v>
      </c>
      <c r="D62" s="114">
        <v>30.66799301613888</v>
      </c>
      <c r="E62" s="91" t="s">
        <v>939</v>
      </c>
    </row>
    <row r="63" spans="2:5" x14ac:dyDescent="0.25">
      <c r="B63" s="91" t="s">
        <v>0</v>
      </c>
      <c r="C63" s="91" t="s">
        <v>940</v>
      </c>
      <c r="D63" s="112">
        <v>3.7925772153613666</v>
      </c>
      <c r="E63" s="91" t="s">
        <v>941</v>
      </c>
    </row>
    <row r="64" spans="2:5" x14ac:dyDescent="0.25">
      <c r="B64" s="91" t="s">
        <v>357</v>
      </c>
      <c r="C64" s="91" t="s">
        <v>358</v>
      </c>
      <c r="D64" s="112">
        <v>0.18854487254666211</v>
      </c>
      <c r="E64" s="91" t="s">
        <v>379</v>
      </c>
    </row>
    <row r="65" spans="2:5" x14ac:dyDescent="0.25">
      <c r="B65" s="91" t="s">
        <v>357</v>
      </c>
      <c r="C65" s="91" t="s">
        <v>360</v>
      </c>
      <c r="D65" s="112">
        <v>6.01</v>
      </c>
      <c r="E65" s="91" t="s">
        <v>942</v>
      </c>
    </row>
    <row r="66" spans="2:5" x14ac:dyDescent="0.25">
      <c r="B66" s="91" t="s">
        <v>357</v>
      </c>
      <c r="C66" s="91" t="s">
        <v>943</v>
      </c>
      <c r="D66" s="115">
        <v>48.984926631429197</v>
      </c>
      <c r="E66" s="91" t="s">
        <v>937</v>
      </c>
    </row>
    <row r="67" spans="2:5" x14ac:dyDescent="0.25">
      <c r="B67" s="91" t="s">
        <v>357</v>
      </c>
      <c r="C67" s="91" t="s">
        <v>944</v>
      </c>
      <c r="D67" s="113">
        <v>3.0035270664612557</v>
      </c>
      <c r="E67" s="91" t="s">
        <v>50</v>
      </c>
    </row>
    <row r="68" spans="2:5" x14ac:dyDescent="0.25">
      <c r="B68" s="91" t="s">
        <v>357</v>
      </c>
      <c r="C68" s="91" t="s">
        <v>945</v>
      </c>
      <c r="D68" s="112">
        <v>1.0004192734753365</v>
      </c>
      <c r="E68" s="91" t="s">
        <v>50</v>
      </c>
    </row>
    <row r="69" spans="2:5" x14ac:dyDescent="0.25">
      <c r="B69" s="91" t="s">
        <v>357</v>
      </c>
      <c r="C69" s="91" t="s">
        <v>946</v>
      </c>
      <c r="D69" s="112">
        <v>1.0004192734753365</v>
      </c>
      <c r="E69" s="91" t="s">
        <v>50</v>
      </c>
    </row>
    <row r="70" spans="2:5" x14ac:dyDescent="0.25">
      <c r="B70" s="91" t="s">
        <v>357</v>
      </c>
      <c r="C70" s="91" t="s">
        <v>947</v>
      </c>
      <c r="D70" s="115">
        <v>7.9149521772802451</v>
      </c>
      <c r="E70" s="91" t="s">
        <v>948</v>
      </c>
    </row>
    <row r="71" spans="2:5" x14ac:dyDescent="0.25">
      <c r="B71" s="91" t="s">
        <v>357</v>
      </c>
      <c r="C71" s="91" t="s">
        <v>940</v>
      </c>
      <c r="D71" s="114">
        <v>4.0557144369686002E-6</v>
      </c>
      <c r="E71" s="91" t="s">
        <v>941</v>
      </c>
    </row>
    <row r="72" spans="2:5" x14ac:dyDescent="0.25">
      <c r="B72" s="91" t="s">
        <v>357</v>
      </c>
      <c r="C72" s="91" t="s">
        <v>278</v>
      </c>
      <c r="D72" s="114">
        <v>5.72</v>
      </c>
      <c r="E72" s="91" t="s">
        <v>942</v>
      </c>
    </row>
    <row r="73" spans="2:5" x14ac:dyDescent="0.25">
      <c r="B73" s="91" t="s">
        <v>357</v>
      </c>
      <c r="C73" s="91" t="s">
        <v>323</v>
      </c>
      <c r="D73" s="114">
        <v>1E-3</v>
      </c>
      <c r="E73" s="91" t="s">
        <v>949</v>
      </c>
    </row>
    <row r="74" spans="2:5" x14ac:dyDescent="0.25">
      <c r="B74" s="91" t="s">
        <v>357</v>
      </c>
      <c r="C74" s="91" t="s">
        <v>429</v>
      </c>
      <c r="D74" s="114">
        <v>14</v>
      </c>
      <c r="E74" s="91" t="s">
        <v>950</v>
      </c>
    </row>
    <row r="75" spans="2:5" x14ac:dyDescent="0.25">
      <c r="B75" s="91" t="s">
        <v>320</v>
      </c>
      <c r="C75" s="91" t="s">
        <v>334</v>
      </c>
      <c r="D75" s="115">
        <v>117.5871925528093</v>
      </c>
      <c r="E75" s="91" t="s">
        <v>917</v>
      </c>
    </row>
    <row r="76" spans="2:5" x14ac:dyDescent="0.25">
      <c r="B76" s="91" t="s">
        <v>320</v>
      </c>
      <c r="C76" s="91" t="s">
        <v>335</v>
      </c>
      <c r="D76" s="112">
        <v>0.84239314139412513</v>
      </c>
      <c r="E76" s="91" t="s">
        <v>50</v>
      </c>
    </row>
    <row r="77" spans="2:5" x14ac:dyDescent="0.25">
      <c r="B77" s="91" t="s">
        <v>320</v>
      </c>
      <c r="C77" s="91" t="s">
        <v>336</v>
      </c>
      <c r="D77" s="112">
        <v>0.37041137691351822</v>
      </c>
      <c r="E77" s="91" t="s">
        <v>50</v>
      </c>
    </row>
    <row r="78" spans="2:5" x14ac:dyDescent="0.25">
      <c r="B78" s="91" t="s">
        <v>320</v>
      </c>
      <c r="C78" s="91" t="s">
        <v>337</v>
      </c>
      <c r="D78" s="113">
        <v>2.8254347485642199</v>
      </c>
      <c r="E78" s="91" t="s">
        <v>50</v>
      </c>
    </row>
    <row r="79" spans="2:5" x14ac:dyDescent="0.25">
      <c r="B79" s="91" t="s">
        <v>320</v>
      </c>
      <c r="C79" s="91" t="s">
        <v>432</v>
      </c>
      <c r="D79" s="113">
        <v>3.2775043083344948</v>
      </c>
      <c r="E79" s="91" t="s">
        <v>50</v>
      </c>
    </row>
    <row r="80" spans="2:5" x14ac:dyDescent="0.25">
      <c r="B80" s="91" t="s">
        <v>320</v>
      </c>
      <c r="C80" s="91" t="s">
        <v>316</v>
      </c>
      <c r="D80" s="115">
        <v>18.659963735448716</v>
      </c>
      <c r="E80" s="91" t="s">
        <v>50</v>
      </c>
    </row>
    <row r="81" spans="2:8" x14ac:dyDescent="0.25">
      <c r="B81" s="91" t="s">
        <v>320</v>
      </c>
      <c r="C81" s="91" t="s">
        <v>339</v>
      </c>
      <c r="D81" s="112">
        <v>0.05</v>
      </c>
      <c r="E81" s="91" t="s">
        <v>379</v>
      </c>
    </row>
    <row r="82" spans="2:8" x14ac:dyDescent="0.25">
      <c r="B82" s="91" t="s">
        <v>320</v>
      </c>
      <c r="C82" s="91" t="s">
        <v>925</v>
      </c>
      <c r="D82" s="112">
        <v>0.1219887458292941</v>
      </c>
      <c r="E82" s="91" t="s">
        <v>379</v>
      </c>
    </row>
    <row r="83" spans="2:8" x14ac:dyDescent="0.25">
      <c r="B83" s="91" t="s">
        <v>320</v>
      </c>
      <c r="C83" s="91" t="s">
        <v>926</v>
      </c>
      <c r="D83" s="115">
        <v>4.5965450744010629E-2</v>
      </c>
      <c r="E83" s="91" t="s">
        <v>379</v>
      </c>
    </row>
    <row r="84" spans="2:8" x14ac:dyDescent="0.25">
      <c r="B84" s="91" t="s">
        <v>320</v>
      </c>
      <c r="C84" s="91" t="s">
        <v>340</v>
      </c>
      <c r="D84" s="113">
        <v>0.82359705315643139</v>
      </c>
      <c r="E84" s="91" t="s">
        <v>379</v>
      </c>
    </row>
    <row r="85" spans="2:8" x14ac:dyDescent="0.25">
      <c r="B85" s="91" t="s">
        <v>320</v>
      </c>
      <c r="C85" s="91" t="s">
        <v>341</v>
      </c>
      <c r="D85" s="115">
        <v>0.99155124972973607</v>
      </c>
      <c r="E85" s="91" t="s">
        <v>379</v>
      </c>
    </row>
    <row r="86" spans="2:8" x14ac:dyDescent="0.25">
      <c r="B86" s="91" t="s">
        <v>320</v>
      </c>
      <c r="C86" s="91" t="s">
        <v>342</v>
      </c>
      <c r="D86" s="113">
        <v>0.11594210842605832</v>
      </c>
      <c r="E86" s="91" t="s">
        <v>918</v>
      </c>
    </row>
    <row r="87" spans="2:8" x14ac:dyDescent="0.25">
      <c r="B87" s="91" t="s">
        <v>320</v>
      </c>
      <c r="C87" s="91" t="s">
        <v>343</v>
      </c>
      <c r="D87" s="113">
        <v>0.19598992967626047</v>
      </c>
      <c r="E87" s="91" t="s">
        <v>918</v>
      </c>
    </row>
    <row r="88" spans="2:8" x14ac:dyDescent="0.25"/>
    <row r="89" spans="2:8" x14ac:dyDescent="0.25"/>
    <row r="90" spans="2:8" x14ac:dyDescent="0.25">
      <c r="B90" s="77" t="s">
        <v>464</v>
      </c>
    </row>
    <row r="91" spans="2:8" x14ac:dyDescent="0.25">
      <c r="B91" s="98"/>
      <c r="C91" s="172" t="s">
        <v>465</v>
      </c>
      <c r="D91" s="172" t="s">
        <v>466</v>
      </c>
      <c r="E91" s="172" t="s">
        <v>467</v>
      </c>
      <c r="F91" s="172" t="s">
        <v>468</v>
      </c>
      <c r="G91" s="172" t="s">
        <v>469</v>
      </c>
      <c r="H91" s="172" t="s">
        <v>470</v>
      </c>
    </row>
    <row r="92" spans="2:8" x14ac:dyDescent="0.25">
      <c r="B92" s="98" t="s">
        <v>471</v>
      </c>
      <c r="C92" s="180">
        <v>31.67</v>
      </c>
      <c r="D92" s="180">
        <v>0</v>
      </c>
      <c r="E92" s="180">
        <v>0</v>
      </c>
      <c r="F92" s="180">
        <v>0</v>
      </c>
      <c r="G92" s="180">
        <v>0</v>
      </c>
      <c r="H92" s="180">
        <v>31.67</v>
      </c>
    </row>
    <row r="93" spans="2:8" x14ac:dyDescent="0.25">
      <c r="B93" s="98" t="s">
        <v>472</v>
      </c>
      <c r="C93" s="180">
        <v>0</v>
      </c>
      <c r="D93" s="180">
        <v>0.11</v>
      </c>
      <c r="E93" s="180">
        <v>0</v>
      </c>
      <c r="F93" s="180">
        <v>0</v>
      </c>
      <c r="G93" s="180">
        <v>96.43</v>
      </c>
      <c r="H93" s="180">
        <v>96.54</v>
      </c>
    </row>
    <row r="94" spans="2:8" x14ac:dyDescent="0.25">
      <c r="B94" s="98" t="s">
        <v>473</v>
      </c>
      <c r="C94" s="180">
        <v>11990.32</v>
      </c>
      <c r="D94" s="180">
        <v>22.37</v>
      </c>
      <c r="E94" s="180">
        <v>0</v>
      </c>
      <c r="F94" s="180">
        <v>0</v>
      </c>
      <c r="G94" s="180">
        <v>0</v>
      </c>
      <c r="H94" s="180">
        <v>12012.68</v>
      </c>
    </row>
    <row r="95" spans="2:8" x14ac:dyDescent="0.25">
      <c r="B95" s="98" t="s">
        <v>747</v>
      </c>
      <c r="C95" s="180">
        <v>0</v>
      </c>
      <c r="D95" s="180">
        <v>0.13</v>
      </c>
      <c r="E95" s="180">
        <v>0</v>
      </c>
      <c r="F95" s="180">
        <v>0</v>
      </c>
      <c r="G95" s="180">
        <v>19285.22</v>
      </c>
      <c r="H95" s="180">
        <v>19285.349999999999</v>
      </c>
    </row>
    <row r="96" spans="2:8" x14ac:dyDescent="0.25">
      <c r="B96" s="98" t="s">
        <v>474</v>
      </c>
      <c r="C96" s="180">
        <v>0</v>
      </c>
      <c r="D96" s="180">
        <v>0</v>
      </c>
      <c r="E96" s="180">
        <v>0</v>
      </c>
      <c r="F96" s="180">
        <v>0</v>
      </c>
      <c r="G96" s="180">
        <v>2454.48</v>
      </c>
      <c r="H96" s="180">
        <v>2454.48</v>
      </c>
    </row>
    <row r="97" spans="2:8" x14ac:dyDescent="0.25">
      <c r="B97" s="98" t="s">
        <v>475</v>
      </c>
      <c r="C97" s="180">
        <v>12021.98</v>
      </c>
      <c r="D97" s="180">
        <v>22.61</v>
      </c>
      <c r="E97" s="180">
        <v>0</v>
      </c>
      <c r="F97" s="180">
        <v>0</v>
      </c>
      <c r="G97" s="180">
        <v>21836.13</v>
      </c>
      <c r="H97" s="180">
        <v>33880.720000000001</v>
      </c>
    </row>
    <row r="98" spans="2:8" x14ac:dyDescent="0.25">
      <c r="B98" s="68" t="s">
        <v>838</v>
      </c>
      <c r="H98" s="181"/>
    </row>
    <row r="99" spans="2:8" x14ac:dyDescent="0.25"/>
    <row r="100" spans="2:8" x14ac:dyDescent="0.25"/>
    <row r="101" spans="2:8" x14ac:dyDescent="0.25"/>
  </sheetData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O33"/>
  <sheetViews>
    <sheetView workbookViewId="0">
      <selection activeCell="D4" sqref="D4"/>
    </sheetView>
  </sheetViews>
  <sheetFormatPr defaultColWidth="0" defaultRowHeight="15" zeroHeight="1" x14ac:dyDescent="0.25"/>
  <cols>
    <col min="1" max="1" width="9.140625" style="77" customWidth="1"/>
    <col min="2" max="2" width="13.140625" style="77" bestFit="1" customWidth="1"/>
    <col min="3" max="3" width="32.5703125" style="77" bestFit="1" customWidth="1"/>
    <col min="4" max="4" width="26.7109375" style="77" bestFit="1" customWidth="1"/>
    <col min="5" max="5" width="9.7109375" style="77" bestFit="1" customWidth="1"/>
    <col min="6" max="6" width="13.7109375" style="77" bestFit="1" customWidth="1"/>
    <col min="7" max="7" width="9" style="77" bestFit="1" customWidth="1"/>
    <col min="8" max="8" width="17.5703125" style="77" bestFit="1" customWidth="1"/>
    <col min="9" max="9" width="17.42578125" style="77" bestFit="1" customWidth="1"/>
    <col min="10" max="13" width="9.140625" style="77" customWidth="1"/>
    <col min="14" max="15" width="0" style="77" hidden="1" customWidth="1"/>
    <col min="16" max="16384" width="9.140625" style="77" hidden="1"/>
  </cols>
  <sheetData>
    <row r="1" spans="1:10" x14ac:dyDescent="0.25">
      <c r="A1" s="67" t="s">
        <v>951</v>
      </c>
    </row>
    <row r="2" spans="1:10" x14ac:dyDescent="0.25"/>
    <row r="3" spans="1:10" ht="15.75" x14ac:dyDescent="0.25">
      <c r="B3" s="252" t="s">
        <v>662</v>
      </c>
      <c r="C3" s="253"/>
      <c r="D3" s="254"/>
      <c r="E3" s="254"/>
      <c r="F3" s="226"/>
      <c r="G3" s="226"/>
      <c r="H3" s="226"/>
      <c r="I3" s="226"/>
    </row>
    <row r="4" spans="1:10" ht="31.5" x14ac:dyDescent="0.25">
      <c r="B4" s="255" t="s">
        <v>663</v>
      </c>
      <c r="C4" s="255" t="s">
        <v>664</v>
      </c>
      <c r="D4" s="255" t="s">
        <v>292</v>
      </c>
      <c r="E4" s="255" t="s">
        <v>572</v>
      </c>
      <c r="F4" s="256" t="s">
        <v>573</v>
      </c>
      <c r="G4" s="255" t="s">
        <v>576</v>
      </c>
      <c r="H4" s="255" t="s">
        <v>665</v>
      </c>
      <c r="I4" s="255" t="s">
        <v>666</v>
      </c>
      <c r="J4" s="341"/>
    </row>
    <row r="5" spans="1:10" ht="15.75" x14ac:dyDescent="0.25">
      <c r="B5" s="226" t="s">
        <v>351</v>
      </c>
      <c r="C5" s="226" t="s">
        <v>43</v>
      </c>
      <c r="D5" s="226" t="s">
        <v>667</v>
      </c>
      <c r="E5" s="258">
        <f>'Fine Screen'!C10</f>
        <v>3202.3558015615877</v>
      </c>
      <c r="F5" s="257" t="s">
        <v>359</v>
      </c>
      <c r="G5" s="226">
        <v>1</v>
      </c>
      <c r="H5" s="258">
        <f t="shared" ref="H5:H15" si="0">E5/G5</f>
        <v>3202.3558015615877</v>
      </c>
      <c r="I5" s="316">
        <f>H5/AeMBR!$C$5</f>
        <v>7.4714438142637452E-2</v>
      </c>
    </row>
    <row r="6" spans="1:10" ht="15.75" x14ac:dyDescent="0.25">
      <c r="B6" s="226" t="s">
        <v>351</v>
      </c>
      <c r="C6" s="226" t="s">
        <v>668</v>
      </c>
      <c r="D6" s="226" t="s">
        <v>668</v>
      </c>
      <c r="E6" s="258">
        <f>'Fine Screen'!C4</f>
        <v>174.65048130871068</v>
      </c>
      <c r="F6" s="257" t="s">
        <v>553</v>
      </c>
      <c r="G6" s="226">
        <v>1</v>
      </c>
      <c r="H6" s="258">
        <f t="shared" si="0"/>
        <v>174.65048130871068</v>
      </c>
      <c r="I6" s="317">
        <f>H6/AeMBR!$C$5</f>
        <v>4.0747853739295263E-3</v>
      </c>
    </row>
    <row r="7" spans="1:10" ht="15.75" x14ac:dyDescent="0.25">
      <c r="B7" s="226" t="s">
        <v>351</v>
      </c>
      <c r="C7" s="226" t="s">
        <v>669</v>
      </c>
      <c r="D7" s="226" t="s">
        <v>670</v>
      </c>
      <c r="E7" s="258">
        <f>'Fine Screen'!C5</f>
        <v>444</v>
      </c>
      <c r="F7" s="257" t="s">
        <v>553</v>
      </c>
      <c r="G7" s="226">
        <v>15</v>
      </c>
      <c r="H7" s="258">
        <f t="shared" si="0"/>
        <v>29.6</v>
      </c>
      <c r="I7" s="317">
        <f>H7/AeMBR!$C$5</f>
        <v>6.9060014129086961E-4</v>
      </c>
    </row>
    <row r="8" spans="1:10" ht="15.75" x14ac:dyDescent="0.25">
      <c r="B8" s="226" t="s">
        <v>444</v>
      </c>
      <c r="C8" s="226" t="s">
        <v>44</v>
      </c>
      <c r="D8" s="226" t="s">
        <v>671</v>
      </c>
      <c r="E8" s="258">
        <f>Equalization!D64</f>
        <v>19.190523224608881</v>
      </c>
      <c r="F8" s="226" t="s">
        <v>2</v>
      </c>
      <c r="G8" s="258">
        <v>40</v>
      </c>
      <c r="H8" s="258">
        <f t="shared" si="0"/>
        <v>0.47976308061522205</v>
      </c>
      <c r="I8" s="317">
        <f>H8/AeMBR!$C$5</f>
        <v>1.1193393623615379E-5</v>
      </c>
    </row>
    <row r="9" spans="1:10" ht="15.75" x14ac:dyDescent="0.25">
      <c r="B9" s="226" t="s">
        <v>444</v>
      </c>
      <c r="C9" s="226" t="s">
        <v>669</v>
      </c>
      <c r="D9" s="226" t="s">
        <v>671</v>
      </c>
      <c r="E9" s="258">
        <f>Equalization!D70</f>
        <v>1144.4473126660716</v>
      </c>
      <c r="F9" s="226" t="s">
        <v>553</v>
      </c>
      <c r="G9" s="258">
        <v>40</v>
      </c>
      <c r="H9" s="258">
        <f t="shared" si="0"/>
        <v>28.611182816651791</v>
      </c>
      <c r="I9" s="317">
        <f>H9/AeMBR!$C$5</f>
        <v>6.6752996269184555E-4</v>
      </c>
    </row>
    <row r="10" spans="1:10" ht="15.75" x14ac:dyDescent="0.25">
      <c r="B10" s="226" t="s">
        <v>444</v>
      </c>
      <c r="C10" s="226" t="s">
        <v>43</v>
      </c>
      <c r="D10" s="226" t="s">
        <v>672</v>
      </c>
      <c r="E10" s="258">
        <f>Equalization!D48</f>
        <v>4071.876817979683</v>
      </c>
      <c r="F10" s="226" t="s">
        <v>359</v>
      </c>
      <c r="G10" s="258">
        <v>1</v>
      </c>
      <c r="H10" s="258">
        <f t="shared" si="0"/>
        <v>4071.876817979683</v>
      </c>
      <c r="I10" s="316">
        <f>H10/AeMBR!$C$5</f>
        <v>9.500130762891168E-2</v>
      </c>
    </row>
    <row r="11" spans="1:10" ht="15.75" x14ac:dyDescent="0.25">
      <c r="B11" s="226" t="s">
        <v>357</v>
      </c>
      <c r="C11" s="226" t="s">
        <v>44</v>
      </c>
      <c r="D11" s="226" t="s">
        <v>673</v>
      </c>
      <c r="E11" s="279">
        <f>Chlorine!C107</f>
        <v>40</v>
      </c>
      <c r="F11" s="226" t="s">
        <v>2</v>
      </c>
      <c r="G11" s="258">
        <v>40</v>
      </c>
      <c r="H11" s="258">
        <f t="shared" si="0"/>
        <v>1</v>
      </c>
      <c r="I11" s="317">
        <f>H11/AeMBR!$C$5</f>
        <v>2.333108585442127E-5</v>
      </c>
    </row>
    <row r="12" spans="1:10" ht="15.75" x14ac:dyDescent="0.25">
      <c r="B12" s="226" t="s">
        <v>357</v>
      </c>
      <c r="C12" s="226" t="s">
        <v>669</v>
      </c>
      <c r="D12" s="226" t="s">
        <v>674</v>
      </c>
      <c r="E12" s="279">
        <f>Chlorine!C113</f>
        <v>10</v>
      </c>
      <c r="F12" s="226" t="s">
        <v>553</v>
      </c>
      <c r="G12" s="258">
        <v>40</v>
      </c>
      <c r="H12" s="258">
        <f t="shared" si="0"/>
        <v>0.25</v>
      </c>
      <c r="I12" s="317">
        <f>H12/AeMBR!$C$5</f>
        <v>5.8327714636053175E-6</v>
      </c>
    </row>
    <row r="13" spans="1:10" ht="15.75" x14ac:dyDescent="0.25">
      <c r="B13" s="226" t="s">
        <v>357</v>
      </c>
      <c r="C13" s="226" t="s">
        <v>43</v>
      </c>
      <c r="D13" s="226" t="s">
        <v>675</v>
      </c>
      <c r="E13" s="279">
        <f>Chlorine!C119</f>
        <v>1788.2639999999999</v>
      </c>
      <c r="F13" s="226" t="s">
        <v>676</v>
      </c>
      <c r="G13" s="258">
        <v>1</v>
      </c>
      <c r="H13" s="258">
        <f t="shared" si="0"/>
        <v>1788.2639999999999</v>
      </c>
      <c r="I13" s="316">
        <f>H13/AeMBR!$C$5</f>
        <v>4.1722140914370799E-2</v>
      </c>
    </row>
    <row r="14" spans="1:10" ht="15.75" x14ac:dyDescent="0.25">
      <c r="B14" s="226" t="s">
        <v>357</v>
      </c>
      <c r="C14" s="226" t="s">
        <v>528</v>
      </c>
      <c r="D14" s="226" t="s">
        <v>357</v>
      </c>
      <c r="E14" s="279">
        <f>Chlorine!C26</f>
        <v>138.41101541907278</v>
      </c>
      <c r="F14" s="226" t="s">
        <v>677</v>
      </c>
      <c r="G14" s="258">
        <f>1</f>
        <v>1</v>
      </c>
      <c r="H14" s="258">
        <f t="shared" si="0"/>
        <v>138.41101541907278</v>
      </c>
      <c r="I14" s="317">
        <f>H14/AeMBR!$C$5</f>
        <v>3.2292792839400133E-3</v>
      </c>
    </row>
    <row r="15" spans="1:10" ht="15.75" x14ac:dyDescent="0.25">
      <c r="B15" s="226" t="s">
        <v>303</v>
      </c>
      <c r="C15" s="226" t="s">
        <v>44</v>
      </c>
      <c r="D15" s="226" t="s">
        <v>678</v>
      </c>
      <c r="E15" s="279">
        <f>AeMBR!C99</f>
        <v>33.987059380975609</v>
      </c>
      <c r="F15" s="226" t="s">
        <v>2</v>
      </c>
      <c r="G15" s="258">
        <v>40</v>
      </c>
      <c r="H15" s="258">
        <f t="shared" si="0"/>
        <v>0.84967648452439026</v>
      </c>
      <c r="I15" s="317">
        <f>H15/AeMBR!$C$5</f>
        <v>1.9823875008921395E-5</v>
      </c>
    </row>
    <row r="16" spans="1:10" ht="15.75" x14ac:dyDescent="0.25">
      <c r="B16" s="226" t="s">
        <v>303</v>
      </c>
      <c r="C16" s="226" t="s">
        <v>669</v>
      </c>
      <c r="D16" s="226" t="s">
        <v>132</v>
      </c>
      <c r="E16" s="279">
        <f>AeMBR!C105</f>
        <v>2024.7885636457877</v>
      </c>
      <c r="F16" s="226" t="s">
        <v>553</v>
      </c>
      <c r="G16" s="258">
        <v>40</v>
      </c>
      <c r="H16" s="258">
        <f>E16/G16</f>
        <v>50.619714091144694</v>
      </c>
      <c r="I16" s="317">
        <f>H16/AeMBR!$C$5</f>
        <v>1.1810128953867549E-3</v>
      </c>
    </row>
    <row r="17" spans="2:9" ht="15.75" x14ac:dyDescent="0.25">
      <c r="B17" s="226" t="s">
        <v>303</v>
      </c>
      <c r="C17" s="226" t="s">
        <v>680</v>
      </c>
      <c r="D17" s="226" t="s">
        <v>681</v>
      </c>
      <c r="E17" s="279">
        <f>AeMBR!D141</f>
        <v>253.65356390896281</v>
      </c>
      <c r="F17" s="226" t="s">
        <v>553</v>
      </c>
      <c r="G17" s="258">
        <v>10</v>
      </c>
      <c r="H17" s="258">
        <f t="shared" ref="H17:H25" si="1">E17/G17</f>
        <v>25.365356390896281</v>
      </c>
      <c r="I17" s="317">
        <f>H17/AeMBR!$C$5</f>
        <v>5.9180130768399437E-4</v>
      </c>
    </row>
    <row r="18" spans="2:9" ht="15.75" x14ac:dyDescent="0.25">
      <c r="B18" s="226" t="s">
        <v>303</v>
      </c>
      <c r="C18" s="226" t="s">
        <v>528</v>
      </c>
      <c r="D18" s="226" t="s">
        <v>682</v>
      </c>
      <c r="E18" s="279">
        <f>AeMBR!C45</f>
        <v>30.826768376893135</v>
      </c>
      <c r="F18" s="226" t="s">
        <v>553</v>
      </c>
      <c r="G18" s="258">
        <v>1</v>
      </c>
      <c r="H18" s="258">
        <f t="shared" si="1"/>
        <v>30.826768376893135</v>
      </c>
      <c r="I18" s="317">
        <f>H18/AeMBR!$C$5</f>
        <v>7.1922197961565241E-4</v>
      </c>
    </row>
    <row r="19" spans="2:9" ht="15.75" x14ac:dyDescent="0.25">
      <c r="B19" s="226" t="s">
        <v>303</v>
      </c>
      <c r="C19" s="226" t="s">
        <v>43</v>
      </c>
      <c r="D19" s="226" t="s">
        <v>683</v>
      </c>
      <c r="E19" s="279">
        <f>SUM('GPS-X Model'!H94, AeMBR!C55,AeMBR!C66,AeMBR!C69)</f>
        <v>18831.8481489558</v>
      </c>
      <c r="F19" s="226" t="s">
        <v>676</v>
      </c>
      <c r="G19" s="258">
        <v>1</v>
      </c>
      <c r="H19" s="258">
        <f>E19/G19</f>
        <v>18831.8481489558</v>
      </c>
      <c r="I19" s="316">
        <f>H19/AeMBR!$C$5</f>
        <v>0.43936746596071202</v>
      </c>
    </row>
    <row r="20" spans="2:9" ht="15.75" x14ac:dyDescent="0.25">
      <c r="B20" s="226" t="s">
        <v>303</v>
      </c>
      <c r="C20" s="254" t="s">
        <v>684</v>
      </c>
      <c r="D20" s="226" t="s">
        <v>685</v>
      </c>
      <c r="E20" s="279">
        <f>AeMBR!M147</f>
        <v>205.73410213097279</v>
      </c>
      <c r="F20" s="259" t="s">
        <v>553</v>
      </c>
      <c r="G20" s="258">
        <v>1</v>
      </c>
      <c r="H20" s="258">
        <f t="shared" si="1"/>
        <v>205.73410213097279</v>
      </c>
      <c r="I20" s="317">
        <f>H20/AeMBR!$C$5</f>
        <v>4.8000000000000004E-3</v>
      </c>
    </row>
    <row r="21" spans="2:9" ht="18.75" x14ac:dyDescent="0.35">
      <c r="B21" s="226" t="s">
        <v>303</v>
      </c>
      <c r="C21" s="254" t="s">
        <v>686</v>
      </c>
      <c r="D21" s="226" t="s">
        <v>685</v>
      </c>
      <c r="E21" s="279">
        <f>AeMBR!I147</f>
        <v>2.1473619370695367</v>
      </c>
      <c r="F21" s="259" t="s">
        <v>553</v>
      </c>
      <c r="G21" s="258">
        <v>1</v>
      </c>
      <c r="H21" s="258">
        <f t="shared" si="1"/>
        <v>2.1473619370695367</v>
      </c>
      <c r="I21" s="317">
        <f>H21/AeMBR!$C$5</f>
        <v>5.0100285714285725E-5</v>
      </c>
    </row>
    <row r="22" spans="2:9" ht="15.75" x14ac:dyDescent="0.25">
      <c r="B22" s="226" t="s">
        <v>303</v>
      </c>
      <c r="C22" s="254" t="s">
        <v>821</v>
      </c>
      <c r="D22" s="226" t="s">
        <v>822</v>
      </c>
      <c r="E22" s="279">
        <f>'GPS-X Model'!D44*CONVERT(1,"yr","day")</f>
        <v>356.44763913420553</v>
      </c>
      <c r="F22" s="259" t="s">
        <v>2</v>
      </c>
      <c r="G22" s="258">
        <v>1</v>
      </c>
      <c r="H22" s="258">
        <f t="shared" si="1"/>
        <v>356.44763913420553</v>
      </c>
      <c r="I22" s="317">
        <f>H22/AeMBR!$C$5</f>
        <v>8.3163104712459211E-3</v>
      </c>
    </row>
    <row r="23" spans="2:9" ht="15.75" x14ac:dyDescent="0.25">
      <c r="B23" s="226" t="s">
        <v>0</v>
      </c>
      <c r="C23" s="226" t="s">
        <v>43</v>
      </c>
      <c r="D23" s="226" t="s">
        <v>687</v>
      </c>
      <c r="E23" s="258">
        <f>UV!C38</f>
        <v>1227.24</v>
      </c>
      <c r="F23" s="226" t="s">
        <v>359</v>
      </c>
      <c r="G23" s="258">
        <v>1</v>
      </c>
      <c r="H23" s="258">
        <f t="shared" si="1"/>
        <v>1227.24</v>
      </c>
      <c r="I23" s="316">
        <f>H23/AeMBR!$C$5</f>
        <v>2.8632841803979962E-2</v>
      </c>
    </row>
    <row r="24" spans="2:9" ht="15.75" x14ac:dyDescent="0.25">
      <c r="B24" s="226" t="s">
        <v>0</v>
      </c>
      <c r="C24" s="226" t="s">
        <v>669</v>
      </c>
      <c r="D24" s="226" t="s">
        <v>687</v>
      </c>
      <c r="E24" s="258">
        <f>UV!C42</f>
        <v>32.65868947936606</v>
      </c>
      <c r="F24" s="226" t="s">
        <v>553</v>
      </c>
      <c r="G24" s="258">
        <v>30</v>
      </c>
      <c r="H24" s="258">
        <f t="shared" ref="H24" si="2">E24/G24</f>
        <v>1.0886229826455354</v>
      </c>
      <c r="I24" s="317">
        <f>H24/AeMBR!$C$5</f>
        <v>2.5398756271199141E-5</v>
      </c>
    </row>
    <row r="25" spans="2:9" ht="15.75" x14ac:dyDescent="0.25">
      <c r="B25" s="226" t="s">
        <v>688</v>
      </c>
      <c r="C25" s="226" t="s">
        <v>679</v>
      </c>
      <c r="D25" s="226" t="s">
        <v>671</v>
      </c>
      <c r="E25" s="258">
        <f>AeMBR!D79</f>
        <v>1594.8326695757094</v>
      </c>
      <c r="F25" s="226" t="s">
        <v>553</v>
      </c>
      <c r="G25" s="258">
        <v>40</v>
      </c>
      <c r="H25" s="258">
        <f t="shared" si="1"/>
        <v>39.870816739392737</v>
      </c>
      <c r="I25" s="317">
        <f>H25/AeMBR!$C$5</f>
        <v>9.3022944843266868E-4</v>
      </c>
    </row>
    <row r="26" spans="2:9" x14ac:dyDescent="0.25"/>
    <row r="27" spans="2:9" x14ac:dyDescent="0.25"/>
    <row r="28" spans="2:9" x14ac:dyDescent="0.25"/>
    <row r="29" spans="2:9" x14ac:dyDescent="0.25"/>
    <row r="30" spans="2:9" x14ac:dyDescent="0.25"/>
    <row r="31" spans="2:9" x14ac:dyDescent="0.25"/>
    <row r="32" spans="2:9" x14ac:dyDescent="0.25"/>
    <row r="33" x14ac:dyDescent="0.25"/>
  </sheetData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59999389629810485"/>
  </sheetPr>
  <dimension ref="A1:Q93"/>
  <sheetViews>
    <sheetView zoomScale="70" zoomScaleNormal="70" workbookViewId="0">
      <selection activeCell="O59" sqref="O59"/>
    </sheetView>
  </sheetViews>
  <sheetFormatPr defaultColWidth="0" defaultRowHeight="15.75" zeroHeight="1" x14ac:dyDescent="0.25"/>
  <cols>
    <col min="1" max="1" width="22.140625" style="218" customWidth="1"/>
    <col min="2" max="2" width="29" style="218" bestFit="1" customWidth="1"/>
    <col min="3" max="3" width="40.5703125" style="218" customWidth="1"/>
    <col min="4" max="4" width="10.42578125" style="218" bestFit="1" customWidth="1"/>
    <col min="5" max="5" width="17" style="218" bestFit="1" customWidth="1"/>
    <col min="6" max="6" width="31" style="218" bestFit="1" customWidth="1"/>
    <col min="7" max="7" width="22.42578125" style="218" bestFit="1" customWidth="1"/>
    <col min="8" max="8" width="12.7109375" style="218" bestFit="1" customWidth="1"/>
    <col min="9" max="9" width="26.5703125" style="218" customWidth="1"/>
    <col min="10" max="10" width="22.7109375" style="218" customWidth="1"/>
    <col min="11" max="11" width="22.5703125" style="218" bestFit="1" customWidth="1"/>
    <col min="12" max="12" width="24.5703125" style="218" bestFit="1" customWidth="1"/>
    <col min="13" max="13" width="19.5703125" style="218" bestFit="1" customWidth="1"/>
    <col min="14" max="15" width="9.140625" style="218" customWidth="1"/>
    <col min="16" max="17" width="0" style="218" hidden="1" customWidth="1"/>
    <col min="18" max="16384" width="9.140625" style="218" hidden="1"/>
  </cols>
  <sheetData>
    <row r="1" spans="1:13" x14ac:dyDescent="0.25">
      <c r="A1" s="217" t="s">
        <v>893</v>
      </c>
    </row>
    <row r="2" spans="1:13" x14ac:dyDescent="0.25"/>
    <row r="3" spans="1:13" x14ac:dyDescent="0.25">
      <c r="B3" s="219" t="s">
        <v>836</v>
      </c>
      <c r="C3" s="219"/>
    </row>
    <row r="4" spans="1:13" x14ac:dyDescent="0.25">
      <c r="B4" s="220" t="s">
        <v>570</v>
      </c>
      <c r="C4" s="220" t="s">
        <v>571</v>
      </c>
      <c r="D4" s="220" t="s">
        <v>572</v>
      </c>
      <c r="E4" s="220" t="s">
        <v>573</v>
      </c>
      <c r="F4" s="220" t="s">
        <v>56</v>
      </c>
      <c r="G4" s="220" t="s">
        <v>574</v>
      </c>
      <c r="H4" s="220" t="s">
        <v>63</v>
      </c>
      <c r="I4" s="220" t="s">
        <v>575</v>
      </c>
      <c r="J4" s="220" t="s">
        <v>576</v>
      </c>
      <c r="K4" s="220" t="s">
        <v>577</v>
      </c>
      <c r="L4" s="220" t="s">
        <v>578</v>
      </c>
      <c r="M4" s="220" t="s">
        <v>284</v>
      </c>
    </row>
    <row r="5" spans="1:13" x14ac:dyDescent="0.25">
      <c r="A5" s="324"/>
      <c r="B5" s="221" t="s">
        <v>303</v>
      </c>
      <c r="C5" s="221" t="s">
        <v>579</v>
      </c>
      <c r="D5" s="327">
        <f>LCI!E19</f>
        <v>18831.8481489558</v>
      </c>
      <c r="E5" s="328" t="s">
        <v>477</v>
      </c>
      <c r="F5" s="310">
        <v>0.193715</v>
      </c>
      <c r="G5" s="328" t="s">
        <v>68</v>
      </c>
      <c r="H5" s="233">
        <f>F5*D5</f>
        <v>3648.0114641749728</v>
      </c>
      <c r="I5" s="234" t="s">
        <v>440</v>
      </c>
      <c r="J5" s="221">
        <v>1</v>
      </c>
      <c r="K5" s="221"/>
      <c r="L5" s="221" t="s">
        <v>580</v>
      </c>
      <c r="M5" s="221"/>
    </row>
    <row r="6" spans="1:13" s="226" customFormat="1" x14ac:dyDescent="0.25">
      <c r="A6" s="325"/>
      <c r="B6" s="222" t="s">
        <v>444</v>
      </c>
      <c r="C6" s="222" t="s">
        <v>581</v>
      </c>
      <c r="D6" s="223">
        <v>2</v>
      </c>
      <c r="E6" s="224" t="s">
        <v>582</v>
      </c>
      <c r="F6" s="230">
        <v>18386.811554889446</v>
      </c>
      <c r="G6" s="224" t="s">
        <v>441</v>
      </c>
      <c r="H6" s="225">
        <f>F6*D6</f>
        <v>36773.623109778891</v>
      </c>
      <c r="I6" s="222" t="s">
        <v>583</v>
      </c>
      <c r="J6" s="222">
        <v>20</v>
      </c>
      <c r="K6" s="222" t="s">
        <v>548</v>
      </c>
      <c r="L6" s="222" t="s">
        <v>782</v>
      </c>
      <c r="M6" s="222"/>
    </row>
    <row r="7" spans="1:13" s="226" customFormat="1" x14ac:dyDescent="0.25">
      <c r="A7" s="325"/>
      <c r="B7" s="222" t="s">
        <v>444</v>
      </c>
      <c r="C7" s="222" t="s">
        <v>584</v>
      </c>
      <c r="D7" s="223" t="s">
        <v>580</v>
      </c>
      <c r="E7" s="224" t="s">
        <v>580</v>
      </c>
      <c r="F7" s="223" t="s">
        <v>580</v>
      </c>
      <c r="G7" s="224" t="s">
        <v>580</v>
      </c>
      <c r="H7" s="227">
        <f>H6*SUM($J$74:$J$78)</f>
        <v>16548.130399400503</v>
      </c>
      <c r="I7" s="222" t="s">
        <v>583</v>
      </c>
      <c r="J7" s="228" t="s">
        <v>580</v>
      </c>
      <c r="K7" s="222"/>
      <c r="L7" s="222"/>
      <c r="M7" s="222"/>
    </row>
    <row r="8" spans="1:13" s="226" customFormat="1" x14ac:dyDescent="0.25">
      <c r="A8" s="325"/>
      <c r="B8" s="222" t="s">
        <v>444</v>
      </c>
      <c r="C8" s="222" t="s">
        <v>585</v>
      </c>
      <c r="D8" s="223" t="s">
        <v>580</v>
      </c>
      <c r="E8" s="224" t="s">
        <v>580</v>
      </c>
      <c r="F8" s="223" t="s">
        <v>580</v>
      </c>
      <c r="G8" s="224" t="s">
        <v>580</v>
      </c>
      <c r="H8" s="227">
        <f>SUM(H6:H7)*SUM($J$82:$J$88)</f>
        <v>27194.094289681492</v>
      </c>
      <c r="I8" s="222" t="s">
        <v>583</v>
      </c>
      <c r="J8" s="228" t="s">
        <v>580</v>
      </c>
      <c r="K8" s="222"/>
      <c r="L8" s="222"/>
      <c r="M8" s="222"/>
    </row>
    <row r="9" spans="1:13" s="226" customFormat="1" x14ac:dyDescent="0.25">
      <c r="A9" s="325"/>
      <c r="B9" s="222" t="s">
        <v>444</v>
      </c>
      <c r="C9" s="222" t="s">
        <v>586</v>
      </c>
      <c r="D9" s="230">
        <f>Equalization!D64</f>
        <v>19.190523224608881</v>
      </c>
      <c r="E9" s="224" t="s">
        <v>587</v>
      </c>
      <c r="F9" s="222">
        <v>258</v>
      </c>
      <c r="G9" s="224" t="s">
        <v>588</v>
      </c>
      <c r="H9" s="225">
        <f>F9*D9</f>
        <v>4951.1549919490917</v>
      </c>
      <c r="I9" s="222" t="s">
        <v>583</v>
      </c>
      <c r="J9" s="222">
        <v>40</v>
      </c>
      <c r="K9" s="222" t="s">
        <v>589</v>
      </c>
      <c r="L9" s="222" t="s">
        <v>590</v>
      </c>
      <c r="M9" s="222"/>
    </row>
    <row r="10" spans="1:13" s="226" customFormat="1" x14ac:dyDescent="0.25">
      <c r="A10" s="325"/>
      <c r="B10" s="222" t="s">
        <v>444</v>
      </c>
      <c r="C10" s="222" t="s">
        <v>591</v>
      </c>
      <c r="D10" s="230">
        <f>D9</f>
        <v>19.190523224608881</v>
      </c>
      <c r="E10" s="224" t="str">
        <f>E9</f>
        <v>m3/tank</v>
      </c>
      <c r="F10" s="229">
        <v>397.88</v>
      </c>
      <c r="G10" s="224" t="s">
        <v>588</v>
      </c>
      <c r="H10" s="225">
        <f>F10*D10</f>
        <v>7635.5253806073815</v>
      </c>
      <c r="I10" s="222" t="s">
        <v>583</v>
      </c>
      <c r="J10" s="222">
        <v>40</v>
      </c>
      <c r="K10" s="222" t="s">
        <v>589</v>
      </c>
      <c r="L10" s="222" t="s">
        <v>590</v>
      </c>
      <c r="M10" s="222"/>
    </row>
    <row r="11" spans="1:13" s="226" customFormat="1" x14ac:dyDescent="0.25">
      <c r="A11" s="325"/>
      <c r="B11" s="222" t="s">
        <v>444</v>
      </c>
      <c r="C11" s="222" t="s">
        <v>592</v>
      </c>
      <c r="D11" s="228">
        <f>Equalization!D70*'Conversion Factors'!$D$18/2000</f>
        <v>1.8773742606436772</v>
      </c>
      <c r="E11" s="224" t="s">
        <v>593</v>
      </c>
      <c r="F11" s="222">
        <v>983</v>
      </c>
      <c r="G11" s="224" t="s">
        <v>594</v>
      </c>
      <c r="H11" s="225">
        <f>D11*F11</f>
        <v>1845.4588982127348</v>
      </c>
      <c r="I11" s="222" t="s">
        <v>583</v>
      </c>
      <c r="J11" s="222">
        <v>40</v>
      </c>
      <c r="K11" s="222" t="s">
        <v>589</v>
      </c>
      <c r="L11" s="222" t="s">
        <v>590</v>
      </c>
      <c r="M11" s="222"/>
    </row>
    <row r="12" spans="1:13" s="226" customFormat="1" x14ac:dyDescent="0.25">
      <c r="A12" s="325"/>
      <c r="B12" s="222" t="s">
        <v>444</v>
      </c>
      <c r="C12" s="222" t="s">
        <v>591</v>
      </c>
      <c r="D12" s="228">
        <f>D11</f>
        <v>1.8773742606436772</v>
      </c>
      <c r="E12" s="224" t="s">
        <v>593</v>
      </c>
      <c r="F12" s="222">
        <v>1374</v>
      </c>
      <c r="G12" s="224" t="s">
        <v>594</v>
      </c>
      <c r="H12" s="225">
        <f>D12*F12</f>
        <v>2579.5122341244123</v>
      </c>
      <c r="I12" s="222" t="s">
        <v>583</v>
      </c>
      <c r="J12" s="222">
        <v>40</v>
      </c>
      <c r="K12" s="222" t="s">
        <v>589</v>
      </c>
      <c r="L12" s="222" t="s">
        <v>590</v>
      </c>
      <c r="M12" s="222"/>
    </row>
    <row r="13" spans="1:13" s="226" customFormat="1" x14ac:dyDescent="0.25">
      <c r="A13" s="325"/>
      <c r="B13" s="222" t="s">
        <v>444</v>
      </c>
      <c r="C13" s="222" t="s">
        <v>595</v>
      </c>
      <c r="D13" s="230">
        <f>Equalization!D61*'Conversion Factors'!$D$5</f>
        <v>653.96074976097384</v>
      </c>
      <c r="E13" s="224" t="s">
        <v>596</v>
      </c>
      <c r="F13" s="222">
        <v>2</v>
      </c>
      <c r="G13" s="224" t="s">
        <v>618</v>
      </c>
      <c r="H13" s="225">
        <f>D13*F13</f>
        <v>1307.9214995219477</v>
      </c>
      <c r="I13" s="222" t="s">
        <v>583</v>
      </c>
      <c r="J13" s="222">
        <v>40</v>
      </c>
      <c r="K13" s="222" t="s">
        <v>589</v>
      </c>
      <c r="L13" s="222" t="s">
        <v>590</v>
      </c>
      <c r="M13" s="222"/>
    </row>
    <row r="14" spans="1:13" s="226" customFormat="1" x14ac:dyDescent="0.25">
      <c r="A14" s="325"/>
      <c r="B14" s="222" t="s">
        <v>444</v>
      </c>
      <c r="C14" s="222" t="s">
        <v>597</v>
      </c>
      <c r="D14" s="230">
        <f>D13</f>
        <v>653.96074976097384</v>
      </c>
      <c r="E14" s="224" t="str">
        <f>E13</f>
        <v>ft2/installation</v>
      </c>
      <c r="F14" s="222">
        <v>2.5499999999999998</v>
      </c>
      <c r="G14" s="224" t="s">
        <v>618</v>
      </c>
      <c r="H14" s="225">
        <f>D14*F14</f>
        <v>1667.5999118904831</v>
      </c>
      <c r="I14" s="222" t="s">
        <v>583</v>
      </c>
      <c r="J14" s="222">
        <v>40</v>
      </c>
      <c r="K14" s="222" t="s">
        <v>589</v>
      </c>
      <c r="L14" s="222" t="s">
        <v>590</v>
      </c>
      <c r="M14" s="222"/>
    </row>
    <row r="15" spans="1:13" s="226" customFormat="1" x14ac:dyDescent="0.25">
      <c r="A15" s="325"/>
      <c r="B15" s="222" t="s">
        <v>444</v>
      </c>
      <c r="C15" s="222" t="s">
        <v>584</v>
      </c>
      <c r="D15" s="223" t="s">
        <v>580</v>
      </c>
      <c r="E15" s="224" t="s">
        <v>580</v>
      </c>
      <c r="F15" s="223" t="s">
        <v>580</v>
      </c>
      <c r="G15" s="224" t="s">
        <v>580</v>
      </c>
      <c r="H15" s="225">
        <f>SUM($H$9:$H$14)*SUM($J$74:$J$78)</f>
        <v>8994.2278123377237</v>
      </c>
      <c r="I15" s="222" t="s">
        <v>583</v>
      </c>
      <c r="J15" s="228" t="s">
        <v>580</v>
      </c>
      <c r="K15" s="231"/>
      <c r="L15" s="222"/>
      <c r="M15" s="222"/>
    </row>
    <row r="16" spans="1:13" s="226" customFormat="1" x14ac:dyDescent="0.25">
      <c r="A16" s="325"/>
      <c r="B16" s="222" t="s">
        <v>444</v>
      </c>
      <c r="C16" s="222" t="s">
        <v>585</v>
      </c>
      <c r="D16" s="223" t="s">
        <v>580</v>
      </c>
      <c r="E16" s="224" t="s">
        <v>580</v>
      </c>
      <c r="F16" s="223" t="s">
        <v>580</v>
      </c>
      <c r="G16" s="224" t="s">
        <v>580</v>
      </c>
      <c r="H16" s="225">
        <f>SUM($H$9:$H$15)*SUM(J82:$J$88)</f>
        <v>14780.514371608328</v>
      </c>
      <c r="I16" s="222" t="s">
        <v>583</v>
      </c>
      <c r="J16" s="228" t="s">
        <v>580</v>
      </c>
      <c r="K16" s="231"/>
      <c r="L16" s="222"/>
      <c r="M16" s="222"/>
    </row>
    <row r="17" spans="1:13" s="226" customFormat="1" x14ac:dyDescent="0.25">
      <c r="A17" s="325"/>
      <c r="B17" s="222" t="s">
        <v>444</v>
      </c>
      <c r="C17" s="222" t="s">
        <v>579</v>
      </c>
      <c r="D17" s="230">
        <f>Equalization!D48</f>
        <v>4071.876817979683</v>
      </c>
      <c r="E17" s="224" t="s">
        <v>477</v>
      </c>
      <c r="F17" s="232">
        <f>AVERAGE(0.16896,0.21847)</f>
        <v>0.193715</v>
      </c>
      <c r="G17" s="224" t="s">
        <v>68</v>
      </c>
      <c r="H17" s="225">
        <f>F17*D17</f>
        <v>788.78361779493423</v>
      </c>
      <c r="I17" s="222" t="s">
        <v>583</v>
      </c>
      <c r="J17" s="222"/>
      <c r="K17" s="222"/>
      <c r="L17" s="222"/>
      <c r="M17" s="222"/>
    </row>
    <row r="18" spans="1:13" x14ac:dyDescent="0.25">
      <c r="A18" s="324"/>
      <c r="B18" s="221" t="s">
        <v>351</v>
      </c>
      <c r="C18" s="221" t="s">
        <v>579</v>
      </c>
      <c r="D18" s="318">
        <f>'Fine Screen'!C10</f>
        <v>3202.3558015615877</v>
      </c>
      <c r="E18" s="328" t="s">
        <v>477</v>
      </c>
      <c r="F18" s="232">
        <f>AVERAGE(0.16896,0.21847)</f>
        <v>0.193715</v>
      </c>
      <c r="G18" s="328" t="s">
        <v>68</v>
      </c>
      <c r="H18" s="233">
        <f>F18*D18</f>
        <v>620.34435409950299</v>
      </c>
      <c r="I18" s="234" t="s">
        <v>440</v>
      </c>
      <c r="J18" s="221">
        <v>1</v>
      </c>
      <c r="K18" s="221"/>
      <c r="L18" s="221" t="s">
        <v>580</v>
      </c>
      <c r="M18" s="221"/>
    </row>
    <row r="19" spans="1:13" x14ac:dyDescent="0.25">
      <c r="A19" s="324"/>
      <c r="B19" s="221" t="s">
        <v>351</v>
      </c>
      <c r="C19" s="221" t="s">
        <v>598</v>
      </c>
      <c r="D19" s="318">
        <v>2</v>
      </c>
      <c r="E19" s="328" t="s">
        <v>599</v>
      </c>
      <c r="F19" s="235">
        <v>18174.578710692807</v>
      </c>
      <c r="G19" s="328" t="s">
        <v>441</v>
      </c>
      <c r="H19" s="233">
        <f>F19*D19</f>
        <v>36349.157421385615</v>
      </c>
      <c r="I19" s="234" t="s">
        <v>600</v>
      </c>
      <c r="J19" s="221">
        <v>15</v>
      </c>
      <c r="K19" s="221" t="s">
        <v>548</v>
      </c>
      <c r="L19" s="222" t="s">
        <v>780</v>
      </c>
      <c r="M19" s="221"/>
    </row>
    <row r="20" spans="1:13" x14ac:dyDescent="0.25">
      <c r="A20" s="324"/>
      <c r="B20" s="221" t="s">
        <v>351</v>
      </c>
      <c r="C20" s="221" t="s">
        <v>584</v>
      </c>
      <c r="D20" s="236" t="s">
        <v>580</v>
      </c>
      <c r="E20" s="328" t="s">
        <v>580</v>
      </c>
      <c r="F20" s="236" t="s">
        <v>580</v>
      </c>
      <c r="G20" s="328" t="s">
        <v>580</v>
      </c>
      <c r="H20" s="227">
        <f>H19*SUM($J$74:$J$78)</f>
        <v>16357.120839623527</v>
      </c>
      <c r="I20" s="221" t="s">
        <v>583</v>
      </c>
      <c r="J20" s="221"/>
      <c r="K20" s="221"/>
      <c r="L20" s="221"/>
      <c r="M20" s="221"/>
    </row>
    <row r="21" spans="1:13" x14ac:dyDescent="0.25">
      <c r="A21" s="324"/>
      <c r="B21" s="221" t="s">
        <v>351</v>
      </c>
      <c r="C21" s="221" t="s">
        <v>585</v>
      </c>
      <c r="D21" s="236" t="s">
        <v>580</v>
      </c>
      <c r="E21" s="328" t="s">
        <v>580</v>
      </c>
      <c r="F21" s="236" t="s">
        <v>580</v>
      </c>
      <c r="G21" s="328" t="s">
        <v>580</v>
      </c>
      <c r="H21" s="227">
        <f>SUM(H19:H20)*SUM($J$82:$J$88)</f>
        <v>26880.201913114663</v>
      </c>
      <c r="I21" s="221" t="s">
        <v>583</v>
      </c>
      <c r="J21" s="221"/>
      <c r="K21" s="221"/>
      <c r="L21" s="237"/>
      <c r="M21" s="221"/>
    </row>
    <row r="22" spans="1:13" x14ac:dyDescent="0.25">
      <c r="A22" s="324"/>
      <c r="B22" s="326" t="s">
        <v>303</v>
      </c>
      <c r="C22" s="221" t="s">
        <v>601</v>
      </c>
      <c r="D22" s="236">
        <v>2</v>
      </c>
      <c r="E22" s="328" t="s">
        <v>582</v>
      </c>
      <c r="F22" s="225">
        <v>5012.7738358875968</v>
      </c>
      <c r="G22" s="328" t="s">
        <v>441</v>
      </c>
      <c r="H22" s="233">
        <f>F22*D22</f>
        <v>10025.547671775194</v>
      </c>
      <c r="I22" s="221" t="s">
        <v>583</v>
      </c>
      <c r="J22" s="221">
        <v>15</v>
      </c>
      <c r="K22" s="221" t="s">
        <v>548</v>
      </c>
      <c r="L22" s="222" t="s">
        <v>780</v>
      </c>
      <c r="M22" s="221"/>
    </row>
    <row r="23" spans="1:13" x14ac:dyDescent="0.25">
      <c r="A23" s="324"/>
      <c r="B23" s="326" t="s">
        <v>303</v>
      </c>
      <c r="C23" s="221" t="s">
        <v>602</v>
      </c>
      <c r="D23" s="236" t="s">
        <v>580</v>
      </c>
      <c r="E23" s="328" t="s">
        <v>580</v>
      </c>
      <c r="F23" s="238">
        <v>1</v>
      </c>
      <c r="G23" s="328"/>
      <c r="H23" s="233">
        <f>H22*F23</f>
        <v>10025.547671775194</v>
      </c>
      <c r="I23" s="221" t="s">
        <v>583</v>
      </c>
      <c r="J23" s="221"/>
      <c r="K23" s="221"/>
      <c r="L23" s="221"/>
      <c r="M23" s="221"/>
    </row>
    <row r="24" spans="1:13" x14ac:dyDescent="0.25">
      <c r="A24" s="324"/>
      <c r="B24" s="326" t="s">
        <v>303</v>
      </c>
      <c r="C24" s="221" t="s">
        <v>603</v>
      </c>
      <c r="D24" s="318">
        <f>AeMBR!C24</f>
        <v>366.71176657499996</v>
      </c>
      <c r="E24" s="328" t="s">
        <v>39</v>
      </c>
      <c r="F24" s="233">
        <v>79.6621672888365</v>
      </c>
      <c r="G24" s="328" t="s">
        <v>604</v>
      </c>
      <c r="H24" s="233">
        <f>F24*D24</f>
        <v>29213.054095682408</v>
      </c>
      <c r="I24" s="221" t="s">
        <v>583</v>
      </c>
      <c r="J24" s="221">
        <v>10</v>
      </c>
      <c r="K24" s="221" t="s">
        <v>548</v>
      </c>
      <c r="L24" s="221" t="s">
        <v>605</v>
      </c>
      <c r="M24" s="221"/>
    </row>
    <row r="25" spans="1:13" x14ac:dyDescent="0.25">
      <c r="A25" s="324"/>
      <c r="B25" s="326" t="s">
        <v>303</v>
      </c>
      <c r="C25" s="221" t="s">
        <v>606</v>
      </c>
      <c r="D25" s="327">
        <v>6</v>
      </c>
      <c r="E25" s="328" t="s">
        <v>582</v>
      </c>
      <c r="F25" s="221">
        <v>1734</v>
      </c>
      <c r="G25" s="328" t="s">
        <v>607</v>
      </c>
      <c r="H25" s="239">
        <f>F25*D25</f>
        <v>10404</v>
      </c>
      <c r="I25" s="221" t="s">
        <v>583</v>
      </c>
      <c r="J25" s="221">
        <v>25</v>
      </c>
      <c r="K25" s="221" t="s">
        <v>548</v>
      </c>
      <c r="L25" s="221" t="s">
        <v>608</v>
      </c>
      <c r="M25" s="231"/>
    </row>
    <row r="26" spans="1:13" x14ac:dyDescent="0.25">
      <c r="A26" s="324"/>
      <c r="B26" s="326" t="s">
        <v>303</v>
      </c>
      <c r="C26" s="221" t="s">
        <v>609</v>
      </c>
      <c r="D26" s="223" t="s">
        <v>580</v>
      </c>
      <c r="E26" s="224" t="s">
        <v>580</v>
      </c>
      <c r="F26" s="238">
        <v>1.5</v>
      </c>
      <c r="G26" s="328"/>
      <c r="H26" s="239">
        <f>H25*F26</f>
        <v>15606</v>
      </c>
      <c r="I26" s="221" t="s">
        <v>583</v>
      </c>
      <c r="J26" s="221"/>
      <c r="K26" s="221"/>
      <c r="L26" s="221"/>
      <c r="M26" s="231"/>
    </row>
    <row r="27" spans="1:13" x14ac:dyDescent="0.25">
      <c r="A27" s="324"/>
      <c r="B27" s="326" t="s">
        <v>303</v>
      </c>
      <c r="C27" s="221" t="s">
        <v>832</v>
      </c>
      <c r="D27" s="223">
        <v>2</v>
      </c>
      <c r="E27" s="328" t="s">
        <v>582</v>
      </c>
      <c r="F27" s="238">
        <v>628.52506570676712</v>
      </c>
      <c r="G27" s="328" t="s">
        <v>607</v>
      </c>
      <c r="H27" s="239">
        <f>F27*D27</f>
        <v>1257.0501314135342</v>
      </c>
      <c r="I27" s="221" t="s">
        <v>583</v>
      </c>
      <c r="J27" s="221"/>
      <c r="K27" s="221"/>
      <c r="L27" s="221"/>
      <c r="M27" s="231"/>
    </row>
    <row r="28" spans="1:13" x14ac:dyDescent="0.25">
      <c r="A28" s="324"/>
      <c r="B28" s="326" t="s">
        <v>303</v>
      </c>
      <c r="C28" s="221" t="s">
        <v>833</v>
      </c>
      <c r="D28" s="223" t="s">
        <v>580</v>
      </c>
      <c r="E28" s="224" t="s">
        <v>580</v>
      </c>
      <c r="F28" s="238">
        <v>1.5</v>
      </c>
      <c r="G28" s="328"/>
      <c r="H28" s="239">
        <f>H27*F28</f>
        <v>1885.5751971203013</v>
      </c>
      <c r="I28" s="221" t="s">
        <v>583</v>
      </c>
      <c r="J28" s="221"/>
      <c r="K28" s="221"/>
      <c r="L28" s="221"/>
      <c r="M28" s="231"/>
    </row>
    <row r="29" spans="1:13" x14ac:dyDescent="0.25">
      <c r="A29" s="324"/>
      <c r="B29" s="326" t="s">
        <v>303</v>
      </c>
      <c r="C29" s="221" t="s">
        <v>610</v>
      </c>
      <c r="D29" s="327">
        <f>AeMBR!C117</f>
        <v>21</v>
      </c>
      <c r="E29" s="328" t="s">
        <v>582</v>
      </c>
      <c r="F29" s="240">
        <v>58.801390578534736</v>
      </c>
      <c r="G29" s="328" t="s">
        <v>441</v>
      </c>
      <c r="H29" s="239">
        <f>F29*D29</f>
        <v>1234.8292021492296</v>
      </c>
      <c r="I29" s="221" t="s">
        <v>583</v>
      </c>
      <c r="J29" s="221">
        <v>10</v>
      </c>
      <c r="K29" s="221" t="s">
        <v>548</v>
      </c>
      <c r="L29" s="221" t="s">
        <v>781</v>
      </c>
      <c r="M29" s="231"/>
    </row>
    <row r="30" spans="1:13" x14ac:dyDescent="0.25">
      <c r="A30" s="324"/>
      <c r="B30" s="326" t="s">
        <v>303</v>
      </c>
      <c r="C30" s="221" t="s">
        <v>611</v>
      </c>
      <c r="D30" s="327">
        <f>AeMBR!C118</f>
        <v>7</v>
      </c>
      <c r="E30" s="328" t="s">
        <v>582</v>
      </c>
      <c r="F30" s="240">
        <v>35.483597762908893</v>
      </c>
      <c r="G30" s="328" t="s">
        <v>441</v>
      </c>
      <c r="H30" s="239">
        <f>F30*D30</f>
        <v>248.38518434036226</v>
      </c>
      <c r="I30" s="221" t="s">
        <v>583</v>
      </c>
      <c r="J30" s="221">
        <v>10</v>
      </c>
      <c r="K30" s="221" t="s">
        <v>548</v>
      </c>
      <c r="L30" s="221" t="s">
        <v>781</v>
      </c>
      <c r="M30" s="231"/>
    </row>
    <row r="31" spans="1:13" x14ac:dyDescent="0.25">
      <c r="A31" s="324"/>
      <c r="B31" s="326" t="s">
        <v>303</v>
      </c>
      <c r="C31" s="221" t="s">
        <v>612</v>
      </c>
      <c r="D31" s="327">
        <v>3</v>
      </c>
      <c r="E31" s="328" t="s">
        <v>582</v>
      </c>
      <c r="F31" s="241">
        <v>16223</v>
      </c>
      <c r="G31" s="328" t="s">
        <v>441</v>
      </c>
      <c r="H31" s="239">
        <f>F31*D31</f>
        <v>48669</v>
      </c>
      <c r="I31" s="221" t="s">
        <v>583</v>
      </c>
      <c r="J31" s="221">
        <v>20</v>
      </c>
      <c r="K31" s="221" t="s">
        <v>548</v>
      </c>
      <c r="L31" s="221" t="s">
        <v>783</v>
      </c>
      <c r="M31" s="231"/>
    </row>
    <row r="32" spans="1:13" x14ac:dyDescent="0.25">
      <c r="A32" s="324"/>
      <c r="B32" s="326" t="s">
        <v>303</v>
      </c>
      <c r="C32" s="221" t="s">
        <v>613</v>
      </c>
      <c r="D32" s="236" t="s">
        <v>580</v>
      </c>
      <c r="E32" s="328" t="s">
        <v>580</v>
      </c>
      <c r="F32" s="242">
        <v>0.1</v>
      </c>
      <c r="G32" s="328" t="s">
        <v>614</v>
      </c>
      <c r="H32" s="239">
        <f>SUM($H$29:$H$31)*F32</f>
        <v>5015.2214386489595</v>
      </c>
      <c r="I32" s="221" t="s">
        <v>583</v>
      </c>
      <c r="J32" s="221"/>
      <c r="K32" s="221"/>
      <c r="L32" s="221"/>
      <c r="M32" s="231"/>
    </row>
    <row r="33" spans="1:13" x14ac:dyDescent="0.25">
      <c r="A33" s="324"/>
      <c r="B33" s="326" t="s">
        <v>303</v>
      </c>
      <c r="C33" s="221" t="s">
        <v>591</v>
      </c>
      <c r="D33" s="327">
        <f>D31*25</f>
        <v>75</v>
      </c>
      <c r="E33" s="328" t="s">
        <v>615</v>
      </c>
      <c r="F33" s="240">
        <v>50</v>
      </c>
      <c r="G33" s="328" t="s">
        <v>616</v>
      </c>
      <c r="H33" s="239">
        <f>F33*D33</f>
        <v>3750</v>
      </c>
      <c r="I33" s="221" t="s">
        <v>583</v>
      </c>
      <c r="J33" s="221"/>
      <c r="K33" s="221"/>
      <c r="L33" s="221"/>
      <c r="M33" s="231"/>
    </row>
    <row r="34" spans="1:13" x14ac:dyDescent="0.25">
      <c r="A34" s="324"/>
      <c r="B34" s="326" t="s">
        <v>303</v>
      </c>
      <c r="C34" s="221" t="s">
        <v>617</v>
      </c>
      <c r="D34" s="236" t="s">
        <v>580</v>
      </c>
      <c r="E34" s="328" t="s">
        <v>580</v>
      </c>
      <c r="F34" s="236" t="s">
        <v>580</v>
      </c>
      <c r="G34" s="328" t="s">
        <v>580</v>
      </c>
      <c r="H34" s="239">
        <v>7627.1771609891312</v>
      </c>
      <c r="I34" s="221" t="s">
        <v>583</v>
      </c>
      <c r="J34" s="221">
        <v>40</v>
      </c>
      <c r="K34" s="221" t="s">
        <v>548</v>
      </c>
      <c r="L34" s="221" t="s">
        <v>784</v>
      </c>
      <c r="M34" s="231"/>
    </row>
    <row r="35" spans="1:13" x14ac:dyDescent="0.25">
      <c r="A35" s="324"/>
      <c r="B35" s="326" t="s">
        <v>303</v>
      </c>
      <c r="C35" s="222" t="s">
        <v>586</v>
      </c>
      <c r="D35" s="230">
        <f>AeMBR!C99</f>
        <v>33.987059380975609</v>
      </c>
      <c r="E35" s="224" t="s">
        <v>587</v>
      </c>
      <c r="F35" s="222">
        <v>258</v>
      </c>
      <c r="G35" s="224" t="s">
        <v>588</v>
      </c>
      <c r="H35" s="239">
        <f>F35*D35</f>
        <v>8768.6613202917069</v>
      </c>
      <c r="I35" s="221" t="s">
        <v>583</v>
      </c>
      <c r="J35" s="222">
        <v>40</v>
      </c>
      <c r="K35" s="222" t="s">
        <v>589</v>
      </c>
      <c r="L35" s="222" t="s">
        <v>590</v>
      </c>
      <c r="M35" s="221"/>
    </row>
    <row r="36" spans="1:13" x14ac:dyDescent="0.25">
      <c r="A36" s="324"/>
      <c r="B36" s="326" t="s">
        <v>303</v>
      </c>
      <c r="C36" s="222" t="s">
        <v>591</v>
      </c>
      <c r="D36" s="230">
        <f>D35</f>
        <v>33.987059380975609</v>
      </c>
      <c r="E36" s="224" t="str">
        <f>E35</f>
        <v>m3/tank</v>
      </c>
      <c r="F36" s="229">
        <v>397.88</v>
      </c>
      <c r="G36" s="224" t="s">
        <v>588</v>
      </c>
      <c r="H36" s="239">
        <f t="shared" ref="H36:H40" si="0">F36*D36</f>
        <v>13522.771186502576</v>
      </c>
      <c r="I36" s="221" t="s">
        <v>583</v>
      </c>
      <c r="J36" s="222">
        <v>40</v>
      </c>
      <c r="K36" s="222" t="s">
        <v>589</v>
      </c>
      <c r="L36" s="222" t="s">
        <v>590</v>
      </c>
      <c r="M36" s="221"/>
    </row>
    <row r="37" spans="1:13" x14ac:dyDescent="0.25">
      <c r="A37" s="324"/>
      <c r="B37" s="326" t="s">
        <v>303</v>
      </c>
      <c r="C37" s="222" t="s">
        <v>592</v>
      </c>
      <c r="D37" s="228">
        <f>AeMBR!C105*'Conversion Factors'!$D$36/2000</f>
        <v>2.2319446815923878</v>
      </c>
      <c r="E37" s="224" t="s">
        <v>593</v>
      </c>
      <c r="F37" s="222">
        <v>983</v>
      </c>
      <c r="G37" s="224" t="s">
        <v>594</v>
      </c>
      <c r="H37" s="239">
        <f t="shared" si="0"/>
        <v>2194.0016220053171</v>
      </c>
      <c r="I37" s="221" t="s">
        <v>583</v>
      </c>
      <c r="J37" s="222">
        <v>40</v>
      </c>
      <c r="K37" s="222" t="s">
        <v>589</v>
      </c>
      <c r="L37" s="222" t="s">
        <v>590</v>
      </c>
      <c r="M37" s="221"/>
    </row>
    <row r="38" spans="1:13" x14ac:dyDescent="0.25">
      <c r="A38" s="324"/>
      <c r="B38" s="326" t="s">
        <v>303</v>
      </c>
      <c r="C38" s="222" t="s">
        <v>591</v>
      </c>
      <c r="D38" s="228">
        <f>D37</f>
        <v>2.2319446815923878</v>
      </c>
      <c r="E38" s="224" t="s">
        <v>593</v>
      </c>
      <c r="F38" s="222">
        <v>1374</v>
      </c>
      <c r="G38" s="224" t="s">
        <v>594</v>
      </c>
      <c r="H38" s="239">
        <f t="shared" si="0"/>
        <v>3066.691992507941</v>
      </c>
      <c r="I38" s="221" t="s">
        <v>583</v>
      </c>
      <c r="J38" s="222">
        <v>40</v>
      </c>
      <c r="K38" s="222" t="s">
        <v>589</v>
      </c>
      <c r="L38" s="222" t="s">
        <v>590</v>
      </c>
      <c r="M38" s="221"/>
    </row>
    <row r="39" spans="1:13" x14ac:dyDescent="0.25">
      <c r="A39" s="324"/>
      <c r="B39" s="326" t="s">
        <v>303</v>
      </c>
      <c r="C39" s="222" t="s">
        <v>595</v>
      </c>
      <c r="D39" s="230">
        <f>SUM(AeMBR!$C$94:$C$95)*'Conversion Factors'!$D$7</f>
        <v>875.50003687112201</v>
      </c>
      <c r="E39" s="224" t="s">
        <v>596</v>
      </c>
      <c r="F39" s="222">
        <v>2</v>
      </c>
      <c r="G39" s="224" t="s">
        <v>618</v>
      </c>
      <c r="H39" s="239">
        <f t="shared" si="0"/>
        <v>1751.000073742244</v>
      </c>
      <c r="I39" s="221" t="s">
        <v>583</v>
      </c>
      <c r="J39" s="222">
        <v>40</v>
      </c>
      <c r="K39" s="222" t="s">
        <v>589</v>
      </c>
      <c r="L39" s="222" t="s">
        <v>590</v>
      </c>
      <c r="M39" s="221"/>
    </row>
    <row r="40" spans="1:13" x14ac:dyDescent="0.25">
      <c r="A40" s="324"/>
      <c r="B40" s="326" t="s">
        <v>303</v>
      </c>
      <c r="C40" s="222" t="s">
        <v>597</v>
      </c>
      <c r="D40" s="230">
        <f>D39</f>
        <v>875.50003687112201</v>
      </c>
      <c r="E40" s="224" t="str">
        <f>E39</f>
        <v>ft2/installation</v>
      </c>
      <c r="F40" s="222">
        <v>2.5499999999999998</v>
      </c>
      <c r="G40" s="224" t="s">
        <v>618</v>
      </c>
      <c r="H40" s="239">
        <f t="shared" si="0"/>
        <v>2232.5250940213609</v>
      </c>
      <c r="I40" s="221" t="s">
        <v>583</v>
      </c>
      <c r="J40" s="222">
        <v>40</v>
      </c>
      <c r="K40" s="222" t="s">
        <v>589</v>
      </c>
      <c r="L40" s="222" t="s">
        <v>590</v>
      </c>
      <c r="M40" s="221"/>
    </row>
    <row r="41" spans="1:13" x14ac:dyDescent="0.25">
      <c r="A41" s="324"/>
      <c r="B41" s="326" t="s">
        <v>303</v>
      </c>
      <c r="C41" s="222" t="s">
        <v>619</v>
      </c>
      <c r="D41" s="223" t="s">
        <v>580</v>
      </c>
      <c r="E41" s="224" t="s">
        <v>580</v>
      </c>
      <c r="F41" s="243">
        <v>0.1</v>
      </c>
      <c r="G41" s="224" t="s">
        <v>620</v>
      </c>
      <c r="H41" s="239">
        <f>SUM(H22:H40)*F41</f>
        <v>17649.703904296544</v>
      </c>
      <c r="I41" s="221" t="s">
        <v>583</v>
      </c>
      <c r="J41" s="221"/>
      <c r="K41" s="221"/>
      <c r="L41" s="221"/>
      <c r="M41" s="221"/>
    </row>
    <row r="42" spans="1:13" x14ac:dyDescent="0.25">
      <c r="A42" s="324"/>
      <c r="B42" s="326" t="s">
        <v>303</v>
      </c>
      <c r="C42" s="221" t="s">
        <v>584</v>
      </c>
      <c r="D42" s="236" t="s">
        <v>580</v>
      </c>
      <c r="E42" s="328" t="s">
        <v>580</v>
      </c>
      <c r="F42" s="236" t="s">
        <v>580</v>
      </c>
      <c r="G42" s="328" t="s">
        <v>580</v>
      </c>
      <c r="H42" s="227">
        <f>SUM(H22:H41)*SUM($J$74:$J$78)</f>
        <v>87366.03432626788</v>
      </c>
      <c r="I42" s="221" t="s">
        <v>583</v>
      </c>
      <c r="J42" s="221"/>
      <c r="K42" s="221"/>
      <c r="L42" s="221"/>
      <c r="M42" s="221"/>
    </row>
    <row r="43" spans="1:13" x14ac:dyDescent="0.25">
      <c r="A43" s="324"/>
      <c r="B43" s="326" t="s">
        <v>303</v>
      </c>
      <c r="C43" s="221" t="s">
        <v>585</v>
      </c>
      <c r="D43" s="236" t="s">
        <v>580</v>
      </c>
      <c r="E43" s="328" t="s">
        <v>580</v>
      </c>
      <c r="F43" s="236" t="s">
        <v>580</v>
      </c>
      <c r="G43" s="328" t="s">
        <v>580</v>
      </c>
      <c r="H43" s="227">
        <f>SUM(H22:H42)*SUM($J$82:$J$88)</f>
        <v>143571.51640950024</v>
      </c>
      <c r="I43" s="221" t="s">
        <v>583</v>
      </c>
      <c r="J43" s="221"/>
      <c r="K43" s="221"/>
      <c r="L43" s="221"/>
      <c r="M43" s="221"/>
    </row>
    <row r="44" spans="1:13" x14ac:dyDescent="0.25">
      <c r="A44" s="324"/>
      <c r="B44" s="326" t="s">
        <v>303</v>
      </c>
      <c r="C44" s="221" t="s">
        <v>824</v>
      </c>
      <c r="D44" s="318">
        <f>AeMBR!C45/0.15</f>
        <v>205.51178917928758</v>
      </c>
      <c r="E44" s="328" t="s">
        <v>825</v>
      </c>
      <c r="F44" s="236">
        <v>2</v>
      </c>
      <c r="G44" s="328" t="s">
        <v>826</v>
      </c>
      <c r="H44" s="227">
        <f>F44*D44</f>
        <v>411.02357835857515</v>
      </c>
      <c r="I44" s="221" t="s">
        <v>440</v>
      </c>
      <c r="J44" s="221"/>
      <c r="K44" s="221"/>
      <c r="L44" s="221"/>
      <c r="M44" s="221"/>
    </row>
    <row r="45" spans="1:13" s="226" customFormat="1" x14ac:dyDescent="0.25">
      <c r="B45" s="222" t="s">
        <v>621</v>
      </c>
      <c r="C45" s="222" t="s">
        <v>622</v>
      </c>
      <c r="D45" s="223">
        <v>1</v>
      </c>
      <c r="E45" s="224" t="s">
        <v>623</v>
      </c>
      <c r="F45" s="230">
        <v>46300.990099009898</v>
      </c>
      <c r="G45" s="224" t="s">
        <v>583</v>
      </c>
      <c r="H45" s="227">
        <f>F45*D45</f>
        <v>46300.990099009898</v>
      </c>
      <c r="I45" s="222" t="s">
        <v>583</v>
      </c>
      <c r="J45" s="222">
        <v>25</v>
      </c>
      <c r="K45" s="222" t="s">
        <v>624</v>
      </c>
      <c r="L45" s="222" t="s">
        <v>608</v>
      </c>
      <c r="M45" s="222"/>
    </row>
    <row r="46" spans="1:13" s="226" customFormat="1" x14ac:dyDescent="0.25">
      <c r="B46" s="222" t="s">
        <v>621</v>
      </c>
      <c r="C46" s="222" t="s">
        <v>584</v>
      </c>
      <c r="D46" s="223" t="s">
        <v>580</v>
      </c>
      <c r="E46" s="224" t="s">
        <v>580</v>
      </c>
      <c r="F46" s="223" t="s">
        <v>580</v>
      </c>
      <c r="G46" s="224" t="s">
        <v>580</v>
      </c>
      <c r="H46" s="227">
        <f>H45*SUM(J74:J78)</f>
        <v>20835.445544554455</v>
      </c>
      <c r="I46" s="222" t="s">
        <v>583</v>
      </c>
      <c r="J46" s="228" t="s">
        <v>580</v>
      </c>
      <c r="K46" s="222"/>
      <c r="L46" s="222"/>
      <c r="M46" s="222"/>
    </row>
    <row r="47" spans="1:13" s="226" customFormat="1" x14ac:dyDescent="0.25">
      <c r="B47" s="222" t="s">
        <v>621</v>
      </c>
      <c r="C47" s="222" t="s">
        <v>585</v>
      </c>
      <c r="D47" s="223" t="s">
        <v>580</v>
      </c>
      <c r="E47" s="224" t="s">
        <v>580</v>
      </c>
      <c r="F47" s="223" t="s">
        <v>580</v>
      </c>
      <c r="G47" s="224" t="s">
        <v>580</v>
      </c>
      <c r="H47" s="227">
        <f>SUM(H45:H46)*SUM(J82:J88)</f>
        <v>34239.582178217825</v>
      </c>
      <c r="I47" s="222" t="s">
        <v>583</v>
      </c>
      <c r="J47" s="228" t="s">
        <v>580</v>
      </c>
      <c r="K47" s="222"/>
      <c r="L47" s="222"/>
      <c r="M47" s="222"/>
    </row>
    <row r="48" spans="1:13" s="226" customFormat="1" x14ac:dyDescent="0.25">
      <c r="B48" s="222" t="s">
        <v>621</v>
      </c>
      <c r="C48" s="222" t="s">
        <v>586</v>
      </c>
      <c r="D48" s="244">
        <f>Chlorine!C105</f>
        <v>4.1090977350879996</v>
      </c>
      <c r="E48" s="224" t="s">
        <v>587</v>
      </c>
      <c r="F48" s="222">
        <v>258</v>
      </c>
      <c r="G48" s="224" t="s">
        <v>588</v>
      </c>
      <c r="H48" s="227">
        <f t="shared" ref="H48:H53" si="1">F48*D48</f>
        <v>1060.1472156527038</v>
      </c>
      <c r="I48" s="222" t="s">
        <v>583</v>
      </c>
      <c r="J48" s="222">
        <v>40</v>
      </c>
      <c r="K48" s="222" t="s">
        <v>589</v>
      </c>
      <c r="L48" s="222" t="s">
        <v>590</v>
      </c>
      <c r="M48" s="222"/>
    </row>
    <row r="49" spans="2:13" s="226" customFormat="1" x14ac:dyDescent="0.25">
      <c r="B49" s="222" t="s">
        <v>621</v>
      </c>
      <c r="C49" s="222" t="s">
        <v>591</v>
      </c>
      <c r="D49" s="244">
        <f>D48</f>
        <v>4.1090977350879996</v>
      </c>
      <c r="E49" s="224" t="str">
        <f>E48</f>
        <v>m3/tank</v>
      </c>
      <c r="F49" s="229">
        <v>397.88</v>
      </c>
      <c r="G49" s="224" t="s">
        <v>588</v>
      </c>
      <c r="H49" s="227">
        <f t="shared" si="1"/>
        <v>1634.9278068368133</v>
      </c>
      <c r="I49" s="222" t="s">
        <v>583</v>
      </c>
      <c r="J49" s="222">
        <v>40</v>
      </c>
      <c r="K49" s="222" t="s">
        <v>589</v>
      </c>
      <c r="L49" s="222" t="s">
        <v>590</v>
      </c>
      <c r="M49" s="222"/>
    </row>
    <row r="50" spans="2:13" s="226" customFormat="1" x14ac:dyDescent="0.25">
      <c r="B50" s="222" t="s">
        <v>621</v>
      </c>
      <c r="C50" s="222" t="s">
        <v>592</v>
      </c>
      <c r="D50" s="244">
        <f>Chlorine!C111*'Conversion Factors'!$D$36/2000</f>
        <v>0.11295283167261976</v>
      </c>
      <c r="E50" s="224" t="s">
        <v>593</v>
      </c>
      <c r="F50" s="222">
        <v>983</v>
      </c>
      <c r="G50" s="224" t="s">
        <v>594</v>
      </c>
      <c r="H50" s="227">
        <f t="shared" si="1"/>
        <v>111.03263353418522</v>
      </c>
      <c r="I50" s="222" t="s">
        <v>583</v>
      </c>
      <c r="J50" s="222">
        <v>40</v>
      </c>
      <c r="K50" s="222" t="s">
        <v>589</v>
      </c>
      <c r="L50" s="222" t="s">
        <v>590</v>
      </c>
      <c r="M50" s="222"/>
    </row>
    <row r="51" spans="2:13" s="226" customFormat="1" x14ac:dyDescent="0.25">
      <c r="B51" s="222" t="s">
        <v>621</v>
      </c>
      <c r="C51" s="222" t="s">
        <v>591</v>
      </c>
      <c r="D51" s="244">
        <f>D50</f>
        <v>0.11295283167261976</v>
      </c>
      <c r="E51" s="224" t="s">
        <v>593</v>
      </c>
      <c r="F51" s="222">
        <v>1374</v>
      </c>
      <c r="G51" s="224" t="s">
        <v>594</v>
      </c>
      <c r="H51" s="227">
        <f t="shared" si="1"/>
        <v>155.19719071817954</v>
      </c>
      <c r="I51" s="222" t="s">
        <v>583</v>
      </c>
      <c r="J51" s="222">
        <v>40</v>
      </c>
      <c r="K51" s="222" t="s">
        <v>589</v>
      </c>
      <c r="L51" s="222" t="s">
        <v>590</v>
      </c>
      <c r="M51" s="222"/>
    </row>
    <row r="52" spans="2:13" s="226" customFormat="1" x14ac:dyDescent="0.25">
      <c r="B52" s="222" t="s">
        <v>621</v>
      </c>
      <c r="C52" s="222" t="s">
        <v>595</v>
      </c>
      <c r="D52" s="244">
        <f>Chlorine!C101</f>
        <v>87.575066924449743</v>
      </c>
      <c r="E52" s="224" t="s">
        <v>596</v>
      </c>
      <c r="F52" s="222">
        <v>2</v>
      </c>
      <c r="G52" s="224" t="s">
        <v>618</v>
      </c>
      <c r="H52" s="227">
        <f t="shared" si="1"/>
        <v>175.15013384889949</v>
      </c>
      <c r="I52" s="222" t="s">
        <v>583</v>
      </c>
      <c r="J52" s="222">
        <v>40</v>
      </c>
      <c r="K52" s="222" t="s">
        <v>589</v>
      </c>
      <c r="L52" s="222" t="s">
        <v>590</v>
      </c>
      <c r="M52" s="222"/>
    </row>
    <row r="53" spans="2:13" s="226" customFormat="1" x14ac:dyDescent="0.25">
      <c r="B53" s="222" t="s">
        <v>621</v>
      </c>
      <c r="C53" s="222" t="s">
        <v>597</v>
      </c>
      <c r="D53" s="244">
        <f>D52</f>
        <v>87.575066924449743</v>
      </c>
      <c r="E53" s="224" t="str">
        <f>E52</f>
        <v>ft2/installation</v>
      </c>
      <c r="F53" s="222">
        <v>2.5499999999999998</v>
      </c>
      <c r="G53" s="224" t="s">
        <v>618</v>
      </c>
      <c r="H53" s="227">
        <f t="shared" si="1"/>
        <v>223.31642065734684</v>
      </c>
      <c r="I53" s="222" t="s">
        <v>583</v>
      </c>
      <c r="J53" s="222">
        <v>40</v>
      </c>
      <c r="K53" s="222" t="s">
        <v>589</v>
      </c>
      <c r="L53" s="222" t="s">
        <v>590</v>
      </c>
      <c r="M53" s="222"/>
    </row>
    <row r="54" spans="2:13" s="226" customFormat="1" x14ac:dyDescent="0.25">
      <c r="B54" s="222" t="s">
        <v>621</v>
      </c>
      <c r="C54" s="222" t="s">
        <v>625</v>
      </c>
      <c r="D54" s="223" t="s">
        <v>580</v>
      </c>
      <c r="E54" s="224" t="s">
        <v>580</v>
      </c>
      <c r="F54" s="223" t="s">
        <v>580</v>
      </c>
      <c r="G54" s="224" t="s">
        <v>580</v>
      </c>
      <c r="H54" s="227">
        <f>SUM(H48:H53)*SUM($J$74:$J$78)</f>
        <v>1511.8971305616581</v>
      </c>
      <c r="I54" s="222" t="s">
        <v>583</v>
      </c>
      <c r="J54" s="222">
        <v>40</v>
      </c>
      <c r="K54" s="222" t="s">
        <v>589</v>
      </c>
      <c r="L54" s="222" t="s">
        <v>590</v>
      </c>
      <c r="M54" s="222"/>
    </row>
    <row r="55" spans="2:13" s="226" customFormat="1" x14ac:dyDescent="0.25">
      <c r="B55" s="222" t="s">
        <v>621</v>
      </c>
      <c r="C55" s="222" t="s">
        <v>626</v>
      </c>
      <c r="D55" s="223" t="s">
        <v>580</v>
      </c>
      <c r="E55" s="224" t="s">
        <v>580</v>
      </c>
      <c r="F55" s="223" t="s">
        <v>580</v>
      </c>
      <c r="G55" s="224" t="s">
        <v>580</v>
      </c>
      <c r="H55" s="227">
        <f>SUM(H48:H54)*SUM($J$82:$J$88)</f>
        <v>2484.5509512229914</v>
      </c>
      <c r="I55" s="222" t="s">
        <v>583</v>
      </c>
      <c r="J55" s="228" t="s">
        <v>580</v>
      </c>
      <c r="K55" s="222"/>
      <c r="L55" s="222"/>
      <c r="M55" s="222"/>
    </row>
    <row r="56" spans="2:13" s="226" customFormat="1" x14ac:dyDescent="0.25">
      <c r="B56" s="222" t="s">
        <v>621</v>
      </c>
      <c r="C56" s="222" t="s">
        <v>579</v>
      </c>
      <c r="D56" s="245">
        <f>Chlorine!C119</f>
        <v>1788.2639999999999</v>
      </c>
      <c r="E56" s="224" t="s">
        <v>477</v>
      </c>
      <c r="F56" s="232">
        <f>AVERAGE(0.16896,0.21847)</f>
        <v>0.193715</v>
      </c>
      <c r="G56" s="224" t="s">
        <v>68</v>
      </c>
      <c r="H56" s="227">
        <f>F56*D56</f>
        <v>346.41356076</v>
      </c>
      <c r="I56" s="246" t="s">
        <v>440</v>
      </c>
      <c r="J56" s="228" t="s">
        <v>580</v>
      </c>
      <c r="K56" s="222"/>
      <c r="L56" s="222"/>
      <c r="M56" s="222"/>
    </row>
    <row r="57" spans="2:13" s="226" customFormat="1" x14ac:dyDescent="0.25">
      <c r="B57" s="222" t="s">
        <v>621</v>
      </c>
      <c r="C57" s="222" t="s">
        <v>824</v>
      </c>
      <c r="D57" s="245">
        <f>Chlorine!C26/0.15</f>
        <v>922.74010279381855</v>
      </c>
      <c r="E57" s="224" t="s">
        <v>825</v>
      </c>
      <c r="F57" s="232">
        <v>2</v>
      </c>
      <c r="G57" s="224" t="s">
        <v>826</v>
      </c>
      <c r="H57" s="227">
        <f>F57*D57</f>
        <v>1845.4802055876371</v>
      </c>
      <c r="I57" s="246" t="s">
        <v>440</v>
      </c>
      <c r="J57" s="228"/>
      <c r="K57" s="222"/>
      <c r="L57" s="222"/>
      <c r="M57" s="222"/>
    </row>
    <row r="58" spans="2:13" x14ac:dyDescent="0.25">
      <c r="B58" s="222" t="s">
        <v>734</v>
      </c>
      <c r="C58" s="221" t="s">
        <v>627</v>
      </c>
      <c r="D58" s="236">
        <v>2</v>
      </c>
      <c r="E58" s="328" t="s">
        <v>628</v>
      </c>
      <c r="F58" s="221">
        <v>2596</v>
      </c>
      <c r="G58" s="328" t="s">
        <v>441</v>
      </c>
      <c r="H58" s="227">
        <f>F58*D58</f>
        <v>5192</v>
      </c>
      <c r="I58" s="221" t="s">
        <v>583</v>
      </c>
      <c r="J58" s="221">
        <v>30</v>
      </c>
      <c r="K58" s="231" t="s">
        <v>629</v>
      </c>
      <c r="L58" s="221" t="s">
        <v>630</v>
      </c>
      <c r="M58" s="221"/>
    </row>
    <row r="59" spans="2:13" x14ac:dyDescent="0.25">
      <c r="B59" s="222" t="s">
        <v>734</v>
      </c>
      <c r="C59" s="221" t="s">
        <v>827</v>
      </c>
      <c r="D59" s="236" t="s">
        <v>580</v>
      </c>
      <c r="E59" s="328" t="s">
        <v>580</v>
      </c>
      <c r="F59" s="319">
        <v>1</v>
      </c>
      <c r="G59" s="328" t="s">
        <v>828</v>
      </c>
      <c r="H59" s="227">
        <f>F59*H58</f>
        <v>5192</v>
      </c>
      <c r="I59" s="221" t="s">
        <v>583</v>
      </c>
      <c r="J59" s="221"/>
      <c r="K59" s="231"/>
      <c r="L59" s="221"/>
      <c r="M59" s="221"/>
    </row>
    <row r="60" spans="2:13" x14ac:dyDescent="0.25">
      <c r="B60" s="222" t="s">
        <v>734</v>
      </c>
      <c r="C60" s="221" t="s">
        <v>584</v>
      </c>
      <c r="D60" s="236" t="s">
        <v>580</v>
      </c>
      <c r="E60" s="328" t="s">
        <v>580</v>
      </c>
      <c r="F60" s="236" t="s">
        <v>580</v>
      </c>
      <c r="G60" s="328" t="s">
        <v>580</v>
      </c>
      <c r="H60" s="227">
        <f>SUM(H58:H59)*SUM($J$74:$J$78)</f>
        <v>4672.8</v>
      </c>
      <c r="I60" s="221" t="s">
        <v>583</v>
      </c>
      <c r="J60" s="221"/>
      <c r="K60" s="221"/>
      <c r="L60" s="221"/>
      <c r="M60" s="221"/>
    </row>
    <row r="61" spans="2:13" x14ac:dyDescent="0.25">
      <c r="B61" s="222" t="s">
        <v>734</v>
      </c>
      <c r="C61" s="221" t="s">
        <v>585</v>
      </c>
      <c r="D61" s="236" t="s">
        <v>580</v>
      </c>
      <c r="E61" s="328" t="s">
        <v>580</v>
      </c>
      <c r="F61" s="236" t="s">
        <v>580</v>
      </c>
      <c r="G61" s="328" t="s">
        <v>580</v>
      </c>
      <c r="H61" s="227">
        <f>SUM(H58:H60)*SUM($J$82:$J$88)</f>
        <v>7678.9679999999998</v>
      </c>
      <c r="I61" s="221" t="s">
        <v>583</v>
      </c>
      <c r="J61" s="221"/>
      <c r="K61" s="221"/>
      <c r="L61" s="237"/>
      <c r="M61" s="221"/>
    </row>
    <row r="62" spans="2:13" x14ac:dyDescent="0.25">
      <c r="B62" s="222" t="s">
        <v>734</v>
      </c>
      <c r="C62" s="221" t="s">
        <v>631</v>
      </c>
      <c r="D62" s="236">
        <v>2</v>
      </c>
      <c r="E62" s="328" t="s">
        <v>632</v>
      </c>
      <c r="F62" s="221">
        <v>240</v>
      </c>
      <c r="G62" s="328" t="s">
        <v>441</v>
      </c>
      <c r="H62" s="227">
        <f>F62*D62</f>
        <v>480</v>
      </c>
      <c r="I62" s="221" t="s">
        <v>583</v>
      </c>
      <c r="J62" s="233">
        <f>12000/8760</f>
        <v>1.3698630136986301</v>
      </c>
      <c r="K62" s="231" t="s">
        <v>629</v>
      </c>
      <c r="L62" s="218" t="s">
        <v>633</v>
      </c>
      <c r="M62" s="221"/>
    </row>
    <row r="63" spans="2:13" x14ac:dyDescent="0.25">
      <c r="B63" s="222" t="s">
        <v>734</v>
      </c>
      <c r="C63" s="221" t="s">
        <v>631</v>
      </c>
      <c r="D63" s="236">
        <v>2</v>
      </c>
      <c r="E63" s="328" t="s">
        <v>634</v>
      </c>
      <c r="F63" s="221">
        <v>114</v>
      </c>
      <c r="G63" s="328" t="s">
        <v>441</v>
      </c>
      <c r="H63" s="227">
        <f>F63*D63</f>
        <v>228</v>
      </c>
      <c r="I63" s="221" t="s">
        <v>583</v>
      </c>
      <c r="J63" s="221">
        <v>5</v>
      </c>
      <c r="K63" s="231" t="s">
        <v>629</v>
      </c>
      <c r="L63" s="221" t="s">
        <v>635</v>
      </c>
      <c r="M63" s="221"/>
    </row>
    <row r="64" spans="2:13" x14ac:dyDescent="0.25">
      <c r="B64" s="222" t="s">
        <v>734</v>
      </c>
      <c r="C64" s="221" t="s">
        <v>636</v>
      </c>
      <c r="D64" s="318">
        <f>UV!C38</f>
        <v>1227.24</v>
      </c>
      <c r="E64" s="328" t="s">
        <v>477</v>
      </c>
      <c r="F64" s="232">
        <f>AVERAGE(0.16896,0.21847)</f>
        <v>0.193715</v>
      </c>
      <c r="G64" s="224" t="s">
        <v>68</v>
      </c>
      <c r="H64" s="227">
        <f>F64*D64</f>
        <v>237.73479660000001</v>
      </c>
      <c r="I64" s="246" t="s">
        <v>440</v>
      </c>
      <c r="J64" s="228" t="s">
        <v>580</v>
      </c>
      <c r="K64" s="222"/>
      <c r="L64" s="221"/>
      <c r="M64" s="221"/>
    </row>
    <row r="65" spans="2:13" s="226" customFormat="1" x14ac:dyDescent="0.25">
      <c r="B65" s="222" t="s">
        <v>637</v>
      </c>
      <c r="C65" s="222" t="s">
        <v>627</v>
      </c>
      <c r="D65" s="230">
        <f>AeMBR!D77</f>
        <v>4</v>
      </c>
      <c r="E65" s="224" t="s">
        <v>638</v>
      </c>
      <c r="F65" s="222">
        <v>2000</v>
      </c>
      <c r="G65" s="224" t="s">
        <v>441</v>
      </c>
      <c r="H65" s="227">
        <f>F65*D65</f>
        <v>8000</v>
      </c>
      <c r="I65" s="222" t="s">
        <v>583</v>
      </c>
      <c r="J65" s="222">
        <v>40</v>
      </c>
      <c r="K65" s="231" t="s">
        <v>548</v>
      </c>
      <c r="L65" s="222" t="s">
        <v>590</v>
      </c>
      <c r="M65" s="222"/>
    </row>
    <row r="66" spans="2:13" s="226" customFormat="1" x14ac:dyDescent="0.25">
      <c r="B66" s="222" t="s">
        <v>637</v>
      </c>
      <c r="C66" s="222" t="s">
        <v>831</v>
      </c>
      <c r="D66" s="230" t="s">
        <v>580</v>
      </c>
      <c r="E66" s="224" t="s">
        <v>580</v>
      </c>
      <c r="F66" s="243">
        <v>1</v>
      </c>
      <c r="G66" s="224" t="s">
        <v>828</v>
      </c>
      <c r="H66" s="227">
        <f>F66*H65</f>
        <v>8000</v>
      </c>
      <c r="I66" s="222" t="s">
        <v>583</v>
      </c>
      <c r="J66" s="222"/>
      <c r="K66" s="231"/>
      <c r="L66" s="222"/>
      <c r="M66" s="222"/>
    </row>
    <row r="67" spans="2:13" s="226" customFormat="1" x14ac:dyDescent="0.25">
      <c r="B67" s="222" t="s">
        <v>637</v>
      </c>
      <c r="C67" s="222" t="s">
        <v>584</v>
      </c>
      <c r="D67" s="223" t="s">
        <v>580</v>
      </c>
      <c r="E67" s="224" t="s">
        <v>580</v>
      </c>
      <c r="F67" s="223" t="s">
        <v>580</v>
      </c>
      <c r="G67" s="224" t="s">
        <v>580</v>
      </c>
      <c r="H67" s="227">
        <f>SUM(H65:H66)*SUM($J$74:$J$78)</f>
        <v>7200</v>
      </c>
      <c r="I67" s="222" t="s">
        <v>583</v>
      </c>
      <c r="J67" s="228" t="s">
        <v>580</v>
      </c>
      <c r="K67" s="231"/>
      <c r="L67" s="222"/>
      <c r="M67" s="222"/>
    </row>
    <row r="68" spans="2:13" s="226" customFormat="1" x14ac:dyDescent="0.25">
      <c r="B68" s="222" t="s">
        <v>637</v>
      </c>
      <c r="C68" s="222" t="s">
        <v>585</v>
      </c>
      <c r="D68" s="223" t="s">
        <v>580</v>
      </c>
      <c r="E68" s="224" t="s">
        <v>580</v>
      </c>
      <c r="F68" s="223" t="s">
        <v>580</v>
      </c>
      <c r="G68" s="224" t="s">
        <v>580</v>
      </c>
      <c r="H68" s="227">
        <f>SUM(H65:H67)*SUM($J$82:$J$88)</f>
        <v>11832</v>
      </c>
      <c r="I68" s="222" t="s">
        <v>583</v>
      </c>
      <c r="J68" s="228" t="s">
        <v>580</v>
      </c>
      <c r="K68" s="231"/>
      <c r="L68" s="222"/>
      <c r="M68" s="222"/>
    </row>
    <row r="69" spans="2:13" x14ac:dyDescent="0.25">
      <c r="G69" s="217" t="s">
        <v>639</v>
      </c>
      <c r="H69" s="247">
        <f>SUM(H5:H68)</f>
        <v>804054.33363845758</v>
      </c>
    </row>
    <row r="70" spans="2:13" x14ac:dyDescent="0.25">
      <c r="G70" s="217"/>
      <c r="H70" s="247"/>
    </row>
    <row r="71" spans="2:13" x14ac:dyDescent="0.25">
      <c r="G71" s="217"/>
    </row>
    <row r="72" spans="2:13" x14ac:dyDescent="0.25">
      <c r="B72" s="217"/>
    </row>
    <row r="73" spans="2:13" x14ac:dyDescent="0.25">
      <c r="B73" s="349" t="s">
        <v>640</v>
      </c>
      <c r="C73" s="350" t="s">
        <v>292</v>
      </c>
      <c r="D73" s="350" t="s">
        <v>56</v>
      </c>
      <c r="E73" s="350" t="s">
        <v>333</v>
      </c>
      <c r="F73" s="350" t="s">
        <v>58</v>
      </c>
      <c r="G73" s="217"/>
      <c r="I73" s="248" t="s">
        <v>641</v>
      </c>
      <c r="J73" s="248" t="s">
        <v>642</v>
      </c>
    </row>
    <row r="74" spans="2:13" x14ac:dyDescent="0.25">
      <c r="B74" s="348">
        <v>2016</v>
      </c>
      <c r="C74" s="348" t="s">
        <v>643</v>
      </c>
      <c r="D74" s="351">
        <v>7.400864676263855</v>
      </c>
      <c r="E74" s="348" t="s">
        <v>618</v>
      </c>
      <c r="F74" s="348" t="s">
        <v>848</v>
      </c>
      <c r="I74" s="249" t="s">
        <v>644</v>
      </c>
      <c r="J74" s="250">
        <v>0.05</v>
      </c>
    </row>
    <row r="75" spans="2:13" x14ac:dyDescent="0.25">
      <c r="B75" s="348">
        <v>2014</v>
      </c>
      <c r="C75" s="352" t="s">
        <v>645</v>
      </c>
      <c r="D75" s="352">
        <v>16000</v>
      </c>
      <c r="E75" s="352" t="s">
        <v>646</v>
      </c>
      <c r="F75" s="348" t="s">
        <v>848</v>
      </c>
      <c r="I75" s="249" t="s">
        <v>647</v>
      </c>
      <c r="J75" s="250">
        <v>7.0000000000000007E-2</v>
      </c>
    </row>
    <row r="76" spans="2:13" x14ac:dyDescent="0.25">
      <c r="B76" s="348">
        <v>2014</v>
      </c>
      <c r="C76" s="352" t="s">
        <v>648</v>
      </c>
      <c r="D76" s="352">
        <v>20500</v>
      </c>
      <c r="E76" s="352" t="s">
        <v>646</v>
      </c>
      <c r="F76" s="348" t="s">
        <v>848</v>
      </c>
      <c r="I76" s="249" t="s">
        <v>649</v>
      </c>
      <c r="J76" s="250">
        <v>0.15</v>
      </c>
    </row>
    <row r="77" spans="2:13" x14ac:dyDescent="0.25">
      <c r="I77" s="249" t="s">
        <v>650</v>
      </c>
      <c r="J77" s="250">
        <v>0.1</v>
      </c>
    </row>
    <row r="78" spans="2:13" ht="27.75" customHeight="1" x14ac:dyDescent="0.25">
      <c r="I78" s="249" t="s">
        <v>651</v>
      </c>
      <c r="J78" s="250">
        <v>0.08</v>
      </c>
    </row>
    <row r="79" spans="2:13" ht="30" x14ac:dyDescent="0.25">
      <c r="I79" s="249" t="s">
        <v>652</v>
      </c>
      <c r="J79" s="250" t="s">
        <v>580</v>
      </c>
    </row>
    <row r="80" spans="2:13" x14ac:dyDescent="0.25"/>
    <row r="81" spans="3:10" ht="26.25" customHeight="1" x14ac:dyDescent="0.25">
      <c r="I81" s="248" t="s">
        <v>653</v>
      </c>
      <c r="J81" s="248" t="s">
        <v>654</v>
      </c>
    </row>
    <row r="82" spans="3:10" x14ac:dyDescent="0.25">
      <c r="I82" s="249" t="s">
        <v>655</v>
      </c>
      <c r="J82" s="250">
        <v>0.05</v>
      </c>
    </row>
    <row r="83" spans="3:10" x14ac:dyDescent="0.25">
      <c r="I83" s="249" t="s">
        <v>656</v>
      </c>
      <c r="J83" s="250">
        <v>0.02</v>
      </c>
    </row>
    <row r="84" spans="3:10" x14ac:dyDescent="0.25">
      <c r="I84" s="249" t="s">
        <v>657</v>
      </c>
      <c r="J84" s="250">
        <v>0.15</v>
      </c>
    </row>
    <row r="85" spans="3:10" x14ac:dyDescent="0.25">
      <c r="I85" s="249" t="s">
        <v>658</v>
      </c>
      <c r="J85" s="250">
        <v>0.02</v>
      </c>
    </row>
    <row r="86" spans="3:10" x14ac:dyDescent="0.25">
      <c r="I86" s="249" t="s">
        <v>659</v>
      </c>
      <c r="J86" s="250">
        <v>0.1</v>
      </c>
    </row>
    <row r="87" spans="3:10" x14ac:dyDescent="0.25">
      <c r="I87" s="249" t="s">
        <v>660</v>
      </c>
      <c r="J87" s="250">
        <v>0.02</v>
      </c>
    </row>
    <row r="88" spans="3:10" x14ac:dyDescent="0.25">
      <c r="I88" s="249" t="s">
        <v>661</v>
      </c>
      <c r="J88" s="250">
        <v>0.15</v>
      </c>
    </row>
    <row r="89" spans="3:10" x14ac:dyDescent="0.25">
      <c r="I89" s="218" t="s">
        <v>848</v>
      </c>
    </row>
    <row r="90" spans="3:10" x14ac:dyDescent="0.25"/>
    <row r="91" spans="3:10" x14ac:dyDescent="0.25"/>
    <row r="92" spans="3:10" x14ac:dyDescent="0.25"/>
    <row r="93" spans="3:10" hidden="1" x14ac:dyDescent="0.25">
      <c r="C93" s="251"/>
    </row>
  </sheetData>
  <hyperlinks>
    <hyperlink ref="K62" r:id="rId1" xr:uid="{00000000-0004-0000-0400-000000000000}"/>
    <hyperlink ref="K63" r:id="rId2" xr:uid="{00000000-0004-0000-0400-000001000000}"/>
    <hyperlink ref="K58" r:id="rId3" xr:uid="{00000000-0004-0000-0400-000002000000}"/>
  </hyperlinks>
  <pageMargins left="0.7" right="0.7" top="0.75" bottom="0.75" header="0.3" footer="0.3"/>
  <pageSetup orientation="portrait" horizontalDpi="300" verticalDpi="300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59999389629810485"/>
  </sheetPr>
  <dimension ref="A1:Q75"/>
  <sheetViews>
    <sheetView workbookViewId="0">
      <selection activeCell="D1" sqref="D1:E1"/>
    </sheetView>
  </sheetViews>
  <sheetFormatPr defaultColWidth="0" defaultRowHeight="15" zeroHeight="1" x14ac:dyDescent="0.25"/>
  <cols>
    <col min="1" max="1" width="9.140625" style="77" customWidth="1"/>
    <col min="2" max="2" width="5.28515625" style="77" bestFit="1" customWidth="1"/>
    <col min="3" max="3" width="27.85546875" style="77" customWidth="1"/>
    <col min="4" max="4" width="15.85546875" style="77" bestFit="1" customWidth="1"/>
    <col min="5" max="5" width="21.7109375" style="77" bestFit="1" customWidth="1"/>
    <col min="6" max="6" width="21.140625" style="77" customWidth="1"/>
    <col min="7" max="7" width="26.140625" style="77" bestFit="1" customWidth="1"/>
    <col min="8" max="17" width="9.140625" style="77" customWidth="1"/>
    <col min="18" max="16384" width="9.140625" style="77" hidden="1"/>
  </cols>
  <sheetData>
    <row r="1" spans="1:8" x14ac:dyDescent="0.25">
      <c r="A1" s="67" t="s">
        <v>444</v>
      </c>
      <c r="D1" s="173"/>
      <c r="E1" s="9" t="s">
        <v>431</v>
      </c>
    </row>
    <row r="2" spans="1:8" x14ac:dyDescent="0.25">
      <c r="A2" s="67"/>
    </row>
    <row r="3" spans="1:8" x14ac:dyDescent="0.25">
      <c r="A3" s="67"/>
      <c r="C3" s="172" t="s">
        <v>55</v>
      </c>
      <c r="D3" s="172" t="s">
        <v>56</v>
      </c>
      <c r="E3" s="172" t="s">
        <v>283</v>
      </c>
      <c r="F3" s="172" t="s">
        <v>492</v>
      </c>
    </row>
    <row r="4" spans="1:8" x14ac:dyDescent="0.25">
      <c r="A4" s="67"/>
      <c r="C4" s="98" t="s">
        <v>17</v>
      </c>
      <c r="D4" s="180">
        <f>D35/24</f>
        <v>1291.6666666666667</v>
      </c>
      <c r="E4" s="98" t="s">
        <v>447</v>
      </c>
      <c r="F4" s="98" t="s">
        <v>131</v>
      </c>
    </row>
    <row r="5" spans="1:8" x14ac:dyDescent="0.25">
      <c r="A5" s="67"/>
      <c r="C5" s="98" t="s">
        <v>448</v>
      </c>
      <c r="D5" s="180">
        <f>SUMIF($F$11:$F$34,"&gt;0",$F$11:$F$34)</f>
        <v>11159.999999999998</v>
      </c>
      <c r="E5" s="98"/>
      <c r="F5" s="98" t="s">
        <v>496</v>
      </c>
      <c r="G5" s="181"/>
    </row>
    <row r="6" spans="1:8" x14ac:dyDescent="0.25">
      <c r="A6" s="67"/>
      <c r="C6" s="98" t="s">
        <v>455</v>
      </c>
      <c r="D6" s="196">
        <v>11.426500000000001</v>
      </c>
      <c r="E6" s="98" t="s">
        <v>449</v>
      </c>
      <c r="F6" s="195" t="s">
        <v>494</v>
      </c>
      <c r="G6" s="181"/>
    </row>
    <row r="7" spans="1:8" x14ac:dyDescent="0.25">
      <c r="A7" s="67"/>
      <c r="C7" s="98" t="s">
        <v>448</v>
      </c>
      <c r="D7" s="180">
        <f>D6^3*'Conversion Factors'!$D$31</f>
        <v>11160.186707510889</v>
      </c>
      <c r="E7" s="98" t="s">
        <v>454</v>
      </c>
      <c r="F7" s="98" t="s">
        <v>131</v>
      </c>
    </row>
    <row r="8" spans="1:8" x14ac:dyDescent="0.25">
      <c r="A8" s="67"/>
      <c r="C8" s="98" t="s">
        <v>448</v>
      </c>
      <c r="D8" s="196">
        <f>D7/'Conversion Factors'!$D$29</f>
        <v>42.245902274251875</v>
      </c>
      <c r="E8" s="98" t="s">
        <v>2</v>
      </c>
      <c r="F8" s="197" t="s">
        <v>497</v>
      </c>
      <c r="H8" s="201"/>
    </row>
    <row r="9" spans="1:8" x14ac:dyDescent="0.25">
      <c r="A9" s="67"/>
    </row>
    <row r="10" spans="1:8" x14ac:dyDescent="0.25">
      <c r="B10" s="172" t="s">
        <v>445</v>
      </c>
      <c r="C10" s="172" t="s">
        <v>446</v>
      </c>
      <c r="D10" s="172" t="s">
        <v>451</v>
      </c>
      <c r="E10" s="172" t="s">
        <v>452</v>
      </c>
      <c r="F10" s="172" t="s">
        <v>450</v>
      </c>
      <c r="G10" s="172" t="s">
        <v>453</v>
      </c>
    </row>
    <row r="11" spans="1:8" x14ac:dyDescent="0.25">
      <c r="B11" s="98">
        <v>0</v>
      </c>
      <c r="C11" s="178">
        <v>0.01</v>
      </c>
      <c r="D11" s="98">
        <f>AeMBR!$C$3*1000000*C11</f>
        <v>310</v>
      </c>
      <c r="E11" s="98">
        <f>D11</f>
        <v>310</v>
      </c>
      <c r="F11" s="179">
        <f>$D$4-D11</f>
        <v>981.66666666666674</v>
      </c>
      <c r="G11" s="180">
        <f>D35/24</f>
        <v>1291.6666666666667</v>
      </c>
    </row>
    <row r="12" spans="1:8" x14ac:dyDescent="0.25">
      <c r="B12" s="98">
        <f>B11+1</f>
        <v>1</v>
      </c>
      <c r="C12" s="178">
        <v>0.01</v>
      </c>
      <c r="D12" s="98">
        <f>AeMBR!$C$3*1000000*C12</f>
        <v>310</v>
      </c>
      <c r="E12" s="98">
        <f>E11+D12</f>
        <v>620</v>
      </c>
      <c r="F12" s="179">
        <f t="shared" ref="F12:F34" si="0">$D$4-D12</f>
        <v>981.66666666666674</v>
      </c>
      <c r="G12" s="180">
        <f>G11+($D$35/24)</f>
        <v>2583.3333333333335</v>
      </c>
    </row>
    <row r="13" spans="1:8" x14ac:dyDescent="0.25">
      <c r="B13" s="98">
        <f t="shared" ref="B13:B34" si="1">B12+1</f>
        <v>2</v>
      </c>
      <c r="C13" s="178">
        <v>0.01</v>
      </c>
      <c r="D13" s="98">
        <f>AeMBR!$C$3*1000000*C13</f>
        <v>310</v>
      </c>
      <c r="E13" s="98">
        <f t="shared" ref="E13:E34" si="2">E12+D13</f>
        <v>930</v>
      </c>
      <c r="F13" s="179">
        <f t="shared" si="0"/>
        <v>981.66666666666674</v>
      </c>
      <c r="G13" s="180">
        <f t="shared" ref="G13:G34" si="3">G12+($D$35/24)</f>
        <v>3875</v>
      </c>
    </row>
    <row r="14" spans="1:8" x14ac:dyDescent="0.25">
      <c r="B14" s="98">
        <f t="shared" si="1"/>
        <v>3</v>
      </c>
      <c r="C14" s="178">
        <v>0.01</v>
      </c>
      <c r="D14" s="98">
        <f>AeMBR!$C$3*1000000*C14</f>
        <v>310</v>
      </c>
      <c r="E14" s="98">
        <f t="shared" si="2"/>
        <v>1240</v>
      </c>
      <c r="F14" s="179">
        <f t="shared" si="0"/>
        <v>981.66666666666674</v>
      </c>
      <c r="G14" s="180">
        <f t="shared" si="3"/>
        <v>5166.666666666667</v>
      </c>
    </row>
    <row r="15" spans="1:8" x14ac:dyDescent="0.25">
      <c r="B15" s="98">
        <f t="shared" si="1"/>
        <v>4</v>
      </c>
      <c r="C15" s="178">
        <v>0.01</v>
      </c>
      <c r="D15" s="98">
        <f>AeMBR!$C$3*1000000*C15</f>
        <v>310</v>
      </c>
      <c r="E15" s="98">
        <f t="shared" si="2"/>
        <v>1550</v>
      </c>
      <c r="F15" s="179">
        <f t="shared" si="0"/>
        <v>981.66666666666674</v>
      </c>
      <c r="G15" s="180">
        <f t="shared" si="3"/>
        <v>6458.3333333333339</v>
      </c>
    </row>
    <row r="16" spans="1:8" x14ac:dyDescent="0.25">
      <c r="B16" s="98">
        <f t="shared" si="1"/>
        <v>5</v>
      </c>
      <c r="C16" s="178">
        <v>0.03</v>
      </c>
      <c r="D16" s="98">
        <f>AeMBR!$C$3*1000000*C16</f>
        <v>930</v>
      </c>
      <c r="E16" s="98">
        <f t="shared" si="2"/>
        <v>2480</v>
      </c>
      <c r="F16" s="179">
        <f t="shared" si="0"/>
        <v>361.66666666666674</v>
      </c>
      <c r="G16" s="180">
        <f t="shared" si="3"/>
        <v>7750.0000000000009</v>
      </c>
    </row>
    <row r="17" spans="2:7" x14ac:dyDescent="0.25">
      <c r="B17" s="98">
        <f t="shared" si="1"/>
        <v>6</v>
      </c>
      <c r="C17" s="178">
        <v>0.11</v>
      </c>
      <c r="D17" s="98">
        <f>AeMBR!$C$3*1000000*C17</f>
        <v>3410</v>
      </c>
      <c r="E17" s="98">
        <f t="shared" si="2"/>
        <v>5890</v>
      </c>
      <c r="F17" s="179">
        <f t="shared" si="0"/>
        <v>-2118.333333333333</v>
      </c>
      <c r="G17" s="180">
        <f t="shared" si="3"/>
        <v>9041.6666666666679</v>
      </c>
    </row>
    <row r="18" spans="2:7" x14ac:dyDescent="0.25">
      <c r="B18" s="98">
        <f t="shared" si="1"/>
        <v>7</v>
      </c>
      <c r="C18" s="178">
        <v>0.15</v>
      </c>
      <c r="D18" s="98">
        <f>AeMBR!$C$3*1000000*C18</f>
        <v>4650</v>
      </c>
      <c r="E18" s="98">
        <f t="shared" si="2"/>
        <v>10540</v>
      </c>
      <c r="F18" s="179">
        <f t="shared" si="0"/>
        <v>-3358.333333333333</v>
      </c>
      <c r="G18" s="180">
        <f t="shared" si="3"/>
        <v>10333.333333333334</v>
      </c>
    </row>
    <row r="19" spans="2:7" x14ac:dyDescent="0.25">
      <c r="B19" s="98">
        <f t="shared" si="1"/>
        <v>8</v>
      </c>
      <c r="C19" s="178">
        <v>0.11</v>
      </c>
      <c r="D19" s="98">
        <f>AeMBR!$C$3*1000000*C19</f>
        <v>3410</v>
      </c>
      <c r="E19" s="98">
        <f t="shared" si="2"/>
        <v>13950</v>
      </c>
      <c r="F19" s="179">
        <f t="shared" si="0"/>
        <v>-2118.333333333333</v>
      </c>
      <c r="G19" s="180">
        <f t="shared" si="3"/>
        <v>11625</v>
      </c>
    </row>
    <row r="20" spans="2:7" x14ac:dyDescent="0.25">
      <c r="B20" s="98">
        <f t="shared" si="1"/>
        <v>9</v>
      </c>
      <c r="C20" s="178">
        <v>0.11</v>
      </c>
      <c r="D20" s="98">
        <f>AeMBR!$C$3*1000000*C20</f>
        <v>3410</v>
      </c>
      <c r="E20" s="98">
        <f t="shared" si="2"/>
        <v>17360</v>
      </c>
      <c r="F20" s="179">
        <f t="shared" si="0"/>
        <v>-2118.333333333333</v>
      </c>
      <c r="G20" s="180">
        <f t="shared" si="3"/>
        <v>12916.666666666666</v>
      </c>
    </row>
    <row r="21" spans="2:7" x14ac:dyDescent="0.25">
      <c r="B21" s="98">
        <f t="shared" si="1"/>
        <v>10</v>
      </c>
      <c r="C21" s="178">
        <v>0.08</v>
      </c>
      <c r="D21" s="98">
        <f>AeMBR!$C$3*1000000*C21</f>
        <v>2480</v>
      </c>
      <c r="E21" s="98">
        <f t="shared" si="2"/>
        <v>19840</v>
      </c>
      <c r="F21" s="179">
        <f t="shared" si="0"/>
        <v>-1188.3333333333333</v>
      </c>
      <c r="G21" s="180">
        <f t="shared" si="3"/>
        <v>14208.333333333332</v>
      </c>
    </row>
    <row r="22" spans="2:7" x14ac:dyDescent="0.25">
      <c r="B22" s="98">
        <f t="shared" si="1"/>
        <v>11</v>
      </c>
      <c r="C22" s="178">
        <v>0.03</v>
      </c>
      <c r="D22" s="98">
        <f>AeMBR!$C$3*1000000*C22</f>
        <v>930</v>
      </c>
      <c r="E22" s="98">
        <f t="shared" si="2"/>
        <v>20770</v>
      </c>
      <c r="F22" s="179">
        <f t="shared" si="0"/>
        <v>361.66666666666674</v>
      </c>
      <c r="G22" s="180">
        <f t="shared" si="3"/>
        <v>15499.999999999998</v>
      </c>
    </row>
    <row r="23" spans="2:7" x14ac:dyDescent="0.25">
      <c r="B23" s="98">
        <f t="shared" si="1"/>
        <v>12</v>
      </c>
      <c r="C23" s="178">
        <v>0.03</v>
      </c>
      <c r="D23" s="98">
        <f>AeMBR!$C$3*1000000*C23</f>
        <v>930</v>
      </c>
      <c r="E23" s="98">
        <f t="shared" si="2"/>
        <v>21700</v>
      </c>
      <c r="F23" s="179">
        <f t="shared" si="0"/>
        <v>361.66666666666674</v>
      </c>
      <c r="G23" s="180">
        <f t="shared" si="3"/>
        <v>16791.666666666664</v>
      </c>
    </row>
    <row r="24" spans="2:7" x14ac:dyDescent="0.25">
      <c r="B24" s="98">
        <f t="shared" si="1"/>
        <v>13</v>
      </c>
      <c r="C24" s="178">
        <v>0.02</v>
      </c>
      <c r="D24" s="98">
        <f>AeMBR!$C$3*1000000*C24</f>
        <v>620</v>
      </c>
      <c r="E24" s="98">
        <f t="shared" si="2"/>
        <v>22320</v>
      </c>
      <c r="F24" s="179">
        <f t="shared" si="0"/>
        <v>671.66666666666674</v>
      </c>
      <c r="G24" s="180">
        <f t="shared" si="3"/>
        <v>18083.333333333332</v>
      </c>
    </row>
    <row r="25" spans="2:7" x14ac:dyDescent="0.25">
      <c r="B25" s="98">
        <f t="shared" si="1"/>
        <v>14</v>
      </c>
      <c r="C25" s="178">
        <v>0.02</v>
      </c>
      <c r="D25" s="98">
        <f>AeMBR!$C$3*1000000*C25</f>
        <v>620</v>
      </c>
      <c r="E25" s="98">
        <f t="shared" si="2"/>
        <v>22940</v>
      </c>
      <c r="F25" s="179">
        <f t="shared" si="0"/>
        <v>671.66666666666674</v>
      </c>
      <c r="G25" s="180">
        <f t="shared" si="3"/>
        <v>19375</v>
      </c>
    </row>
    <row r="26" spans="2:7" x14ac:dyDescent="0.25">
      <c r="B26" s="98">
        <f t="shared" si="1"/>
        <v>15</v>
      </c>
      <c r="C26" s="178">
        <v>0.02</v>
      </c>
      <c r="D26" s="98">
        <f>AeMBR!$C$3*1000000*C26</f>
        <v>620</v>
      </c>
      <c r="E26" s="98">
        <f t="shared" si="2"/>
        <v>23560</v>
      </c>
      <c r="F26" s="179">
        <f t="shared" si="0"/>
        <v>671.66666666666674</v>
      </c>
      <c r="G26" s="180">
        <f t="shared" si="3"/>
        <v>20666.666666666668</v>
      </c>
    </row>
    <row r="27" spans="2:7" x14ac:dyDescent="0.25">
      <c r="B27" s="98">
        <f t="shared" si="1"/>
        <v>16</v>
      </c>
      <c r="C27" s="178">
        <v>0.03</v>
      </c>
      <c r="D27" s="98">
        <f>AeMBR!$C$3*1000000*C27</f>
        <v>930</v>
      </c>
      <c r="E27" s="98">
        <f t="shared" si="2"/>
        <v>24490</v>
      </c>
      <c r="F27" s="179">
        <f t="shared" si="0"/>
        <v>361.66666666666674</v>
      </c>
      <c r="G27" s="180">
        <f t="shared" si="3"/>
        <v>21958.333333333336</v>
      </c>
    </row>
    <row r="28" spans="2:7" x14ac:dyDescent="0.25">
      <c r="B28" s="98">
        <f t="shared" si="1"/>
        <v>17</v>
      </c>
      <c r="C28" s="178">
        <v>0.03</v>
      </c>
      <c r="D28" s="98">
        <f>AeMBR!$C$3*1000000*C28</f>
        <v>930</v>
      </c>
      <c r="E28" s="98">
        <f t="shared" si="2"/>
        <v>25420</v>
      </c>
      <c r="F28" s="179">
        <f t="shared" si="0"/>
        <v>361.66666666666674</v>
      </c>
      <c r="G28" s="180">
        <f t="shared" si="3"/>
        <v>23250.000000000004</v>
      </c>
    </row>
    <row r="29" spans="2:7" x14ac:dyDescent="0.25">
      <c r="B29" s="98">
        <f t="shared" si="1"/>
        <v>18</v>
      </c>
      <c r="C29" s="178">
        <v>0.04</v>
      </c>
      <c r="D29" s="98">
        <f>AeMBR!$C$3*1000000*C29</f>
        <v>1240</v>
      </c>
      <c r="E29" s="98">
        <f t="shared" si="2"/>
        <v>26660</v>
      </c>
      <c r="F29" s="179">
        <f t="shared" si="0"/>
        <v>51.666666666666742</v>
      </c>
      <c r="G29" s="180">
        <f t="shared" si="3"/>
        <v>24541.666666666672</v>
      </c>
    </row>
    <row r="30" spans="2:7" x14ac:dyDescent="0.25">
      <c r="B30" s="98">
        <f t="shared" si="1"/>
        <v>19</v>
      </c>
      <c r="C30" s="178">
        <v>0.04</v>
      </c>
      <c r="D30" s="98">
        <f>AeMBR!$C$3*1000000*C30</f>
        <v>1240</v>
      </c>
      <c r="E30" s="98">
        <f t="shared" si="2"/>
        <v>27900</v>
      </c>
      <c r="F30" s="179">
        <f t="shared" si="0"/>
        <v>51.666666666666742</v>
      </c>
      <c r="G30" s="180">
        <f t="shared" si="3"/>
        <v>25833.333333333339</v>
      </c>
    </row>
    <row r="31" spans="2:7" x14ac:dyDescent="0.25">
      <c r="B31" s="98">
        <f t="shared" si="1"/>
        <v>20</v>
      </c>
      <c r="C31" s="178">
        <v>0.05</v>
      </c>
      <c r="D31" s="98">
        <f>AeMBR!$C$3*1000000*C31</f>
        <v>1550</v>
      </c>
      <c r="E31" s="98">
        <f t="shared" si="2"/>
        <v>29450</v>
      </c>
      <c r="F31" s="179">
        <f t="shared" si="0"/>
        <v>-258.33333333333326</v>
      </c>
      <c r="G31" s="180">
        <f t="shared" si="3"/>
        <v>27125.000000000007</v>
      </c>
    </row>
    <row r="32" spans="2:7" x14ac:dyDescent="0.25">
      <c r="B32" s="98">
        <f>B31+1</f>
        <v>21</v>
      </c>
      <c r="C32" s="178">
        <v>0.03</v>
      </c>
      <c r="D32" s="98">
        <f>AeMBR!$C$3*1000000*C32</f>
        <v>930</v>
      </c>
      <c r="E32" s="98">
        <f t="shared" si="2"/>
        <v>30380</v>
      </c>
      <c r="F32" s="179">
        <f t="shared" si="0"/>
        <v>361.66666666666674</v>
      </c>
      <c r="G32" s="180">
        <f t="shared" si="3"/>
        <v>28416.666666666675</v>
      </c>
    </row>
    <row r="33" spans="2:7" x14ac:dyDescent="0.25">
      <c r="B33" s="98">
        <f t="shared" si="1"/>
        <v>22</v>
      </c>
      <c r="C33" s="178">
        <v>0.01</v>
      </c>
      <c r="D33" s="98">
        <f>AeMBR!$C$3*1000000*C33</f>
        <v>310</v>
      </c>
      <c r="E33" s="98">
        <f t="shared" si="2"/>
        <v>30690</v>
      </c>
      <c r="F33" s="179">
        <f t="shared" si="0"/>
        <v>981.66666666666674</v>
      </c>
      <c r="G33" s="180">
        <f t="shared" si="3"/>
        <v>29708.333333333343</v>
      </c>
    </row>
    <row r="34" spans="2:7" x14ac:dyDescent="0.25">
      <c r="B34" s="98">
        <f t="shared" si="1"/>
        <v>23</v>
      </c>
      <c r="C34" s="178">
        <v>0.01</v>
      </c>
      <c r="D34" s="98">
        <f>AeMBR!$C$3*1000000*C34</f>
        <v>310</v>
      </c>
      <c r="E34" s="98">
        <f t="shared" si="2"/>
        <v>31000</v>
      </c>
      <c r="F34" s="179">
        <f t="shared" si="0"/>
        <v>981.66666666666674</v>
      </c>
      <c r="G34" s="180">
        <f t="shared" si="3"/>
        <v>31000.000000000011</v>
      </c>
    </row>
    <row r="35" spans="2:7" x14ac:dyDescent="0.25">
      <c r="C35" s="176"/>
      <c r="D35" s="77">
        <v>31000</v>
      </c>
      <c r="E35" s="177"/>
    </row>
    <row r="36" spans="2:7" x14ac:dyDescent="0.25"/>
    <row r="37" spans="2:7" x14ac:dyDescent="0.25"/>
    <row r="38" spans="2:7" x14ac:dyDescent="0.25">
      <c r="C38" s="67" t="s">
        <v>532</v>
      </c>
    </row>
    <row r="39" spans="2:7" x14ac:dyDescent="0.25">
      <c r="C39" s="77" t="s">
        <v>533</v>
      </c>
      <c r="D39" s="181">
        <f>(D42*D7*8.34)/1000000</f>
        <v>1.3961393571096121</v>
      </c>
      <c r="E39" s="77" t="s">
        <v>534</v>
      </c>
    </row>
    <row r="40" spans="2:7" x14ac:dyDescent="0.25">
      <c r="C40" s="77" t="s">
        <v>535</v>
      </c>
      <c r="D40" s="77">
        <v>5</v>
      </c>
      <c r="E40" s="77" t="s">
        <v>536</v>
      </c>
    </row>
    <row r="41" spans="2:7" ht="18" x14ac:dyDescent="0.35">
      <c r="C41" s="77" t="s">
        <v>537</v>
      </c>
      <c r="D41" s="77">
        <v>0.9</v>
      </c>
      <c r="E41" s="77" t="s">
        <v>538</v>
      </c>
    </row>
    <row r="42" spans="2:7" x14ac:dyDescent="0.25">
      <c r="C42" s="77" t="s">
        <v>539</v>
      </c>
      <c r="D42" s="77">
        <v>15</v>
      </c>
      <c r="E42" s="77" t="s">
        <v>540</v>
      </c>
    </row>
    <row r="43" spans="2:7" x14ac:dyDescent="0.25">
      <c r="C43" s="77" t="s">
        <v>541</v>
      </c>
      <c r="D43" s="77">
        <v>8.6</v>
      </c>
      <c r="E43" s="77" t="s">
        <v>542</v>
      </c>
    </row>
    <row r="44" spans="2:7" x14ac:dyDescent="0.25">
      <c r="C44" s="77" t="s">
        <v>543</v>
      </c>
      <c r="D44" s="96">
        <f>(D40*(D43*D41*1-2)*(D41*1.02))/9.17</f>
        <v>2.8731297709923669</v>
      </c>
    </row>
    <row r="45" spans="2:7" x14ac:dyDescent="0.25">
      <c r="C45" s="77" t="s">
        <v>544</v>
      </c>
      <c r="D45" s="181">
        <f>D39/D44</f>
        <v>0.4859297937758626</v>
      </c>
      <c r="E45" s="77" t="s">
        <v>545</v>
      </c>
    </row>
    <row r="46" spans="2:7" x14ac:dyDescent="0.25">
      <c r="C46" s="77" t="s">
        <v>546</v>
      </c>
      <c r="D46" s="181">
        <f>1.25*D45</f>
        <v>0.60741224221982826</v>
      </c>
      <c r="E46" s="77" t="s">
        <v>545</v>
      </c>
    </row>
    <row r="47" spans="2:7" x14ac:dyDescent="0.25">
      <c r="C47" s="77" t="s">
        <v>547</v>
      </c>
      <c r="D47" s="181">
        <v>0.877</v>
      </c>
      <c r="E47" s="77" t="s">
        <v>499</v>
      </c>
    </row>
    <row r="48" spans="2:7" x14ac:dyDescent="0.25">
      <c r="C48" s="206" t="s">
        <v>478</v>
      </c>
      <c r="D48" s="205">
        <f>D46*'Conversion Factors'!$D$26*'Conversion Factors'!$D$40*0.9/Equalization!$D$47</f>
        <v>4071.876817979683</v>
      </c>
      <c r="E48" s="206" t="s">
        <v>359</v>
      </c>
    </row>
    <row r="49" spans="3:5" x14ac:dyDescent="0.25">
      <c r="C49" s="68" t="s">
        <v>549</v>
      </c>
    </row>
    <row r="50" spans="3:5" x14ac:dyDescent="0.25"/>
    <row r="51" spans="3:5" x14ac:dyDescent="0.25">
      <c r="C51" s="67" t="s">
        <v>689</v>
      </c>
    </row>
    <row r="52" spans="3:5" x14ac:dyDescent="0.25">
      <c r="C52" s="14" t="s">
        <v>690</v>
      </c>
      <c r="D52" s="260">
        <f>D7/'Conversion Factors'!$D$29</f>
        <v>42.245902274251875</v>
      </c>
      <c r="E52" s="14" t="s">
        <v>2</v>
      </c>
    </row>
    <row r="53" spans="3:5" x14ac:dyDescent="0.25">
      <c r="C53" s="66" t="s">
        <v>691</v>
      </c>
      <c r="D53" s="261">
        <f>D6/'Conversion Factors'!$D$18+(2/'Conversion Factors'!$D$18)</f>
        <v>4.0923970690432938</v>
      </c>
      <c r="E53" s="206" t="s">
        <v>46</v>
      </c>
    </row>
    <row r="54" spans="3:5" x14ac:dyDescent="0.25">
      <c r="C54" s="66" t="s">
        <v>692</v>
      </c>
      <c r="D54" s="260">
        <f>D6/'Conversion Factors'!$D$18+Equalization!D55</f>
        <v>3.711455625135859</v>
      </c>
      <c r="E54" s="14" t="s">
        <v>46</v>
      </c>
    </row>
    <row r="55" spans="3:5" x14ac:dyDescent="0.25">
      <c r="C55" s="206" t="s">
        <v>693</v>
      </c>
      <c r="D55" s="261">
        <f>(9/12)/3.28</f>
        <v>0.22865853658536586</v>
      </c>
      <c r="E55" s="66" t="s">
        <v>694</v>
      </c>
    </row>
    <row r="56" spans="3:5" x14ac:dyDescent="0.25">
      <c r="C56" s="206" t="s">
        <v>695</v>
      </c>
      <c r="D56" s="261">
        <f>1/3.28</f>
        <v>0.3048780487804878</v>
      </c>
      <c r="E56" s="66" t="s">
        <v>696</v>
      </c>
    </row>
    <row r="57" spans="3:5" x14ac:dyDescent="0.25">
      <c r="C57" s="66" t="s">
        <v>697</v>
      </c>
      <c r="D57" s="262">
        <f>D54+(2*D55)</f>
        <v>4.1687726983065909</v>
      </c>
      <c r="E57" s="206" t="s">
        <v>46</v>
      </c>
    </row>
    <row r="58" spans="3:5" x14ac:dyDescent="0.25">
      <c r="C58" s="66" t="s">
        <v>698</v>
      </c>
      <c r="D58" s="262">
        <f>D57</f>
        <v>4.1687726983065909</v>
      </c>
      <c r="E58" s="206" t="s">
        <v>46</v>
      </c>
    </row>
    <row r="59" spans="3:5" x14ac:dyDescent="0.25">
      <c r="C59" s="66" t="s">
        <v>699</v>
      </c>
      <c r="D59" s="262">
        <v>4</v>
      </c>
      <c r="E59" s="206" t="s">
        <v>45</v>
      </c>
    </row>
    <row r="60" spans="3:5" x14ac:dyDescent="0.25">
      <c r="C60" s="66" t="s">
        <v>700</v>
      </c>
      <c r="D60" s="262">
        <v>1</v>
      </c>
      <c r="E60" s="206" t="s">
        <v>45</v>
      </c>
    </row>
    <row r="61" spans="3:5" x14ac:dyDescent="0.25">
      <c r="C61" s="66" t="s">
        <v>701</v>
      </c>
      <c r="D61" s="262">
        <f>D53*D54*D59</f>
        <v>60.755000488760942</v>
      </c>
      <c r="E61" s="66" t="s">
        <v>39</v>
      </c>
    </row>
    <row r="62" spans="3:5" x14ac:dyDescent="0.25">
      <c r="C62" s="66" t="s">
        <v>702</v>
      </c>
      <c r="D62" s="261">
        <f>D54*D53*D55*D59</f>
        <v>13.892149502003265</v>
      </c>
      <c r="E62" s="206" t="s">
        <v>2</v>
      </c>
    </row>
    <row r="63" spans="3:5" x14ac:dyDescent="0.25">
      <c r="C63" s="66" t="s">
        <v>703</v>
      </c>
      <c r="D63" s="261">
        <f>D57*D58*D56*D60</f>
        <v>5.2983737226056142</v>
      </c>
      <c r="E63" s="206" t="s">
        <v>2</v>
      </c>
    </row>
    <row r="64" spans="3:5" x14ac:dyDescent="0.25">
      <c r="C64" s="206" t="s">
        <v>704</v>
      </c>
      <c r="D64" s="263">
        <f>SUM(D62:D63)</f>
        <v>19.190523224608881</v>
      </c>
      <c r="E64" s="206" t="s">
        <v>2</v>
      </c>
    </row>
    <row r="65" spans="3:5" x14ac:dyDescent="0.25">
      <c r="C65" s="206" t="s">
        <v>705</v>
      </c>
      <c r="D65" s="264">
        <v>2300</v>
      </c>
      <c r="E65" s="206" t="s">
        <v>73</v>
      </c>
    </row>
    <row r="66" spans="3:5" x14ac:dyDescent="0.25">
      <c r="C66" s="206" t="s">
        <v>706</v>
      </c>
      <c r="D66" s="265">
        <v>40</v>
      </c>
      <c r="E66" s="206" t="s">
        <v>707</v>
      </c>
    </row>
    <row r="67" spans="3:5" x14ac:dyDescent="0.25">
      <c r="C67" s="206" t="s">
        <v>708</v>
      </c>
      <c r="D67" s="266">
        <v>9450.9247907023982</v>
      </c>
      <c r="E67" s="206" t="s">
        <v>553</v>
      </c>
    </row>
    <row r="68" spans="3:5" x14ac:dyDescent="0.25">
      <c r="C68" s="206" t="s">
        <v>709</v>
      </c>
      <c r="D68" s="261">
        <v>0.30479999024640031</v>
      </c>
      <c r="E68" s="206" t="s">
        <v>710</v>
      </c>
    </row>
    <row r="69" spans="3:5" x14ac:dyDescent="0.25">
      <c r="C69" s="206" t="s">
        <v>711</v>
      </c>
      <c r="D69" s="265">
        <f>(D54*(D53/D68)*D59*2)+(D57*(D58/D68)*D60*2)</f>
        <v>512.68811548021449</v>
      </c>
      <c r="E69" s="206" t="s">
        <v>46</v>
      </c>
    </row>
    <row r="70" spans="3:5" x14ac:dyDescent="0.25">
      <c r="C70" s="206" t="s">
        <v>712</v>
      </c>
      <c r="D70" s="205">
        <f>D69*'Conversion Factors'!$F$59</f>
        <v>1144.4473126660716</v>
      </c>
      <c r="E70" s="206" t="s">
        <v>553</v>
      </c>
    </row>
    <row r="71" spans="3:5" x14ac:dyDescent="0.25"/>
    <row r="72" spans="3:5" x14ac:dyDescent="0.25"/>
    <row r="73" spans="3:5" x14ac:dyDescent="0.25"/>
    <row r="74" spans="3:5" x14ac:dyDescent="0.25"/>
    <row r="75" spans="3:5" x14ac:dyDescent="0.25"/>
  </sheetData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59999389629810485"/>
  </sheetPr>
  <dimension ref="A1:T52"/>
  <sheetViews>
    <sheetView zoomScale="80" zoomScaleNormal="80" workbookViewId="0">
      <selection activeCell="H13" sqref="H13"/>
    </sheetView>
  </sheetViews>
  <sheetFormatPr defaultColWidth="0" defaultRowHeight="15.75" zeroHeight="1" x14ac:dyDescent="0.25"/>
  <cols>
    <col min="1" max="1" width="9.140625" style="175" customWidth="1"/>
    <col min="2" max="2" width="42.28515625" style="175" bestFit="1" customWidth="1"/>
    <col min="3" max="3" width="22.7109375" style="175" customWidth="1"/>
    <col min="4" max="4" width="11.7109375" style="175" customWidth="1"/>
    <col min="5" max="7" width="12.85546875" style="175" customWidth="1"/>
    <col min="8" max="9" width="14.7109375" style="175" customWidth="1"/>
    <col min="10" max="10" width="9.5703125" style="175" bestFit="1" customWidth="1"/>
    <col min="11" max="11" width="11.7109375" style="175" customWidth="1"/>
    <col min="12" max="12" width="13.140625" style="175" customWidth="1"/>
    <col min="13" max="13" width="9.140625" style="175" hidden="1" customWidth="1"/>
    <col min="14" max="14" width="15.7109375" style="175" hidden="1" customWidth="1"/>
    <col min="15" max="15" width="9.42578125" style="175" hidden="1" customWidth="1"/>
    <col min="16" max="19" width="9.140625" style="175" hidden="1" customWidth="1"/>
    <col min="20" max="20" width="10.7109375" style="175" hidden="1" customWidth="1"/>
    <col min="21" max="16384" width="9.140625" style="175" hidden="1"/>
  </cols>
  <sheetData>
    <row r="1" spans="1:11" x14ac:dyDescent="0.25">
      <c r="A1" s="174" t="s">
        <v>862</v>
      </c>
      <c r="C1" s="173"/>
      <c r="D1" s="9" t="s">
        <v>431</v>
      </c>
    </row>
    <row r="2" spans="1:11" x14ac:dyDescent="0.25">
      <c r="B2" s="174"/>
      <c r="C2" s="174"/>
      <c r="D2" s="174"/>
    </row>
    <row r="3" spans="1:11" x14ac:dyDescent="0.25">
      <c r="B3" s="353" t="s">
        <v>550</v>
      </c>
      <c r="C3" s="354">
        <f>C23*AeMBR!C3*365</f>
        <v>10.310793749999998</v>
      </c>
      <c r="D3" s="209" t="s">
        <v>551</v>
      </c>
    </row>
    <row r="4" spans="1:11" x14ac:dyDescent="0.25">
      <c r="B4" s="353" t="s">
        <v>550</v>
      </c>
      <c r="C4" s="355">
        <f>C3/'Conversion Factors'!$D$30*'Conversion Factors'!$D$45*C26</f>
        <v>174.65048130871068</v>
      </c>
      <c r="D4" s="209" t="s">
        <v>42</v>
      </c>
    </row>
    <row r="5" spans="1:11" ht="18" x14ac:dyDescent="0.25">
      <c r="B5" s="215" t="s">
        <v>785</v>
      </c>
      <c r="C5" s="356">
        <f>2*222</f>
        <v>444</v>
      </c>
      <c r="D5" s="209" t="s">
        <v>553</v>
      </c>
    </row>
    <row r="6" spans="1:11" ht="18" x14ac:dyDescent="0.25">
      <c r="B6" s="280" t="s">
        <v>786</v>
      </c>
      <c r="C6" s="212"/>
      <c r="E6" s="207"/>
      <c r="F6" s="208"/>
    </row>
    <row r="7" spans="1:11" x14ac:dyDescent="0.25">
      <c r="B7" s="280"/>
      <c r="C7" s="212"/>
      <c r="E7" s="207"/>
      <c r="F7" s="208"/>
    </row>
    <row r="8" spans="1:11" x14ac:dyDescent="0.25"/>
    <row r="9" spans="1:11" x14ac:dyDescent="0.25">
      <c r="B9" s="174" t="s">
        <v>556</v>
      </c>
      <c r="G9" s="210"/>
      <c r="K9" s="211"/>
    </row>
    <row r="10" spans="1:11" x14ac:dyDescent="0.25">
      <c r="B10" s="209" t="s">
        <v>43</v>
      </c>
      <c r="C10" s="323">
        <f>16000*AeMBR!$C$3^0.4631</f>
        <v>3202.3558015615877</v>
      </c>
      <c r="D10" s="209" t="s">
        <v>557</v>
      </c>
      <c r="E10" s="210"/>
      <c r="F10" s="210"/>
      <c r="K10" s="211"/>
    </row>
    <row r="11" spans="1:11" x14ac:dyDescent="0.25">
      <c r="B11" s="175" t="s">
        <v>953</v>
      </c>
      <c r="C11" s="211"/>
      <c r="E11" s="210"/>
      <c r="F11" s="210"/>
      <c r="K11" s="211"/>
    </row>
    <row r="12" spans="1:11" x14ac:dyDescent="0.25">
      <c r="C12" s="210"/>
    </row>
    <row r="13" spans="1:11" x14ac:dyDescent="0.25">
      <c r="B13" s="174" t="s">
        <v>558</v>
      </c>
    </row>
    <row r="14" spans="1:11" ht="49.5" x14ac:dyDescent="0.25">
      <c r="B14" s="213" t="s">
        <v>559</v>
      </c>
      <c r="C14" s="214" t="s">
        <v>560</v>
      </c>
    </row>
    <row r="15" spans="1:11" x14ac:dyDescent="0.25">
      <c r="B15" s="209" t="s">
        <v>561</v>
      </c>
      <c r="C15" s="209">
        <f>0.9</f>
        <v>0.9</v>
      </c>
    </row>
    <row r="16" spans="1:11" x14ac:dyDescent="0.25">
      <c r="B16" s="209" t="s">
        <v>562</v>
      </c>
      <c r="C16" s="209">
        <v>1.33</v>
      </c>
    </row>
    <row r="17" spans="2:3" x14ac:dyDescent="0.25">
      <c r="B17" s="209" t="s">
        <v>563</v>
      </c>
      <c r="C17" s="209">
        <v>0.56000000000000005</v>
      </c>
    </row>
    <row r="18" spans="2:3" x14ac:dyDescent="0.25">
      <c r="B18" s="209" t="s">
        <v>564</v>
      </c>
      <c r="C18" s="209">
        <v>1.2</v>
      </c>
    </row>
    <row r="19" spans="2:3" x14ac:dyDescent="0.25">
      <c r="B19" s="209" t="s">
        <v>565</v>
      </c>
      <c r="C19" s="209">
        <v>0.72</v>
      </c>
    </row>
    <row r="20" spans="2:3" x14ac:dyDescent="0.25">
      <c r="B20" s="209" t="s">
        <v>566</v>
      </c>
      <c r="C20" s="209">
        <v>0.6</v>
      </c>
    </row>
    <row r="21" spans="2:3" x14ac:dyDescent="0.25">
      <c r="B21" s="209" t="s">
        <v>567</v>
      </c>
      <c r="C21" s="209">
        <v>1.1499999999999999</v>
      </c>
    </row>
    <row r="22" spans="2:3" ht="31.5" customHeight="1" x14ac:dyDescent="0.25">
      <c r="B22" s="209" t="s">
        <v>568</v>
      </c>
      <c r="C22" s="209">
        <v>0.83</v>
      </c>
    </row>
    <row r="23" spans="2:3" x14ac:dyDescent="0.25">
      <c r="B23" s="215" t="s">
        <v>569</v>
      </c>
      <c r="C23" s="216">
        <f>AVERAGE(C15:C22)</f>
        <v>0.91124999999999989</v>
      </c>
    </row>
    <row r="24" spans="2:3" x14ac:dyDescent="0.25">
      <c r="B24" s="203" t="s">
        <v>555</v>
      </c>
    </row>
    <row r="25" spans="2:3" x14ac:dyDescent="0.25"/>
    <row r="26" spans="2:3" x14ac:dyDescent="0.25">
      <c r="B26" s="209" t="s">
        <v>894</v>
      </c>
      <c r="C26" s="357">
        <f>94/220</f>
        <v>0.42727272727272725</v>
      </c>
    </row>
    <row r="27" spans="2:3" x14ac:dyDescent="0.25">
      <c r="B27" s="203" t="s">
        <v>895</v>
      </c>
    </row>
    <row r="28" spans="2:3" x14ac:dyDescent="0.25"/>
    <row r="29" spans="2:3" x14ac:dyDescent="0.25"/>
    <row r="30" spans="2:3" hidden="1" x14ac:dyDescent="0.25"/>
    <row r="31" spans="2:3" hidden="1" x14ac:dyDescent="0.25"/>
    <row r="32" spans="2:3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hidden="1" x14ac:dyDescent="0.25"/>
    <row r="50" hidden="1" x14ac:dyDescent="0.25"/>
    <row r="51" x14ac:dyDescent="0.25"/>
    <row r="52" x14ac:dyDescent="0.25"/>
  </sheetData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tabColor theme="4" tint="0.59999389629810485"/>
  </sheetPr>
  <dimension ref="A1:V158"/>
  <sheetViews>
    <sheetView zoomScale="80" zoomScaleNormal="80" workbookViewId="0">
      <selection activeCell="C1" sqref="C1:D1"/>
    </sheetView>
  </sheetViews>
  <sheetFormatPr defaultColWidth="0" defaultRowHeight="15" zeroHeight="1" x14ac:dyDescent="0.25"/>
  <cols>
    <col min="1" max="1" width="9.140625" style="66" customWidth="1"/>
    <col min="2" max="2" width="37.5703125" style="66" customWidth="1"/>
    <col min="3" max="3" width="13.5703125" style="66" bestFit="1" customWidth="1"/>
    <col min="4" max="4" width="20.140625" style="66" customWidth="1"/>
    <col min="5" max="5" width="58.85546875" style="66" customWidth="1"/>
    <col min="6" max="6" width="17.140625" style="66" customWidth="1"/>
    <col min="7" max="7" width="9.140625" style="66" customWidth="1"/>
    <col min="8" max="8" width="26.7109375" style="66" bestFit="1" customWidth="1"/>
    <col min="9" max="9" width="13.5703125" style="66" customWidth="1"/>
    <col min="10" max="10" width="12.140625" style="66" customWidth="1"/>
    <col min="11" max="11" width="34.85546875" style="66" customWidth="1"/>
    <col min="12" max="15" width="12.140625" style="66" customWidth="1"/>
    <col min="16" max="20" width="9.140625" style="66" customWidth="1"/>
    <col min="21" max="22" width="0" style="66" hidden="1" customWidth="1"/>
    <col min="23" max="16384" width="9.140625" style="66" hidden="1"/>
  </cols>
  <sheetData>
    <row r="1" spans="1:5" x14ac:dyDescent="0.25">
      <c r="A1" s="67" t="s">
        <v>863</v>
      </c>
      <c r="C1" s="173"/>
      <c r="D1" s="9" t="s">
        <v>431</v>
      </c>
    </row>
    <row r="2" spans="1:5" x14ac:dyDescent="0.25"/>
    <row r="3" spans="1:5" x14ac:dyDescent="0.25">
      <c r="B3" s="72" t="s">
        <v>17</v>
      </c>
      <c r="C3" s="73">
        <v>3.1E-2</v>
      </c>
      <c r="D3" s="74" t="s">
        <v>25</v>
      </c>
    </row>
    <row r="4" spans="1:5" x14ac:dyDescent="0.25">
      <c r="B4" s="185" t="s">
        <v>17</v>
      </c>
      <c r="C4" s="187">
        <f>C3*1000000/'Conversion Factors'!$D$29</f>
        <v>117.34776530399999</v>
      </c>
      <c r="D4" s="186" t="s">
        <v>19</v>
      </c>
    </row>
    <row r="5" spans="1:5" x14ac:dyDescent="0.25">
      <c r="B5" s="75" t="s">
        <v>17</v>
      </c>
      <c r="C5" s="188">
        <f>C4*'Conversion Factors'!$D$39</f>
        <v>42861.271277285996</v>
      </c>
      <c r="D5" s="76" t="s">
        <v>459</v>
      </c>
    </row>
    <row r="6" spans="1:5" x14ac:dyDescent="0.25"/>
    <row r="7" spans="1:5" x14ac:dyDescent="0.25">
      <c r="B7" s="67" t="s">
        <v>355</v>
      </c>
    </row>
    <row r="8" spans="1:5" x14ac:dyDescent="0.25">
      <c r="B8" s="94" t="s">
        <v>55</v>
      </c>
      <c r="C8" s="94" t="s">
        <v>56</v>
      </c>
      <c r="D8" s="94" t="s">
        <v>283</v>
      </c>
      <c r="E8" s="94" t="s">
        <v>284</v>
      </c>
    </row>
    <row r="9" spans="1:5" x14ac:dyDescent="0.25">
      <c r="B9" s="100" t="s">
        <v>270</v>
      </c>
      <c r="C9" s="100">
        <v>15</v>
      </c>
      <c r="D9" s="100" t="s">
        <v>49</v>
      </c>
      <c r="E9" s="100" t="s">
        <v>281</v>
      </c>
    </row>
    <row r="10" spans="1:5" x14ac:dyDescent="0.25">
      <c r="B10" s="100" t="s">
        <v>48</v>
      </c>
      <c r="C10" s="101">
        <v>5</v>
      </c>
      <c r="D10" s="100" t="s">
        <v>41</v>
      </c>
      <c r="E10" s="100" t="s">
        <v>297</v>
      </c>
    </row>
    <row r="11" spans="1:5" x14ac:dyDescent="0.25">
      <c r="B11" s="100" t="s">
        <v>735</v>
      </c>
      <c r="C11" s="270">
        <v>0.02</v>
      </c>
      <c r="D11" s="100" t="s">
        <v>736</v>
      </c>
      <c r="E11" s="100" t="s">
        <v>491</v>
      </c>
    </row>
    <row r="12" spans="1:5" x14ac:dyDescent="0.25">
      <c r="B12" s="100" t="s">
        <v>737</v>
      </c>
      <c r="C12" s="270">
        <v>7.4999999999999997E-3</v>
      </c>
      <c r="D12" s="100" t="s">
        <v>736</v>
      </c>
      <c r="E12" s="100" t="s">
        <v>738</v>
      </c>
    </row>
    <row r="13" spans="1:5" x14ac:dyDescent="0.25">
      <c r="B13" s="100" t="s">
        <v>350</v>
      </c>
      <c r="C13" s="271">
        <v>2.98</v>
      </c>
      <c r="D13" s="100" t="s">
        <v>46</v>
      </c>
      <c r="E13" s="100" t="s">
        <v>131</v>
      </c>
    </row>
    <row r="14" spans="1:5" x14ac:dyDescent="0.25">
      <c r="B14" s="100" t="s">
        <v>739</v>
      </c>
      <c r="C14" s="271">
        <v>3.37</v>
      </c>
      <c r="D14" s="100" t="s">
        <v>46</v>
      </c>
      <c r="E14" s="100" t="s">
        <v>131</v>
      </c>
    </row>
    <row r="15" spans="1:5" x14ac:dyDescent="0.25">
      <c r="B15" s="100" t="s">
        <v>740</v>
      </c>
      <c r="C15" s="271">
        <v>2.4300000000000002</v>
      </c>
      <c r="D15" s="100" t="s">
        <v>46</v>
      </c>
      <c r="E15" s="100" t="s">
        <v>131</v>
      </c>
    </row>
    <row r="16" spans="1:5" x14ac:dyDescent="0.25">
      <c r="B16" s="100" t="s">
        <v>741</v>
      </c>
      <c r="C16" s="102">
        <v>0.3</v>
      </c>
      <c r="D16" s="100" t="s">
        <v>46</v>
      </c>
      <c r="E16" s="100" t="s">
        <v>742</v>
      </c>
    </row>
    <row r="17" spans="2:10" x14ac:dyDescent="0.25">
      <c r="B17" s="100" t="s">
        <v>735</v>
      </c>
      <c r="C17" s="271">
        <f>($C$13-$C$16)*C11*'Conversion Factors'!$D$18</f>
        <v>0.175853024</v>
      </c>
      <c r="D17" s="100" t="s">
        <v>538</v>
      </c>
      <c r="E17" s="100" t="s">
        <v>743</v>
      </c>
    </row>
    <row r="18" spans="2:10" x14ac:dyDescent="0.25">
      <c r="B18" s="100" t="s">
        <v>737</v>
      </c>
      <c r="C18" s="271">
        <f>($C$13-$C$16)*C12*'Conversion Factors'!$D$18</f>
        <v>6.5944883999999995E-2</v>
      </c>
      <c r="D18" s="100" t="s">
        <v>538</v>
      </c>
      <c r="E18" s="100" t="s">
        <v>743</v>
      </c>
    </row>
    <row r="19" spans="2:10" x14ac:dyDescent="0.25">
      <c r="B19" s="100" t="s">
        <v>744</v>
      </c>
      <c r="C19" s="101">
        <v>40</v>
      </c>
      <c r="D19" s="100" t="s">
        <v>269</v>
      </c>
      <c r="E19" s="272" t="s">
        <v>297</v>
      </c>
    </row>
    <row r="20" spans="2:10" x14ac:dyDescent="0.25">
      <c r="B20" s="100" t="s">
        <v>268</v>
      </c>
      <c r="C20" s="100">
        <v>20</v>
      </c>
      <c r="D20" s="100" t="s">
        <v>269</v>
      </c>
      <c r="E20" s="329" t="s">
        <v>901</v>
      </c>
    </row>
    <row r="21" spans="2:10" x14ac:dyDescent="0.25">
      <c r="B21" s="100" t="s">
        <v>745</v>
      </c>
      <c r="C21" s="101">
        <f>C19*C23*((24*60)/(10.75)*0.75)/60/'Conversion Factors'!$D$32</f>
        <v>4325.5834339225203</v>
      </c>
      <c r="D21" s="100" t="s">
        <v>746</v>
      </c>
      <c r="E21" s="100" t="s">
        <v>864</v>
      </c>
    </row>
    <row r="22" spans="2:10" x14ac:dyDescent="0.25">
      <c r="B22" s="100" t="s">
        <v>36</v>
      </c>
      <c r="C22" s="100">
        <v>0.22500000000000001</v>
      </c>
      <c r="D22" s="100" t="s">
        <v>37</v>
      </c>
      <c r="E22" s="329" t="s">
        <v>865</v>
      </c>
    </row>
    <row r="23" spans="2:10" x14ac:dyDescent="0.25">
      <c r="B23" s="100" t="s">
        <v>526</v>
      </c>
      <c r="C23" s="101">
        <f>C4*1000/('Conversion Factors'!D42*AeMBR!C20)</f>
        <v>244.47451104999996</v>
      </c>
      <c r="D23" s="100" t="s">
        <v>39</v>
      </c>
      <c r="E23" s="100" t="s">
        <v>282</v>
      </c>
    </row>
    <row r="24" spans="2:10" x14ac:dyDescent="0.25">
      <c r="B24" s="100" t="s">
        <v>527</v>
      </c>
      <c r="C24" s="101">
        <f>C23*1.5</f>
        <v>366.71176657499996</v>
      </c>
      <c r="D24" s="100" t="s">
        <v>39</v>
      </c>
      <c r="E24" s="100" t="s">
        <v>866</v>
      </c>
    </row>
    <row r="25" spans="2:10" x14ac:dyDescent="0.25">
      <c r="B25" s="100" t="s">
        <v>38</v>
      </c>
      <c r="C25" s="101">
        <f>C22*C23*'Conversion Factors'!$D$42</f>
        <v>1320.1623596699997</v>
      </c>
      <c r="D25" s="100" t="s">
        <v>19</v>
      </c>
      <c r="E25" s="100" t="s">
        <v>131</v>
      </c>
    </row>
    <row r="26" spans="2:10" x14ac:dyDescent="0.25">
      <c r="B26" s="100" t="s">
        <v>271</v>
      </c>
      <c r="C26" s="100">
        <v>2</v>
      </c>
      <c r="D26" s="100" t="s">
        <v>285</v>
      </c>
      <c r="E26" s="100" t="s">
        <v>286</v>
      </c>
      <c r="J26" s="77"/>
    </row>
    <row r="27" spans="2:10" x14ac:dyDescent="0.25">
      <c r="B27" s="100" t="s">
        <v>47</v>
      </c>
      <c r="C27" s="102">
        <f>C10*(C4/'Conversion Factors'!$D$42)</f>
        <v>24.447451104999999</v>
      </c>
      <c r="D27" s="100" t="s">
        <v>19</v>
      </c>
      <c r="E27" s="100" t="s">
        <v>298</v>
      </c>
      <c r="J27" s="77"/>
    </row>
    <row r="28" spans="2:10" x14ac:dyDescent="0.25">
      <c r="C28" s="200"/>
      <c r="J28" s="77"/>
    </row>
    <row r="29" spans="2:10" x14ac:dyDescent="0.25">
      <c r="B29" s="103"/>
      <c r="C29" s="77"/>
      <c r="D29" s="77"/>
      <c r="E29" s="77"/>
      <c r="F29" s="77"/>
      <c r="G29" s="77"/>
      <c r="H29" s="77"/>
      <c r="I29" s="77"/>
      <c r="J29" s="77"/>
    </row>
    <row r="30" spans="2:10" x14ac:dyDescent="0.25">
      <c r="B30" s="67" t="s">
        <v>867</v>
      </c>
      <c r="C30" s="135" t="s">
        <v>400</v>
      </c>
      <c r="D30" s="135" t="s">
        <v>401</v>
      </c>
      <c r="E30" s="135" t="s">
        <v>402</v>
      </c>
      <c r="F30" s="136"/>
      <c r="G30" s="77"/>
      <c r="H30" s="77"/>
      <c r="I30" s="77"/>
      <c r="J30" s="68"/>
    </row>
    <row r="31" spans="2:10" x14ac:dyDescent="0.25">
      <c r="B31" s="67" t="s">
        <v>403</v>
      </c>
      <c r="C31" s="137">
        <v>6</v>
      </c>
      <c r="D31" s="137">
        <v>4.5</v>
      </c>
      <c r="E31" s="137">
        <v>3.5</v>
      </c>
      <c r="F31" s="136"/>
      <c r="G31" s="77"/>
      <c r="H31" s="77"/>
      <c r="I31" s="77"/>
      <c r="J31" s="77"/>
    </row>
    <row r="32" spans="2:10" x14ac:dyDescent="0.25">
      <c r="B32" s="94" t="s">
        <v>404</v>
      </c>
      <c r="C32" s="138" t="s">
        <v>405</v>
      </c>
      <c r="D32" s="138" t="s">
        <v>405</v>
      </c>
      <c r="E32" s="138" t="s">
        <v>405</v>
      </c>
      <c r="F32" s="138" t="s">
        <v>406</v>
      </c>
      <c r="G32" s="94" t="s">
        <v>407</v>
      </c>
      <c r="H32" s="330" t="s">
        <v>408</v>
      </c>
      <c r="I32" s="77"/>
    </row>
    <row r="33" spans="2:11" x14ac:dyDescent="0.25">
      <c r="B33" s="91" t="s">
        <v>409</v>
      </c>
      <c r="C33" s="139">
        <v>5</v>
      </c>
      <c r="D33" s="139">
        <v>5</v>
      </c>
      <c r="E33" s="139">
        <v>5</v>
      </c>
      <c r="F33" s="139" t="s">
        <v>410</v>
      </c>
      <c r="G33" s="91" t="s">
        <v>410</v>
      </c>
      <c r="H33" s="331" t="s">
        <v>856</v>
      </c>
      <c r="I33" s="77"/>
    </row>
    <row r="34" spans="2:11" x14ac:dyDescent="0.25">
      <c r="B34" s="91" t="s">
        <v>411</v>
      </c>
      <c r="C34" s="139">
        <v>0</v>
      </c>
      <c r="D34" s="139">
        <v>0</v>
      </c>
      <c r="E34" s="139">
        <v>0</v>
      </c>
      <c r="F34" s="139" t="s">
        <v>347</v>
      </c>
      <c r="G34" s="140" t="s">
        <v>347</v>
      </c>
      <c r="H34" s="332" t="s">
        <v>347</v>
      </c>
      <c r="I34" s="77"/>
    </row>
    <row r="35" spans="2:11" x14ac:dyDescent="0.25">
      <c r="B35" s="91" t="s">
        <v>0</v>
      </c>
      <c r="C35" s="139">
        <v>0</v>
      </c>
      <c r="D35" s="139">
        <v>4</v>
      </c>
      <c r="E35" s="139">
        <v>2</v>
      </c>
      <c r="F35" s="139">
        <v>30</v>
      </c>
      <c r="G35" s="91" t="s">
        <v>912</v>
      </c>
      <c r="H35" s="331" t="s">
        <v>856</v>
      </c>
    </row>
    <row r="36" spans="2:11" x14ac:dyDescent="0.25">
      <c r="B36" s="91" t="s">
        <v>357</v>
      </c>
      <c r="C36" s="139">
        <v>4</v>
      </c>
      <c r="D36" s="139">
        <v>0</v>
      </c>
      <c r="E36" s="139">
        <v>4</v>
      </c>
      <c r="F36" s="139">
        <v>32</v>
      </c>
      <c r="G36" s="91" t="s">
        <v>913</v>
      </c>
      <c r="H36" s="331" t="s">
        <v>856</v>
      </c>
    </row>
    <row r="37" spans="2:11" x14ac:dyDescent="0.25">
      <c r="B37" s="91" t="s">
        <v>911</v>
      </c>
      <c r="C37" s="377">
        <f>SUM(C33:C36)</f>
        <v>9</v>
      </c>
      <c r="D37" s="377">
        <f t="shared" ref="D37:E37" si="0">SUM(D33:D36)</f>
        <v>9</v>
      </c>
      <c r="E37" s="377">
        <f t="shared" si="0"/>
        <v>11</v>
      </c>
      <c r="F37" s="136"/>
      <c r="G37" s="77"/>
      <c r="H37" s="77"/>
    </row>
    <row r="38" spans="2:11" x14ac:dyDescent="0.25"/>
    <row r="39" spans="2:11" x14ac:dyDescent="0.25">
      <c r="B39" s="67" t="s">
        <v>528</v>
      </c>
    </row>
    <row r="40" spans="2:11" x14ac:dyDescent="0.25">
      <c r="B40" s="172" t="s">
        <v>55</v>
      </c>
      <c r="C40" s="172" t="s">
        <v>56</v>
      </c>
      <c r="D40" s="172" t="s">
        <v>283</v>
      </c>
      <c r="E40" s="172" t="s">
        <v>492</v>
      </c>
    </row>
    <row r="41" spans="2:11" x14ac:dyDescent="0.25">
      <c r="B41" s="171" t="s">
        <v>529</v>
      </c>
      <c r="C41" s="193">
        <v>950</v>
      </c>
      <c r="D41" s="171" t="s">
        <v>788</v>
      </c>
      <c r="E41" s="198" t="s">
        <v>869</v>
      </c>
      <c r="K41" s="68"/>
    </row>
    <row r="42" spans="2:11" ht="17.25" x14ac:dyDescent="0.25">
      <c r="B42" s="171" t="s">
        <v>868</v>
      </c>
      <c r="C42" s="193">
        <f>(370*48)/'Conversion Factors'!$D$7</f>
        <v>1649.9595871384909</v>
      </c>
      <c r="D42" s="171" t="s">
        <v>789</v>
      </c>
      <c r="E42" s="66" t="s">
        <v>870</v>
      </c>
      <c r="K42" s="68"/>
    </row>
    <row r="43" spans="2:11" x14ac:dyDescent="0.25">
      <c r="B43" s="171" t="s">
        <v>529</v>
      </c>
      <c r="C43" s="191">
        <f>C41/C42</f>
        <v>0.57577167792792783</v>
      </c>
      <c r="D43" s="171" t="s">
        <v>790</v>
      </c>
      <c r="E43" s="171" t="s">
        <v>131</v>
      </c>
    </row>
    <row r="44" spans="2:11" ht="15.75" x14ac:dyDescent="0.25">
      <c r="B44" s="171" t="s">
        <v>791</v>
      </c>
      <c r="C44" s="333">
        <v>1.1679999999999999</v>
      </c>
      <c r="D44" s="171" t="s">
        <v>124</v>
      </c>
      <c r="E44" s="171"/>
    </row>
    <row r="45" spans="2:11" x14ac:dyDescent="0.25">
      <c r="B45" s="171" t="s">
        <v>818</v>
      </c>
      <c r="C45" s="282">
        <f>C43*C44*$C$24*(0.125/0.15)*0.15</f>
        <v>30.826768376893135</v>
      </c>
      <c r="D45" s="171" t="s">
        <v>42</v>
      </c>
      <c r="E45" s="171" t="s">
        <v>820</v>
      </c>
    </row>
    <row r="46" spans="2:11" x14ac:dyDescent="0.25"/>
    <row r="47" spans="2:11" x14ac:dyDescent="0.25">
      <c r="B47" s="67" t="s">
        <v>488</v>
      </c>
    </row>
    <row r="48" spans="2:11" x14ac:dyDescent="0.25">
      <c r="B48" s="172" t="s">
        <v>55</v>
      </c>
      <c r="C48" s="172" t="s">
        <v>56</v>
      </c>
      <c r="D48" s="172" t="s">
        <v>283</v>
      </c>
      <c r="E48" s="172" t="s">
        <v>492</v>
      </c>
    </row>
    <row r="49" spans="2:18" x14ac:dyDescent="0.25">
      <c r="B49" s="171" t="s">
        <v>334</v>
      </c>
      <c r="C49" s="190">
        <f>'GPS-X Model'!D44/'Conversion Factors'!$D$42/'Conversion Factors'!$D$41/60</f>
        <v>1.1295144089988006E-5</v>
      </c>
      <c r="D49" s="171" t="s">
        <v>483</v>
      </c>
      <c r="E49" s="171" t="s">
        <v>425</v>
      </c>
    </row>
    <row r="50" spans="2:18" x14ac:dyDescent="0.25">
      <c r="B50" s="171" t="s">
        <v>480</v>
      </c>
      <c r="C50" s="191">
        <f>10/'Conversion Factors'!$D$18</f>
        <v>3.047999902464003</v>
      </c>
      <c r="D50" s="171" t="s">
        <v>481</v>
      </c>
      <c r="E50" s="171" t="s">
        <v>494</v>
      </c>
    </row>
    <row r="51" spans="2:18" x14ac:dyDescent="0.25">
      <c r="B51" s="171" t="s">
        <v>484</v>
      </c>
      <c r="C51" s="171">
        <v>0.6</v>
      </c>
      <c r="D51" s="171" t="s">
        <v>347</v>
      </c>
      <c r="E51" s="171" t="s">
        <v>493</v>
      </c>
    </row>
    <row r="52" spans="2:18" x14ac:dyDescent="0.25">
      <c r="B52" s="171" t="s">
        <v>485</v>
      </c>
      <c r="C52" s="171">
        <v>9.81</v>
      </c>
      <c r="D52" s="171" t="s">
        <v>486</v>
      </c>
      <c r="E52" s="171"/>
    </row>
    <row r="53" spans="2:18" x14ac:dyDescent="0.25">
      <c r="B53" s="171" t="s">
        <v>87</v>
      </c>
      <c r="C53" s="192">
        <f>(C49*'Conversion Factors'!$D$46*1.4*$C$52*AeMBR!$C$50)/AeMBR!$C$51/1000</f>
        <v>7.88047720156501E-4</v>
      </c>
      <c r="D53" s="171" t="s">
        <v>437</v>
      </c>
      <c r="E53" s="171" t="s">
        <v>131</v>
      </c>
    </row>
    <row r="54" spans="2:18" x14ac:dyDescent="0.25">
      <c r="B54" s="171" t="s">
        <v>487</v>
      </c>
      <c r="C54" s="171">
        <f>'Conversion Factors'!$D$40</f>
        <v>8760</v>
      </c>
      <c r="D54" s="171" t="s">
        <v>41</v>
      </c>
      <c r="E54" s="171" t="s">
        <v>495</v>
      </c>
      <c r="K54" s="99"/>
      <c r="L54" s="99"/>
      <c r="M54" s="99"/>
      <c r="N54" s="99"/>
      <c r="O54" s="99"/>
      <c r="P54" s="99"/>
      <c r="Q54" s="99"/>
      <c r="R54" s="99"/>
    </row>
    <row r="55" spans="2:18" x14ac:dyDescent="0.25">
      <c r="B55" s="171" t="s">
        <v>267</v>
      </c>
      <c r="C55" s="282">
        <f>C53*C54</f>
        <v>6.9032980285709487</v>
      </c>
      <c r="D55" s="171" t="s">
        <v>359</v>
      </c>
      <c r="E55" s="171" t="s">
        <v>131</v>
      </c>
      <c r="K55" s="70"/>
      <c r="L55" s="70"/>
      <c r="M55" s="70"/>
      <c r="N55" s="70"/>
      <c r="O55" s="70"/>
      <c r="P55" s="70"/>
      <c r="Q55" s="70"/>
      <c r="R55" s="70"/>
    </row>
    <row r="56" spans="2:18" x14ac:dyDescent="0.25">
      <c r="B56" s="66" t="s">
        <v>489</v>
      </c>
      <c r="K56" s="70"/>
      <c r="L56" s="70"/>
      <c r="M56" s="70"/>
      <c r="N56" s="70"/>
      <c r="O56" s="70"/>
      <c r="P56" s="70"/>
      <c r="Q56" s="70"/>
      <c r="R56" s="70"/>
    </row>
    <row r="57" spans="2:18" x14ac:dyDescent="0.25">
      <c r="K57" s="70"/>
      <c r="L57" s="70"/>
      <c r="M57" s="70"/>
      <c r="N57" s="70"/>
      <c r="O57" s="70"/>
      <c r="P57" s="70"/>
      <c r="Q57" s="70"/>
      <c r="R57" s="70"/>
    </row>
    <row r="58" spans="2:18" x14ac:dyDescent="0.25">
      <c r="B58" s="67" t="s">
        <v>748</v>
      </c>
    </row>
    <row r="59" spans="2:18" ht="15" customHeight="1" x14ac:dyDescent="0.25">
      <c r="B59" s="172" t="s">
        <v>55</v>
      </c>
      <c r="C59" s="172" t="s">
        <v>56</v>
      </c>
      <c r="D59" s="172" t="s">
        <v>283</v>
      </c>
      <c r="E59" s="172" t="s">
        <v>492</v>
      </c>
      <c r="K59" s="99"/>
      <c r="L59" s="99"/>
      <c r="M59" s="99"/>
      <c r="N59" s="99"/>
      <c r="O59" s="99"/>
      <c r="P59" s="99"/>
      <c r="Q59" s="99"/>
      <c r="R59" s="99"/>
    </row>
    <row r="60" spans="2:18" x14ac:dyDescent="0.25">
      <c r="B60" s="171" t="s">
        <v>334</v>
      </c>
      <c r="C60" s="192">
        <f>('GPS-X Model'!D51+($C$21/'Conversion Factors'!$D$29))/'Conversion Factors'!$D$42/'Conversion Factors'!$D$41/60</f>
        <v>1.550478090928875E-3</v>
      </c>
      <c r="D60" s="171" t="s">
        <v>483</v>
      </c>
      <c r="E60" s="66" t="s">
        <v>425</v>
      </c>
      <c r="K60" s="99"/>
      <c r="L60" s="99"/>
      <c r="M60" s="99"/>
      <c r="N60" s="99"/>
      <c r="O60" s="99"/>
      <c r="P60" s="99"/>
      <c r="Q60" s="99"/>
      <c r="R60" s="99"/>
    </row>
    <row r="61" spans="2:18" x14ac:dyDescent="0.25">
      <c r="B61" s="171" t="s">
        <v>480</v>
      </c>
      <c r="C61" s="191">
        <f>45/'Conversion Factors'!$D$18</f>
        <v>13.715999561088013</v>
      </c>
      <c r="D61" s="171" t="s">
        <v>481</v>
      </c>
      <c r="E61" s="171" t="s">
        <v>525</v>
      </c>
      <c r="K61" s="99"/>
      <c r="L61" s="99"/>
      <c r="M61" s="99"/>
      <c r="N61" s="99"/>
      <c r="O61" s="99"/>
      <c r="P61" s="99"/>
      <c r="Q61" s="99"/>
      <c r="R61" s="99"/>
    </row>
    <row r="62" spans="2:18" x14ac:dyDescent="0.25">
      <c r="B62" s="171" t="s">
        <v>484</v>
      </c>
      <c r="C62" s="194">
        <v>0.6</v>
      </c>
      <c r="D62" s="171" t="s">
        <v>347</v>
      </c>
      <c r="E62" s="171" t="s">
        <v>493</v>
      </c>
      <c r="K62" s="99"/>
      <c r="L62" s="99"/>
      <c r="M62" s="99"/>
      <c r="N62" s="99"/>
      <c r="O62" s="99"/>
      <c r="P62" s="99"/>
      <c r="Q62" s="99"/>
      <c r="R62" s="99"/>
    </row>
    <row r="63" spans="2:18" x14ac:dyDescent="0.25">
      <c r="B63" s="171" t="s">
        <v>485</v>
      </c>
      <c r="C63" s="191">
        <v>9.81</v>
      </c>
      <c r="D63" s="171" t="s">
        <v>486</v>
      </c>
      <c r="E63" s="171"/>
      <c r="J63" s="99"/>
      <c r="K63" s="99"/>
      <c r="L63" s="99"/>
      <c r="M63" s="99"/>
      <c r="N63" s="99"/>
      <c r="O63" s="99"/>
      <c r="P63" s="99"/>
      <c r="Q63" s="99"/>
      <c r="R63" s="99"/>
    </row>
    <row r="64" spans="2:18" x14ac:dyDescent="0.25">
      <c r="B64" s="171" t="s">
        <v>87</v>
      </c>
      <c r="C64" s="194">
        <f>(C60*'Conversion Factors'!$D$46*C63*AeMBR!C61)/AeMBR!C62/1000</f>
        <v>0.34770493391964247</v>
      </c>
      <c r="D64" s="171" t="s">
        <v>437</v>
      </c>
      <c r="E64" s="171" t="s">
        <v>131</v>
      </c>
      <c r="J64" s="99"/>
    </row>
    <row r="65" spans="2:10" x14ac:dyDescent="0.25">
      <c r="B65" s="171" t="s">
        <v>487</v>
      </c>
      <c r="C65" s="192">
        <f>8760</f>
        <v>8760</v>
      </c>
      <c r="D65" s="171" t="s">
        <v>41</v>
      </c>
      <c r="E65" s="171" t="s">
        <v>494</v>
      </c>
      <c r="J65" s="99"/>
    </row>
    <row r="66" spans="2:10" x14ac:dyDescent="0.25">
      <c r="B66" s="171" t="s">
        <v>267</v>
      </c>
      <c r="C66" s="273">
        <f>C64*C65</f>
        <v>3045.8952211360679</v>
      </c>
      <c r="D66" s="171" t="s">
        <v>359</v>
      </c>
      <c r="E66" s="171" t="s">
        <v>131</v>
      </c>
      <c r="J66" s="99"/>
    </row>
    <row r="67" spans="2:10" x14ac:dyDescent="0.25"/>
    <row r="68" spans="2:10" x14ac:dyDescent="0.25">
      <c r="B68" s="67" t="s">
        <v>749</v>
      </c>
    </row>
    <row r="69" spans="2:10" x14ac:dyDescent="0.25">
      <c r="B69" s="171" t="s">
        <v>267</v>
      </c>
      <c r="C69" s="274">
        <f>0.25*SUM('GPS-X Model'!$H$94, AeMBR!C55,AeMBR!C66)</f>
        <v>3766.3696297911597</v>
      </c>
      <c r="D69" s="171" t="s">
        <v>750</v>
      </c>
    </row>
    <row r="70" spans="2:10" x14ac:dyDescent="0.25">
      <c r="B70" s="68" t="s">
        <v>751</v>
      </c>
    </row>
    <row r="71" spans="2:10" x14ac:dyDescent="0.25">
      <c r="B71" s="68" t="s">
        <v>898</v>
      </c>
    </row>
    <row r="72" spans="2:10" x14ac:dyDescent="0.25">
      <c r="B72" s="68" t="s">
        <v>899</v>
      </c>
    </row>
    <row r="73" spans="2:10" x14ac:dyDescent="0.25">
      <c r="B73" s="68" t="s">
        <v>900</v>
      </c>
    </row>
    <row r="74" spans="2:10" x14ac:dyDescent="0.25"/>
    <row r="75" spans="2:10" x14ac:dyDescent="0.25">
      <c r="B75" s="123" t="s">
        <v>752</v>
      </c>
      <c r="C75" s="275"/>
      <c r="D75" s="276"/>
      <c r="E75" s="275"/>
    </row>
    <row r="76" spans="2:10" x14ac:dyDescent="0.25">
      <c r="B76" s="275"/>
      <c r="C76" s="275" t="s">
        <v>47</v>
      </c>
      <c r="D76" s="276">
        <v>5000</v>
      </c>
      <c r="E76" s="275" t="s">
        <v>753</v>
      </c>
    </row>
    <row r="77" spans="2:10" x14ac:dyDescent="0.25">
      <c r="B77" s="275"/>
      <c r="C77" s="275" t="s">
        <v>754</v>
      </c>
      <c r="D77" s="276">
        <v>4</v>
      </c>
      <c r="E77" s="275" t="s">
        <v>45</v>
      </c>
    </row>
    <row r="78" spans="2:10" x14ac:dyDescent="0.25">
      <c r="B78" s="275"/>
      <c r="C78" s="275" t="s">
        <v>755</v>
      </c>
      <c r="D78" s="276">
        <v>398.70816739392734</v>
      </c>
      <c r="E78" s="275" t="s">
        <v>553</v>
      </c>
    </row>
    <row r="79" spans="2:10" x14ac:dyDescent="0.25">
      <c r="B79" s="275"/>
      <c r="C79" s="206" t="s">
        <v>756</v>
      </c>
      <c r="D79" s="205">
        <f>D77*D78</f>
        <v>1594.8326695757094</v>
      </c>
      <c r="E79" s="275" t="s">
        <v>553</v>
      </c>
    </row>
    <row r="80" spans="2:10" x14ac:dyDescent="0.25">
      <c r="B80" s="275"/>
      <c r="C80" s="277" t="s">
        <v>757</v>
      </c>
      <c r="D80" s="276"/>
      <c r="E80" s="275"/>
    </row>
    <row r="81" spans="2:6" x14ac:dyDescent="0.25">
      <c r="B81" s="275"/>
      <c r="C81" s="277"/>
      <c r="D81" s="276"/>
      <c r="E81" s="275"/>
    </row>
    <row r="82" spans="2:6" x14ac:dyDescent="0.25">
      <c r="B82" s="67" t="s">
        <v>758</v>
      </c>
      <c r="C82" s="77"/>
      <c r="D82" s="77"/>
    </row>
    <row r="83" spans="2:6" x14ac:dyDescent="0.25">
      <c r="B83" s="14" t="s">
        <v>690</v>
      </c>
      <c r="C83" s="260">
        <f>C27*1.5</f>
        <v>36.671176657499998</v>
      </c>
      <c r="D83" s="14" t="s">
        <v>2</v>
      </c>
    </row>
    <row r="84" spans="2:6" x14ac:dyDescent="0.25">
      <c r="B84" s="66" t="s">
        <v>691</v>
      </c>
      <c r="C84" s="261">
        <f>C13+(2/3.28)</f>
        <v>3.5897560975609757</v>
      </c>
      <c r="D84" s="206" t="s">
        <v>46</v>
      </c>
    </row>
    <row r="85" spans="2:6" x14ac:dyDescent="0.25">
      <c r="B85" s="66" t="s">
        <v>759</v>
      </c>
      <c r="C85" s="260">
        <f>C15/2*3+3*C87</f>
        <v>4.5890000000000004</v>
      </c>
      <c r="D85" s="14" t="s">
        <v>46</v>
      </c>
    </row>
    <row r="86" spans="2:6" x14ac:dyDescent="0.25">
      <c r="B86" s="66" t="s">
        <v>760</v>
      </c>
      <c r="C86" s="262">
        <f>C14</f>
        <v>3.37</v>
      </c>
      <c r="D86" s="206" t="s">
        <v>46</v>
      </c>
      <c r="F86" s="66" t="s">
        <v>761</v>
      </c>
    </row>
    <row r="87" spans="2:6" x14ac:dyDescent="0.25">
      <c r="B87" s="206" t="s">
        <v>693</v>
      </c>
      <c r="C87" s="339">
        <f>(7.5+(0.5*(C13*CONVERT(1,"m","ft"))))/CONVERT(1,"m","in")</f>
        <v>0.31466666666666665</v>
      </c>
      <c r="D87" s="66" t="s">
        <v>875</v>
      </c>
    </row>
    <row r="88" spans="2:6" x14ac:dyDescent="0.25">
      <c r="B88" s="206" t="s">
        <v>695</v>
      </c>
      <c r="C88" s="261">
        <f>1.5/3.28</f>
        <v>0.45731707317073172</v>
      </c>
      <c r="D88" s="66" t="s">
        <v>762</v>
      </c>
    </row>
    <row r="89" spans="2:6" x14ac:dyDescent="0.25">
      <c r="B89" s="66" t="s">
        <v>697</v>
      </c>
      <c r="C89" s="262">
        <f>C86+(2*C87)</f>
        <v>3.9993333333333334</v>
      </c>
      <c r="D89" s="206" t="s">
        <v>46</v>
      </c>
      <c r="F89" s="66" t="s">
        <v>763</v>
      </c>
    </row>
    <row r="90" spans="2:6" x14ac:dyDescent="0.25">
      <c r="B90" s="66" t="s">
        <v>698</v>
      </c>
      <c r="C90" s="262">
        <f>C85</f>
        <v>4.5890000000000004</v>
      </c>
      <c r="D90" s="206" t="s">
        <v>46</v>
      </c>
    </row>
    <row r="91" spans="2:6" x14ac:dyDescent="0.25">
      <c r="B91" s="66" t="s">
        <v>764</v>
      </c>
      <c r="C91" s="262">
        <v>2</v>
      </c>
      <c r="D91" s="206" t="s">
        <v>45</v>
      </c>
    </row>
    <row r="92" spans="2:6" x14ac:dyDescent="0.25">
      <c r="B92" s="66" t="s">
        <v>765</v>
      </c>
      <c r="C92" s="262">
        <v>4</v>
      </c>
      <c r="D92" s="206" t="s">
        <v>724</v>
      </c>
      <c r="F92" s="66" t="s">
        <v>766</v>
      </c>
    </row>
    <row r="93" spans="2:6" x14ac:dyDescent="0.25">
      <c r="B93" s="206" t="s">
        <v>725</v>
      </c>
      <c r="C93" s="262">
        <v>1</v>
      </c>
      <c r="D93" s="206" t="s">
        <v>45</v>
      </c>
    </row>
    <row r="94" spans="2:6" x14ac:dyDescent="0.25">
      <c r="B94" s="66" t="s">
        <v>701</v>
      </c>
      <c r="C94" s="262">
        <f>((C84*C85*C91))</f>
        <v>32.946781463414638</v>
      </c>
      <c r="D94" s="66" t="s">
        <v>39</v>
      </c>
    </row>
    <row r="95" spans="2:6" x14ac:dyDescent="0.25">
      <c r="B95" s="66" t="s">
        <v>767</v>
      </c>
      <c r="C95" s="262">
        <f>C86*C84*C92</f>
        <v>48.389912195121951</v>
      </c>
      <c r="D95" s="66" t="s">
        <v>39</v>
      </c>
    </row>
    <row r="96" spans="2:6" x14ac:dyDescent="0.25">
      <c r="B96" s="66" t="s">
        <v>702</v>
      </c>
      <c r="C96" s="261">
        <f>C85*C84*C87*C91</f>
        <v>10.367253900487805</v>
      </c>
      <c r="D96" s="206" t="s">
        <v>2</v>
      </c>
    </row>
    <row r="97" spans="2:4" x14ac:dyDescent="0.25">
      <c r="B97" s="66" t="s">
        <v>768</v>
      </c>
      <c r="C97" s="262">
        <f>C84*C86*C87*C92</f>
        <v>15.226692370731707</v>
      </c>
      <c r="D97" s="206" t="s">
        <v>2</v>
      </c>
    </row>
    <row r="98" spans="2:4" x14ac:dyDescent="0.25">
      <c r="B98" s="66" t="s">
        <v>703</v>
      </c>
      <c r="C98" s="261">
        <f>C89*C90*C88*C93</f>
        <v>8.3931131097560989</v>
      </c>
      <c r="D98" s="206" t="s">
        <v>2</v>
      </c>
    </row>
    <row r="99" spans="2:4" x14ac:dyDescent="0.25">
      <c r="B99" s="206" t="s">
        <v>704</v>
      </c>
      <c r="C99" s="263">
        <f>SUM(C96:C98)</f>
        <v>33.987059380975609</v>
      </c>
      <c r="D99" s="206" t="s">
        <v>2</v>
      </c>
    </row>
    <row r="100" spans="2:4" x14ac:dyDescent="0.25">
      <c r="B100" s="206" t="s">
        <v>705</v>
      </c>
      <c r="C100" s="264">
        <v>2300</v>
      </c>
      <c r="D100" s="206" t="s">
        <v>73</v>
      </c>
    </row>
    <row r="101" spans="2:4" x14ac:dyDescent="0.25">
      <c r="B101" s="206" t="s">
        <v>706</v>
      </c>
      <c r="C101" s="265">
        <v>40</v>
      </c>
      <c r="D101" s="206" t="s">
        <v>707</v>
      </c>
    </row>
    <row r="102" spans="2:4" x14ac:dyDescent="0.25">
      <c r="B102" s="206" t="s">
        <v>708</v>
      </c>
      <c r="C102" s="266">
        <v>9450.9247907023982</v>
      </c>
      <c r="D102" s="206" t="s">
        <v>553</v>
      </c>
    </row>
    <row r="103" spans="2:4" x14ac:dyDescent="0.25">
      <c r="B103" s="206" t="s">
        <v>709</v>
      </c>
      <c r="C103" s="261">
        <v>0.30479999024640031</v>
      </c>
      <c r="D103" s="206" t="s">
        <v>710</v>
      </c>
    </row>
    <row r="104" spans="2:4" x14ac:dyDescent="0.25">
      <c r="B104" s="206" t="s">
        <v>711</v>
      </c>
      <c r="C104" s="265">
        <f>((C85*(C84/C103)*C91*2)+(C86*(C84/C103)*C92*2)+(C89*(C90/C103)*1*2))*2</f>
        <v>1308.2629595179997</v>
      </c>
      <c r="D104" s="206" t="s">
        <v>46</v>
      </c>
    </row>
    <row r="105" spans="2:4" x14ac:dyDescent="0.25">
      <c r="B105" s="206" t="s">
        <v>712</v>
      </c>
      <c r="C105" s="205">
        <f>C104*'Conversion Factors'!$F$58</f>
        <v>2024.7885636457877</v>
      </c>
      <c r="D105" s="206" t="s">
        <v>553</v>
      </c>
    </row>
    <row r="106" spans="2:4" x14ac:dyDescent="0.25"/>
    <row r="107" spans="2:4" x14ac:dyDescent="0.25">
      <c r="B107" s="67" t="s">
        <v>769</v>
      </c>
    </row>
    <row r="108" spans="2:4" x14ac:dyDescent="0.25">
      <c r="B108" s="66" t="s">
        <v>770</v>
      </c>
      <c r="C108" s="69">
        <f>SUM('GPS-X Model'!D47:D48)*'Conversion Factors'!$D$30/'Conversion Factors'!$D$41</f>
        <v>50.063156668894443</v>
      </c>
    </row>
    <row r="109" spans="2:4" x14ac:dyDescent="0.25">
      <c r="B109" s="66" t="s">
        <v>771</v>
      </c>
      <c r="C109" s="69">
        <f>1.15*C108</f>
        <v>57.572630169228603</v>
      </c>
    </row>
    <row r="110" spans="2:4" x14ac:dyDescent="0.25">
      <c r="B110" s="66" t="s">
        <v>772</v>
      </c>
      <c r="C110" s="69">
        <f>C109*2</f>
        <v>115.14526033845721</v>
      </c>
      <c r="D110" s="66" t="s">
        <v>773</v>
      </c>
    </row>
    <row r="111" spans="2:4" x14ac:dyDescent="0.25">
      <c r="B111" s="66" t="s">
        <v>774</v>
      </c>
      <c r="C111" s="69">
        <f>'GPS-X Model'!D47*'Conversion Factors'!$D$30/'Conversion Factors'!$D$41</f>
        <v>17.691348335561113</v>
      </c>
      <c r="D111" s="66" t="s">
        <v>773</v>
      </c>
    </row>
    <row r="112" spans="2:4" x14ac:dyDescent="0.25">
      <c r="B112" s="66" t="s">
        <v>775</v>
      </c>
      <c r="C112" s="69">
        <f>'GPS-X Model'!D48*'Conversion Factors'!$D$30/'Conversion Factors'!$D$41</f>
        <v>32.371808333333334</v>
      </c>
      <c r="D112" s="66" t="s">
        <v>773</v>
      </c>
    </row>
    <row r="113" spans="2:9" x14ac:dyDescent="0.25">
      <c r="B113" s="66" t="s">
        <v>871</v>
      </c>
      <c r="C113" s="334">
        <f>C111/SUM($C$111:$C$112)</f>
        <v>0.35338059988041487</v>
      </c>
      <c r="E113" s="278"/>
    </row>
    <row r="114" spans="2:9" x14ac:dyDescent="0.25">
      <c r="B114" s="66" t="s">
        <v>872</v>
      </c>
      <c r="C114" s="334">
        <f>C112/SUM($C$111:$C$112)</f>
        <v>0.64661940011958507</v>
      </c>
      <c r="E114" s="278"/>
    </row>
    <row r="115" spans="2:9" x14ac:dyDescent="0.25">
      <c r="B115" s="66" t="s">
        <v>776</v>
      </c>
      <c r="C115" s="69">
        <f>C110*$C113/2</f>
        <v>20.345050585895276</v>
      </c>
    </row>
    <row r="116" spans="2:9" x14ac:dyDescent="0.25">
      <c r="B116" s="66" t="s">
        <v>777</v>
      </c>
      <c r="C116" s="69">
        <f>C110*$C114/12</f>
        <v>6.2045965972222206</v>
      </c>
    </row>
    <row r="117" spans="2:9" x14ac:dyDescent="0.25">
      <c r="B117" s="66" t="s">
        <v>778</v>
      </c>
      <c r="C117" s="69">
        <f>ROUNDUP(C115,0)</f>
        <v>21</v>
      </c>
    </row>
    <row r="118" spans="2:9" x14ac:dyDescent="0.25">
      <c r="B118" s="66" t="s">
        <v>779</v>
      </c>
      <c r="C118" s="69">
        <f>ROUNDUP(C116,0)</f>
        <v>7</v>
      </c>
    </row>
    <row r="119" spans="2:9" x14ac:dyDescent="0.25"/>
    <row r="120" spans="2:9" ht="15.75" x14ac:dyDescent="0.25">
      <c r="B120" s="283" t="s">
        <v>515</v>
      </c>
    </row>
    <row r="121" spans="2:9" ht="15.75" x14ac:dyDescent="0.25">
      <c r="B121" s="283" t="s">
        <v>502</v>
      </c>
      <c r="C121" s="284"/>
      <c r="D121" s="284"/>
      <c r="E121" s="284"/>
      <c r="F121" s="284"/>
      <c r="G121" s="284"/>
      <c r="H121" s="284"/>
      <c r="I121" s="284"/>
    </row>
    <row r="122" spans="2:9" ht="15.75" x14ac:dyDescent="0.25">
      <c r="B122" s="284"/>
      <c r="C122" s="285"/>
      <c r="D122" s="285" t="s">
        <v>503</v>
      </c>
      <c r="E122" s="285"/>
      <c r="F122" s="285"/>
      <c r="G122" s="285"/>
      <c r="H122" s="284"/>
      <c r="I122" s="284"/>
    </row>
    <row r="123" spans="2:9" ht="15.75" x14ac:dyDescent="0.25">
      <c r="B123" s="284"/>
      <c r="C123" s="286" t="s">
        <v>504</v>
      </c>
      <c r="D123" s="285" t="s">
        <v>505</v>
      </c>
      <c r="E123" s="285"/>
      <c r="F123" s="285"/>
      <c r="G123" s="285"/>
      <c r="H123" s="284"/>
      <c r="I123" s="284"/>
    </row>
    <row r="124" spans="2:9" ht="15.75" x14ac:dyDescent="0.25">
      <c r="B124" s="284"/>
      <c r="C124" s="286" t="s">
        <v>506</v>
      </c>
      <c r="D124" s="285">
        <v>0.04</v>
      </c>
      <c r="E124" s="285" t="s">
        <v>507</v>
      </c>
      <c r="F124" s="285"/>
      <c r="G124" s="285"/>
      <c r="H124" s="284"/>
      <c r="I124" s="284"/>
    </row>
    <row r="125" spans="2:9" ht="15.75" x14ac:dyDescent="0.25">
      <c r="B125" s="284"/>
      <c r="C125" s="287" t="s">
        <v>508</v>
      </c>
      <c r="D125" s="288">
        <v>1.9E-3</v>
      </c>
      <c r="E125" s="285" t="s">
        <v>46</v>
      </c>
      <c r="F125" s="285"/>
      <c r="G125" s="285"/>
      <c r="H125" s="284"/>
      <c r="I125" s="284"/>
    </row>
    <row r="126" spans="2:9" ht="15.75" x14ac:dyDescent="0.25">
      <c r="B126" s="284"/>
      <c r="C126" s="287" t="s">
        <v>509</v>
      </c>
      <c r="D126" s="288">
        <v>8.0000000000000004E-4</v>
      </c>
      <c r="E126" s="285" t="s">
        <v>46</v>
      </c>
      <c r="F126" s="285"/>
      <c r="G126" s="285"/>
      <c r="H126" s="284"/>
      <c r="I126" s="284"/>
    </row>
    <row r="127" spans="2:9" ht="15.75" x14ac:dyDescent="0.25">
      <c r="B127" s="284"/>
      <c r="C127" s="286" t="s">
        <v>510</v>
      </c>
      <c r="D127" s="285">
        <v>31.6</v>
      </c>
      <c r="E127" s="285" t="s">
        <v>39</v>
      </c>
      <c r="F127" s="285"/>
      <c r="G127" s="285"/>
      <c r="H127" s="284"/>
      <c r="I127" s="284"/>
    </row>
    <row r="128" spans="2:9" ht="15.75" x14ac:dyDescent="0.25">
      <c r="B128" s="284"/>
      <c r="C128" s="286" t="s">
        <v>512</v>
      </c>
      <c r="D128" s="336">
        <v>2.198</v>
      </c>
      <c r="E128" s="285" t="s">
        <v>46</v>
      </c>
      <c r="F128" s="285"/>
      <c r="G128" s="285"/>
      <c r="H128" s="284"/>
      <c r="I128" s="284"/>
    </row>
    <row r="129" spans="2:9" ht="15.75" x14ac:dyDescent="0.25">
      <c r="B129" s="284"/>
      <c r="C129" s="286" t="s">
        <v>513</v>
      </c>
      <c r="D129" s="337">
        <v>0.84399999999999997</v>
      </c>
      <c r="E129" s="285" t="s">
        <v>46</v>
      </c>
      <c r="F129" s="285"/>
      <c r="G129" s="285"/>
      <c r="H129" s="284"/>
      <c r="I129" s="284"/>
    </row>
    <row r="130" spans="2:9" ht="15.75" x14ac:dyDescent="0.25">
      <c r="B130" s="284"/>
      <c r="C130" s="286" t="s">
        <v>514</v>
      </c>
      <c r="D130" s="337">
        <v>4.9000000000000002E-2</v>
      </c>
      <c r="E130" s="285" t="s">
        <v>46</v>
      </c>
      <c r="F130" s="285"/>
      <c r="G130" s="285"/>
      <c r="H130" s="284"/>
      <c r="I130" s="284"/>
    </row>
    <row r="131" spans="2:9" ht="15.75" x14ac:dyDescent="0.25">
      <c r="B131" s="289" t="s">
        <v>516</v>
      </c>
      <c r="C131" s="284"/>
      <c r="D131" s="284"/>
      <c r="E131" s="284"/>
      <c r="F131" s="284"/>
      <c r="G131" s="284"/>
      <c r="H131" s="284"/>
      <c r="I131" s="284"/>
    </row>
    <row r="132" spans="2:9" ht="15.75" x14ac:dyDescent="0.25">
      <c r="B132" s="284"/>
      <c r="C132" s="284"/>
      <c r="D132" s="284"/>
      <c r="E132" s="284"/>
      <c r="F132" s="284"/>
      <c r="G132" s="284"/>
      <c r="H132" s="284"/>
      <c r="I132" s="284"/>
    </row>
    <row r="133" spans="2:9" ht="15.75" x14ac:dyDescent="0.25">
      <c r="B133" s="284"/>
      <c r="C133" s="285"/>
      <c r="D133" s="285"/>
    </row>
    <row r="134" spans="2:9" ht="15.75" x14ac:dyDescent="0.25">
      <c r="B134" s="284"/>
      <c r="C134" s="286" t="s">
        <v>518</v>
      </c>
      <c r="D134" s="290">
        <f>AeMBR!C24</f>
        <v>366.71176657499996</v>
      </c>
    </row>
    <row r="135" spans="2:9" ht="15.75" x14ac:dyDescent="0.25">
      <c r="B135" s="284"/>
      <c r="C135" s="286" t="s">
        <v>519</v>
      </c>
      <c r="D135" s="338">
        <f>PI()*$D$125</f>
        <v>5.9690260418206065E-3</v>
      </c>
    </row>
    <row r="136" spans="2:9" ht="15.75" x14ac:dyDescent="0.25">
      <c r="B136" s="284"/>
      <c r="C136" s="291" t="s">
        <v>520</v>
      </c>
      <c r="D136" s="290">
        <f>D134/D135</f>
        <v>61435.779305655298</v>
      </c>
    </row>
    <row r="137" spans="2:9" ht="15.75" x14ac:dyDescent="0.25">
      <c r="B137" s="284"/>
      <c r="C137" s="286" t="s">
        <v>521</v>
      </c>
      <c r="D137" s="338">
        <f>PI()*(($D$125/2)^2-($D$126/2)^2)</f>
        <v>2.3326325452904215E-6</v>
      </c>
    </row>
    <row r="138" spans="2:9" ht="15.75" x14ac:dyDescent="0.25">
      <c r="B138" s="284"/>
      <c r="C138" s="286" t="s">
        <v>522</v>
      </c>
      <c r="D138" s="337">
        <f>D136*D137</f>
        <v>0.14330709825365132</v>
      </c>
    </row>
    <row r="139" spans="2:9" ht="15.75" x14ac:dyDescent="0.25">
      <c r="B139" s="284"/>
      <c r="C139" s="286"/>
      <c r="D139" s="285"/>
    </row>
    <row r="140" spans="2:9" ht="16.5" thickBot="1" x14ac:dyDescent="0.3">
      <c r="B140" s="292"/>
      <c r="C140" s="286" t="s">
        <v>523</v>
      </c>
      <c r="D140" s="285">
        <v>1.77</v>
      </c>
    </row>
    <row r="141" spans="2:9" ht="16.5" thickBot="1" x14ac:dyDescent="0.3">
      <c r="B141" s="293"/>
      <c r="C141" s="294" t="s">
        <v>524</v>
      </c>
      <c r="D141" s="295">
        <f>D138*D140*1000</f>
        <v>253.65356390896281</v>
      </c>
    </row>
    <row r="142" spans="2:9" ht="15.75" x14ac:dyDescent="0.25">
      <c r="B142" s="284"/>
      <c r="C142" s="284"/>
      <c r="D142" s="284"/>
    </row>
    <row r="143" spans="2:9" x14ac:dyDescent="0.25">
      <c r="B143" s="67" t="s">
        <v>792</v>
      </c>
    </row>
    <row r="144" spans="2:9" x14ac:dyDescent="0.25"/>
    <row r="145" spans="2:14" ht="15.75" x14ac:dyDescent="0.25">
      <c r="B145" s="296"/>
      <c r="C145" s="297"/>
      <c r="D145" s="297"/>
      <c r="E145" s="297"/>
      <c r="F145" s="381" t="s">
        <v>793</v>
      </c>
      <c r="G145" s="382"/>
      <c r="H145" s="298"/>
      <c r="I145" s="297"/>
    </row>
    <row r="146" spans="2:14" ht="47.25" x14ac:dyDescent="0.25">
      <c r="B146" s="299" t="s">
        <v>794</v>
      </c>
      <c r="C146" s="300" t="s">
        <v>795</v>
      </c>
      <c r="D146" s="300" t="s">
        <v>796</v>
      </c>
      <c r="E146" s="300" t="s">
        <v>797</v>
      </c>
      <c r="F146" s="299" t="s">
        <v>798</v>
      </c>
      <c r="G146" s="299" t="s">
        <v>58</v>
      </c>
      <c r="H146" s="299" t="s">
        <v>799</v>
      </c>
      <c r="I146" s="300" t="s">
        <v>800</v>
      </c>
      <c r="J146" s="299" t="s">
        <v>896</v>
      </c>
      <c r="K146" s="299" t="s">
        <v>801</v>
      </c>
      <c r="L146" s="299" t="s">
        <v>802</v>
      </c>
      <c r="M146" s="299" t="s">
        <v>803</v>
      </c>
      <c r="N146" s="299" t="s">
        <v>897</v>
      </c>
    </row>
    <row r="147" spans="2:14" ht="31.5" x14ac:dyDescent="0.25">
      <c r="B147" s="301" t="s">
        <v>517</v>
      </c>
      <c r="C147" s="302">
        <f>'GPS-X Model'!D34</f>
        <v>8.39</v>
      </c>
      <c r="D147" s="307">
        <f>C3</f>
        <v>3.1E-2</v>
      </c>
      <c r="E147" s="303">
        <f>+C147*D147*1000000*CONVERT(1,"yr","day")*CONVERT(1,"gal","l")*CONVERT(1,"g","kg")</f>
        <v>359606.06601642963</v>
      </c>
      <c r="F147" s="304">
        <f>AVERAGE(0.004,0.0041,0.0062,0.0009)</f>
        <v>3.8E-3</v>
      </c>
      <c r="G147" s="305" t="s">
        <v>804</v>
      </c>
      <c r="H147" s="301" t="s">
        <v>805</v>
      </c>
      <c r="I147" s="358">
        <f>+E147*F147*CONVERT(1,"g","kg")*'Conversion Factors'!$D$49</f>
        <v>2.1473619370695367</v>
      </c>
      <c r="J147" s="359">
        <f>+I147/$C$5</f>
        <v>5.0100285714285725E-5</v>
      </c>
      <c r="K147" s="306">
        <f>'GPS-X Model'!D35</f>
        <v>160</v>
      </c>
      <c r="L147" s="307">
        <v>0.05</v>
      </c>
      <c r="M147" s="308">
        <f>+K147*D147*1000000*CONVERT(1,"yr","day")*CONVERT(1,"gal","l")*CONVERT(1,"mg","kg")*'Conversion Factors'!$D$50*L147</f>
        <v>205.73410213097279</v>
      </c>
      <c r="N147" s="335">
        <f>+M147/C5</f>
        <v>4.8000000000000004E-3</v>
      </c>
    </row>
    <row r="148" spans="2:14" ht="17.25" x14ac:dyDescent="0.25">
      <c r="B148" s="66" t="s">
        <v>806</v>
      </c>
    </row>
    <row r="149" spans="2:14" ht="17.25" x14ac:dyDescent="0.25">
      <c r="B149" s="66" t="s">
        <v>807</v>
      </c>
    </row>
    <row r="150" spans="2:14" x14ac:dyDescent="0.25"/>
    <row r="151" spans="2:14" x14ac:dyDescent="0.25"/>
    <row r="152" spans="2:14" x14ac:dyDescent="0.25"/>
    <row r="153" spans="2:14" x14ac:dyDescent="0.25"/>
    <row r="154" spans="2:14" hidden="1" x14ac:dyDescent="0.25"/>
    <row r="155" spans="2:14" x14ac:dyDescent="0.25"/>
    <row r="156" spans="2:14" x14ac:dyDescent="0.25"/>
    <row r="157" spans="2:14" x14ac:dyDescent="0.25"/>
    <row r="158" spans="2:14" x14ac:dyDescent="0.25"/>
  </sheetData>
  <mergeCells count="1">
    <mergeCell ref="F145:G145"/>
  </mergeCells>
  <hyperlinks>
    <hyperlink ref="C80" r:id="rId1" xr:uid="{00000000-0004-0000-0700-000000000000}"/>
  </hyperlinks>
  <pageMargins left="0.7" right="0.7" top="0.75" bottom="0.75" header="0.3" footer="0.3"/>
  <pageSetup orientation="portrait" horizontalDpi="300" verticalDpi="300" r:id="rId2"/>
  <drawing r:id="rId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tabColor theme="4" tint="0.59999389629810485"/>
  </sheetPr>
  <dimension ref="A1:X45"/>
  <sheetViews>
    <sheetView zoomScale="80" zoomScaleNormal="80" workbookViewId="0">
      <selection activeCell="F8" sqref="F8"/>
    </sheetView>
  </sheetViews>
  <sheetFormatPr defaultColWidth="0" defaultRowHeight="15" customHeight="1" zeroHeight="1" x14ac:dyDescent="0.25"/>
  <cols>
    <col min="1" max="1" width="9.140625" style="14" customWidth="1"/>
    <col min="2" max="2" width="41.7109375" style="14" bestFit="1" customWidth="1"/>
    <col min="3" max="3" width="10.140625" style="14" customWidth="1"/>
    <col min="4" max="4" width="34.42578125" style="14" bestFit="1" customWidth="1"/>
    <col min="5" max="5" width="70.42578125" style="14" customWidth="1"/>
    <col min="6" max="24" width="9.140625" style="14" customWidth="1"/>
    <col min="25" max="16384" width="9.140625" style="14" hidden="1"/>
  </cols>
  <sheetData>
    <row r="1" spans="1:5" x14ac:dyDescent="0.25">
      <c r="A1" s="9" t="s">
        <v>386</v>
      </c>
      <c r="C1" s="173"/>
      <c r="D1" s="9" t="s">
        <v>431</v>
      </c>
    </row>
    <row r="2" spans="1:5" x14ac:dyDescent="0.25">
      <c r="A2" s="9"/>
    </row>
    <row r="3" spans="1:5" ht="15" customHeight="1" x14ac:dyDescent="0.25">
      <c r="A3" s="9"/>
      <c r="B3" s="383" t="s">
        <v>909</v>
      </c>
      <c r="C3" s="384"/>
      <c r="D3" s="384"/>
      <c r="E3" s="385"/>
    </row>
    <row r="4" spans="1:5" x14ac:dyDescent="0.25">
      <c r="A4" s="9"/>
      <c r="B4" s="386"/>
      <c r="C4" s="387"/>
      <c r="D4" s="387"/>
      <c r="E4" s="388"/>
    </row>
    <row r="5" spans="1:5" x14ac:dyDescent="0.25">
      <c r="A5" s="9"/>
      <c r="B5" s="386"/>
      <c r="C5" s="387"/>
      <c r="D5" s="387"/>
      <c r="E5" s="388"/>
    </row>
    <row r="6" spans="1:5" x14ac:dyDescent="0.25">
      <c r="A6" s="9"/>
      <c r="B6" s="386"/>
      <c r="C6" s="387"/>
      <c r="D6" s="387"/>
      <c r="E6" s="388"/>
    </row>
    <row r="7" spans="1:5" ht="28.5" customHeight="1" x14ac:dyDescent="0.25">
      <c r="A7" s="9"/>
      <c r="B7" s="389"/>
      <c r="C7" s="390"/>
      <c r="D7" s="390"/>
      <c r="E7" s="391"/>
    </row>
    <row r="8" spans="1:5" x14ac:dyDescent="0.25">
      <c r="A8" s="9"/>
    </row>
    <row r="9" spans="1:5" x14ac:dyDescent="0.25">
      <c r="A9" s="9"/>
      <c r="B9" s="361"/>
      <c r="C9" s="9" t="s">
        <v>387</v>
      </c>
    </row>
    <row r="10" spans="1:5" x14ac:dyDescent="0.25">
      <c r="A10" s="9"/>
      <c r="B10" s="362"/>
      <c r="C10" s="9" t="s">
        <v>431</v>
      </c>
    </row>
    <row r="11" spans="1:5" x14ac:dyDescent="0.25">
      <c r="A11" s="9"/>
      <c r="B11" s="14" t="s">
        <v>910</v>
      </c>
    </row>
    <row r="12" spans="1:5" x14ac:dyDescent="0.25">
      <c r="B12" s="129" t="s">
        <v>388</v>
      </c>
      <c r="C12" s="129" t="s">
        <v>56</v>
      </c>
      <c r="D12" s="129" t="s">
        <v>333</v>
      </c>
      <c r="E12" s="129" t="s">
        <v>284</v>
      </c>
    </row>
    <row r="13" spans="1:5" x14ac:dyDescent="0.25">
      <c r="B13" s="11" t="s">
        <v>17</v>
      </c>
      <c r="C13" s="11">
        <f>AeMBR!C3</f>
        <v>3.1E-2</v>
      </c>
      <c r="D13" s="11" t="s">
        <v>25</v>
      </c>
      <c r="E13" s="11" t="s">
        <v>873</v>
      </c>
    </row>
    <row r="14" spans="1:5" x14ac:dyDescent="0.25">
      <c r="B14" s="11" t="s">
        <v>17</v>
      </c>
      <c r="C14" s="363">
        <f>C13*1000000/(60*24*60)*CONVERT(1,"gal","l")</f>
        <v>1.3581917280555555</v>
      </c>
      <c r="D14" s="11" t="s">
        <v>29</v>
      </c>
      <c r="E14" s="364" t="s">
        <v>131</v>
      </c>
    </row>
    <row r="15" spans="1:5" x14ac:dyDescent="0.25">
      <c r="B15" s="11" t="s">
        <v>17</v>
      </c>
      <c r="C15" s="364">
        <f>C13*1000000/'Conversion Factors'!$D$42/'Conversion Factors'!$D$41</f>
        <v>21.527777777777779</v>
      </c>
      <c r="D15" s="11" t="s">
        <v>433</v>
      </c>
      <c r="E15" s="364" t="s">
        <v>434</v>
      </c>
    </row>
    <row r="16" spans="1:5" x14ac:dyDescent="0.25">
      <c r="B16" s="11" t="s">
        <v>299</v>
      </c>
      <c r="C16" s="361">
        <v>51</v>
      </c>
      <c r="D16" s="11" t="s">
        <v>300</v>
      </c>
      <c r="E16" s="364" t="s">
        <v>389</v>
      </c>
    </row>
    <row r="17" spans="2:6" x14ac:dyDescent="0.25">
      <c r="B17" s="11" t="s">
        <v>301</v>
      </c>
      <c r="C17" s="11">
        <v>5</v>
      </c>
      <c r="D17" s="11" t="s">
        <v>300</v>
      </c>
      <c r="E17" s="364" t="s">
        <v>390</v>
      </c>
    </row>
    <row r="18" spans="2:6" x14ac:dyDescent="0.25">
      <c r="B18" s="11" t="s">
        <v>34</v>
      </c>
      <c r="C18" s="365">
        <f>(PI()*(C17/2)^2*C16)/CONVERT(1,"m^3", "in^3")*0.5</f>
        <v>8.204860855286232E-3</v>
      </c>
      <c r="D18" s="11" t="s">
        <v>2</v>
      </c>
      <c r="E18" s="11" t="s">
        <v>131</v>
      </c>
    </row>
    <row r="19" spans="2:6" x14ac:dyDescent="0.25">
      <c r="B19" s="366" t="s">
        <v>35</v>
      </c>
    </row>
    <row r="20" spans="2:6" x14ac:dyDescent="0.25"/>
    <row r="21" spans="2:6" x14ac:dyDescent="0.25">
      <c r="B21" s="9" t="s">
        <v>391</v>
      </c>
    </row>
    <row r="22" spans="2:6" x14ac:dyDescent="0.25">
      <c r="B22" s="129" t="s">
        <v>388</v>
      </c>
      <c r="C22" s="129" t="s">
        <v>56</v>
      </c>
      <c r="D22" s="129" t="s">
        <v>333</v>
      </c>
      <c r="E22" s="129" t="s">
        <v>284</v>
      </c>
    </row>
    <row r="23" spans="2:6" x14ac:dyDescent="0.25">
      <c r="B23" s="11" t="s">
        <v>392</v>
      </c>
      <c r="C23" s="361">
        <f>AeMBR!F35</f>
        <v>30</v>
      </c>
      <c r="D23" s="11" t="s">
        <v>10</v>
      </c>
      <c r="E23" s="11" t="s">
        <v>412</v>
      </c>
      <c r="F23" s="133"/>
    </row>
    <row r="24" spans="2:6" x14ac:dyDescent="0.25">
      <c r="B24" s="11" t="s">
        <v>15</v>
      </c>
      <c r="C24" s="361">
        <v>0.79</v>
      </c>
      <c r="D24" s="11" t="s">
        <v>16</v>
      </c>
      <c r="E24" s="11" t="s">
        <v>393</v>
      </c>
    </row>
    <row r="25" spans="2:6" x14ac:dyDescent="0.25">
      <c r="B25" s="11" t="s">
        <v>18</v>
      </c>
      <c r="C25" s="364">
        <f>C13*1000000/CONVERT(1, "m^3", "gal")</f>
        <v>117.34776530399999</v>
      </c>
      <c r="D25" s="11" t="s">
        <v>19</v>
      </c>
      <c r="E25" s="11" t="s">
        <v>873</v>
      </c>
    </row>
    <row r="26" spans="2:6" x14ac:dyDescent="0.25">
      <c r="B26" s="11" t="s">
        <v>394</v>
      </c>
      <c r="C26" s="11">
        <v>0.85</v>
      </c>
      <c r="D26" s="11" t="s">
        <v>21</v>
      </c>
      <c r="E26" s="11" t="s">
        <v>22</v>
      </c>
    </row>
    <row r="27" spans="2:6" x14ac:dyDescent="0.25">
      <c r="B27" s="11" t="s">
        <v>395</v>
      </c>
      <c r="C27" s="11">
        <v>0.7</v>
      </c>
      <c r="D27" s="11" t="s">
        <v>21</v>
      </c>
      <c r="E27" s="367" t="s">
        <v>24</v>
      </c>
    </row>
    <row r="28" spans="2:6" ht="30" x14ac:dyDescent="0.25">
      <c r="B28" s="368" t="s">
        <v>26</v>
      </c>
      <c r="C28" s="369">
        <v>0.85</v>
      </c>
      <c r="D28" s="11"/>
      <c r="E28" s="370" t="s">
        <v>27</v>
      </c>
    </row>
    <row r="29" spans="2:6" x14ac:dyDescent="0.25">
      <c r="B29" s="11" t="s">
        <v>32</v>
      </c>
      <c r="C29" s="363">
        <f>C30*C28*C27*C26</f>
        <v>4.9310624999999995</v>
      </c>
      <c r="D29" s="11" t="s">
        <v>33</v>
      </c>
      <c r="E29" s="11" t="s">
        <v>396</v>
      </c>
    </row>
    <row r="30" spans="2:6" x14ac:dyDescent="0.25">
      <c r="B30" s="11" t="s">
        <v>28</v>
      </c>
      <c r="C30" s="371">
        <v>9.75</v>
      </c>
      <c r="D30" s="11" t="s">
        <v>33</v>
      </c>
      <c r="E30" s="11" t="s">
        <v>302</v>
      </c>
      <c r="F30" s="8"/>
    </row>
    <row r="31" spans="2:6" x14ac:dyDescent="0.25">
      <c r="B31" s="11" t="s">
        <v>30</v>
      </c>
      <c r="C31" s="372">
        <f>C18*1000/C14</f>
        <v>6.0410181315363003</v>
      </c>
      <c r="D31" s="11" t="s">
        <v>31</v>
      </c>
      <c r="E31" s="11" t="s">
        <v>397</v>
      </c>
      <c r="F31" s="8"/>
    </row>
    <row r="32" spans="2:6" x14ac:dyDescent="0.25">
      <c r="B32" s="11" t="s">
        <v>398</v>
      </c>
      <c r="C32" s="364">
        <f>C29*C31</f>
        <v>29.788637970238714</v>
      </c>
      <c r="D32" s="11" t="s">
        <v>10</v>
      </c>
      <c r="E32" s="373" t="s">
        <v>399</v>
      </c>
    </row>
    <row r="33" spans="2:5" x14ac:dyDescent="0.25"/>
    <row r="34" spans="2:5" x14ac:dyDescent="0.25">
      <c r="B34" s="9" t="s">
        <v>435</v>
      </c>
    </row>
    <row r="35" spans="2:5" x14ac:dyDescent="0.25">
      <c r="B35" s="172" t="s">
        <v>55</v>
      </c>
      <c r="C35" s="172" t="s">
        <v>56</v>
      </c>
      <c r="D35" s="172" t="s">
        <v>283</v>
      </c>
      <c r="E35" s="172" t="s">
        <v>492</v>
      </c>
    </row>
    <row r="36" spans="2:5" x14ac:dyDescent="0.25">
      <c r="B36" s="11" t="s">
        <v>436</v>
      </c>
      <c r="C36" s="11">
        <f>140/1000</f>
        <v>0.14000000000000001</v>
      </c>
      <c r="D36" s="11" t="s">
        <v>437</v>
      </c>
      <c r="E36" s="11" t="s">
        <v>531</v>
      </c>
    </row>
    <row r="37" spans="2:5" x14ac:dyDescent="0.25">
      <c r="B37" s="11" t="s">
        <v>438</v>
      </c>
      <c r="C37" s="11">
        <f>CONVERT(1,"yr","hr")</f>
        <v>8766</v>
      </c>
      <c r="D37" s="11" t="s">
        <v>41</v>
      </c>
      <c r="E37" s="11"/>
    </row>
    <row r="38" spans="2:5" x14ac:dyDescent="0.25">
      <c r="B38" s="11" t="s">
        <v>435</v>
      </c>
      <c r="C38" s="374">
        <f>C36*C37</f>
        <v>1227.24</v>
      </c>
      <c r="D38" s="11" t="s">
        <v>359</v>
      </c>
      <c r="E38" s="11"/>
    </row>
    <row r="39" spans="2:5" x14ac:dyDescent="0.25">
      <c r="B39" s="11" t="s">
        <v>435</v>
      </c>
      <c r="C39" s="375">
        <f>C38/(AeMBR!C4*'Conversion Factors'!$D$39)</f>
        <v>2.8632841803979962E-2</v>
      </c>
      <c r="D39" s="11" t="s">
        <v>439</v>
      </c>
      <c r="E39" s="11"/>
    </row>
    <row r="40" spans="2:5" x14ac:dyDescent="0.25"/>
    <row r="41" spans="2:5" ht="15" customHeight="1" x14ac:dyDescent="0.25">
      <c r="B41" s="9" t="s">
        <v>100</v>
      </c>
    </row>
    <row r="42" spans="2:5" ht="15" customHeight="1" x14ac:dyDescent="0.25">
      <c r="B42" s="11" t="s">
        <v>552</v>
      </c>
      <c r="C42" s="376">
        <f>2*36/'Conversion Factors'!$D$36</f>
        <v>32.65868947936606</v>
      </c>
      <c r="D42" s="11" t="s">
        <v>553</v>
      </c>
      <c r="E42" s="11" t="s">
        <v>787</v>
      </c>
    </row>
    <row r="43" spans="2:5" ht="15" customHeight="1" x14ac:dyDescent="0.25"/>
    <row r="44" spans="2:5" ht="15" customHeight="1" x14ac:dyDescent="0.25"/>
    <row r="45" spans="2:5" ht="15" customHeight="1" x14ac:dyDescent="0.25"/>
  </sheetData>
  <mergeCells count="1">
    <mergeCell ref="B3:E7"/>
  </mergeCells>
  <hyperlinks>
    <hyperlink ref="E27" r:id="rId1" xr:uid="{00000000-0004-0000-0800-000000000000}"/>
    <hyperlink ref="B19" r:id="rId2" xr:uid="{00000000-0004-0000-0800-000001000000}"/>
  </hyperlinks>
  <pageMargins left="0.7" right="0.7" top="0.75" bottom="0.75" header="0.3" footer="0.3"/>
  <pageSetup orientation="portrait" horizontalDpi="300" verticalDpi="300"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CF48E8F02885D45A29D67EBF5898E55" ma:contentTypeVersion="37" ma:contentTypeDescription="Create a new document." ma:contentTypeScope="" ma:versionID="7915b51718a3a9cbda91d38d127a874c">
  <xsd:schema xmlns:xsd="http://www.w3.org/2001/XMLSchema" xmlns:xs="http://www.w3.org/2001/XMLSchema" xmlns:p="http://schemas.microsoft.com/office/2006/metadata/properties" xmlns:ns1="http://schemas.microsoft.com/sharepoint/v3" xmlns:ns2="4ffa91fb-a0ff-4ac5-b2db-65c790d184a4" xmlns:ns3="http://schemas.microsoft.com/sharepoint.v3" xmlns:ns4="http://schemas.microsoft.com/sharepoint/v3/fields" xmlns:ns5="2fe5acc1-9310-4462-a44a-3cad32217294" xmlns:ns6="3b9fdf44-fec1-4d40-9fc9-e11a56b28514" targetNamespace="http://schemas.microsoft.com/office/2006/metadata/properties" ma:root="true" ma:fieldsID="9e944cba6beb7bd2af8dead567edbd2d" ns1:_="" ns2:_="" ns3:_="" ns4:_="" ns5:_="" ns6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2fe5acc1-9310-4462-a44a-3cad32217294"/>
    <xsd:import namespace="3b9fdf44-fec1-4d40-9fc9-e11a56b28514"/>
    <xsd:element name="properties">
      <xsd:complexType>
        <xsd:sequence>
          <xsd:element name="documentManagement">
            <xsd:complexType>
              <xsd:all>
                <xsd:element ref="ns2:Document_x0020_Creation_x0020_Date" minOccurs="0"/>
                <xsd:element ref="ns2:Creator" minOccurs="0"/>
                <xsd:element ref="ns2:EPA_x0020_Office" minOccurs="0"/>
                <xsd:element ref="ns2:Record" minOccurs="0"/>
                <xsd:element ref="ns3:CategoryDescription" minOccurs="0"/>
                <xsd:element ref="ns2:Identifier" minOccurs="0"/>
                <xsd:element ref="ns2:EPA_x0020_Contributor" minOccurs="0"/>
                <xsd:element ref="ns2:External_x0020_Contributor" minOccurs="0"/>
                <xsd:element ref="ns4:_Coverage" minOccurs="0"/>
                <xsd:element ref="ns2:EPA_x0020_Related_x0020_Documents" minOccurs="0"/>
                <xsd:element ref="ns4:_Source" minOccurs="0"/>
                <xsd:element ref="ns2:Rights" minOccurs="0"/>
                <xsd:element ref="ns1:Language" minOccurs="0"/>
                <xsd:element ref="ns2:j747ac98061d40f0aa7bd47e1db5675d" minOccurs="0"/>
                <xsd:element ref="ns2:TaxKeywordTaxHTField" minOccurs="0"/>
                <xsd:element ref="ns2:TaxCatchAllLabel" minOccurs="0"/>
                <xsd:element ref="ns2:TaxCatchAll" minOccurs="0"/>
                <xsd:element ref="ns5:_dlc_DocId" minOccurs="0"/>
                <xsd:element ref="ns5:_dlc_DocIdUrl" minOccurs="0"/>
                <xsd:element ref="ns5:_dlc_DocIdPersistId" minOccurs="0"/>
                <xsd:element ref="ns2:e3f09c3df709400db2417a7161762d62" minOccurs="0"/>
                <xsd:element ref="ns6:MediaServiceMetadata" minOccurs="0"/>
                <xsd:element ref="ns6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 ma:readOnly="fals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 ma:readOnly="false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 ma:readOnly="false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description="" ma:hidden="true" ma:list="{e45b6655-e6a6-40d9-8e2b-c93e42c0dbf8}" ma:internalName="TaxCatchAllLabel" ma:readOnly="true" ma:showField="CatchAllDataLabel" ma:web="2fe5acc1-9310-4462-a44a-3cad3221729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description="" ma:hidden="true" ma:list="{e45b6655-e6a6-40d9-8e2b-c93e42c0dbf8}" ma:internalName="TaxCatchAll" ma:showField="CatchAllData" ma:web="2fe5acc1-9310-4462-a44a-3cad3221729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3f09c3df709400db2417a7161762d62" ma:index="31" nillable="true" ma:taxonomy="true" ma:internalName="e3f09c3df709400db2417a7161762d62" ma:taxonomyFieldName="EPA_x0020_Subject" ma:displayName="EPA Subject" ma:readOnly="false" ma:default="" ma:fieldId="{e3f09c3d-f709-400d-b241-7a7161762d62}" ma:taxonomyMulti="true" ma:sspId="29f62856-1543-49d4-a736-4569d363f533" ma:termSetId="7a3d4ae0-7e62-45a2-a406-c6a8a6a8eee3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e5acc1-9310-4462-a44a-3cad32217294" elementFormDefault="qualified">
    <xsd:import namespace="http://schemas.microsoft.com/office/2006/documentManagement/types"/>
    <xsd:import namespace="http://schemas.microsoft.com/office/infopath/2007/PartnerControls"/>
    <xsd:element name="_dlc_DocId" ma:index="2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3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9fdf44-fec1-4d40-9fc9-e11a56b285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3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29f62856-1543-49d4-a736-4569d363f533" ContentTypeId="0x0101" PreviousValue="false"/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j747ac98061d40f0aa7bd47e1db5675d xmlns="4ffa91fb-a0ff-4ac5-b2db-65c790d184a4">
      <Terms xmlns="http://schemas.microsoft.com/office/infopath/2007/PartnerControls"/>
    </j747ac98061d40f0aa7bd47e1db5675d>
    <e3f09c3df709400db2417a7161762d62 xmlns="4ffa91fb-a0ff-4ac5-b2db-65c790d184a4">
      <Terms xmlns="http://schemas.microsoft.com/office/infopath/2007/PartnerControls"/>
    </e3f09c3df709400db2417a7161762d62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Record xmlns="4ffa91fb-a0ff-4ac5-b2db-65c790d184a4">Shared</Record>
    <Rights xmlns="4ffa91fb-a0ff-4ac5-b2db-65c790d184a4" xsi:nil="true"/>
    <Document_x0020_Creation_x0020_Date xmlns="4ffa91fb-a0ff-4ac5-b2db-65c790d184a4">2019-06-17T16:31:40+00:00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  <_dlc_DocId xmlns="2fe5acc1-9310-4462-a44a-3cad32217294">SSYEHYHTR5TA-1805946249-36</_dlc_DocId>
    <_dlc_DocIdUrl xmlns="2fe5acc1-9310-4462-a44a-3cad32217294">
      <Url>https://usepa.sharepoint.com/sites/ORD_Work/lca_and_system_analyses_of_water_system_sustainability_/_layouts/15/DocIdRedir.aspx?ID=SSYEHYHTR5TA-1805946249-36</Url>
      <Description>SSYEHYHTR5TA-1805946249-36</Description>
    </_dlc_DocIdUrl>
  </documentManagement>
</p:properties>
</file>

<file path=customXml/itemProps1.xml><?xml version="1.0" encoding="utf-8"?>
<ds:datastoreItem xmlns:ds="http://schemas.openxmlformats.org/officeDocument/2006/customXml" ds:itemID="{B6C3B9F2-DCFE-4FBC-B717-9C89F65B385D}"/>
</file>

<file path=customXml/itemProps2.xml><?xml version="1.0" encoding="utf-8"?>
<ds:datastoreItem xmlns:ds="http://schemas.openxmlformats.org/officeDocument/2006/customXml" ds:itemID="{3F3FA45A-963C-4869-B6FF-9AA7DB6F43EB}"/>
</file>

<file path=customXml/itemProps3.xml><?xml version="1.0" encoding="utf-8"?>
<ds:datastoreItem xmlns:ds="http://schemas.openxmlformats.org/officeDocument/2006/customXml" ds:itemID="{C0CAAB28-7D07-4F49-BD3E-93DA1F8B0060}"/>
</file>

<file path=customXml/itemProps4.xml><?xml version="1.0" encoding="utf-8"?>
<ds:datastoreItem xmlns:ds="http://schemas.openxmlformats.org/officeDocument/2006/customXml" ds:itemID="{DFAC8C66-C965-44EB-9329-E218FC151B2C}"/>
</file>

<file path=customXml/itemProps5.xml><?xml version="1.0" encoding="utf-8"?>
<ds:datastoreItem xmlns:ds="http://schemas.openxmlformats.org/officeDocument/2006/customXml" ds:itemID="{2D9E9648-5D33-462D-B16E-5683F733D82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Cover</vt:lpstr>
      <vt:lpstr>TOC</vt:lpstr>
      <vt:lpstr>GPS-X Model</vt:lpstr>
      <vt:lpstr>LCI</vt:lpstr>
      <vt:lpstr>LCC</vt:lpstr>
      <vt:lpstr>Equalization</vt:lpstr>
      <vt:lpstr>Fine Screen</vt:lpstr>
      <vt:lpstr>AeMBR</vt:lpstr>
      <vt:lpstr>UV</vt:lpstr>
      <vt:lpstr>Chlorine</vt:lpstr>
      <vt:lpstr>Sources</vt:lpstr>
      <vt:lpstr>Conversion Factors</vt:lpstr>
      <vt:lpstr>Cl OLD</vt:lpstr>
      <vt:lpstr>UV OLD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2019-06-11T19:42:24Z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0x0101000CF48E8F02885D45A29D67EBF5898E55</vt:lpwstr>
  </property>
  <property fmtid="{D5CDD505-2E9C-101B-9397-08002B2CF9AE}" pid="3" name="_dlc_DocIdItemGuid">
    <vt:lpwstr>b1617f29-3978-4285-b38f-de436a1bd2b9</vt:lpwstr>
  </property>
</Properties>
</file>