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:\QTOF Work\NontargetedManuscript\"/>
    </mc:Choice>
  </mc:AlternateContent>
  <bookViews>
    <workbookView xWindow="0" yWindow="0" windowWidth="20490" windowHeight="7530" activeTab="4"/>
  </bookViews>
  <sheets>
    <sheet name="Data summary" sheetId="4" r:id="rId1"/>
    <sheet name="Atmospheric carbon" sheetId="6" r:id="rId2"/>
    <sheet name="Graphs" sheetId="7" r:id="rId3"/>
    <sheet name="Table S5" sheetId="8" r:id="rId4"/>
    <sheet name="Tables S2-S4" sheetId="9" r:id="rId5"/>
    <sheet name="Editorial workarea" sheetId="5" r:id="rId6"/>
  </sheets>
  <externalReferences>
    <externalReference r:id="rId7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1" i="4" l="1"/>
  <c r="T180" i="4"/>
  <c r="T179" i="4"/>
  <c r="T178" i="4"/>
  <c r="T177" i="4"/>
  <c r="T176" i="4"/>
  <c r="T175" i="4"/>
  <c r="T174" i="4"/>
  <c r="T173" i="4"/>
  <c r="T168" i="4"/>
  <c r="T167" i="4"/>
  <c r="T166" i="4"/>
  <c r="T165" i="4"/>
  <c r="R181" i="4"/>
  <c r="R180" i="4"/>
  <c r="R179" i="4"/>
  <c r="R178" i="4"/>
  <c r="R177" i="4"/>
  <c r="R176" i="4"/>
  <c r="R175" i="4"/>
  <c r="R174" i="4"/>
  <c r="R173" i="4"/>
  <c r="R168" i="4"/>
  <c r="R166" i="4"/>
  <c r="R165" i="4"/>
  <c r="P70" i="7"/>
  <c r="O70" i="7"/>
  <c r="N70" i="7"/>
  <c r="N69" i="7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P181" i="4"/>
  <c r="Q181" i="4" s="1"/>
  <c r="P180" i="4"/>
  <c r="Q180" i="4" s="1"/>
  <c r="P179" i="4"/>
  <c r="Q179" i="4" s="1"/>
  <c r="P178" i="4"/>
  <c r="Q178" i="4" s="1"/>
  <c r="P177" i="4"/>
  <c r="Q177" i="4" s="1"/>
  <c r="P176" i="4"/>
  <c r="Q176" i="4" s="1"/>
  <c r="P175" i="4"/>
  <c r="Q175" i="4" s="1"/>
  <c r="P174" i="4"/>
  <c r="Q174" i="4" s="1"/>
  <c r="P173" i="4"/>
  <c r="Q173" i="4" s="1"/>
  <c r="P172" i="4"/>
  <c r="Q172" i="4" s="1"/>
  <c r="P171" i="4"/>
  <c r="Q171" i="4" s="1"/>
  <c r="P170" i="4"/>
  <c r="Q170" i="4" s="1"/>
  <c r="P169" i="4"/>
  <c r="Q169" i="4" s="1"/>
  <c r="P168" i="4"/>
  <c r="Q168" i="4" s="1"/>
  <c r="P167" i="4"/>
  <c r="Q167" i="4" s="1"/>
  <c r="P166" i="4"/>
  <c r="Q166" i="4" s="1"/>
  <c r="P165" i="4"/>
  <c r="Q165" i="4" s="1"/>
  <c r="P164" i="4"/>
  <c r="Q164" i="4" s="1"/>
  <c r="N182" i="4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64" i="4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K181" i="4"/>
  <c r="L181" i="4" s="1"/>
  <c r="K180" i="4"/>
  <c r="L180" i="4" s="1"/>
  <c r="K179" i="4"/>
  <c r="L179" i="4" s="1"/>
  <c r="K178" i="4"/>
  <c r="L178" i="4" s="1"/>
  <c r="K177" i="4"/>
  <c r="L177" i="4" s="1"/>
  <c r="K176" i="4"/>
  <c r="L176" i="4" s="1"/>
  <c r="K175" i="4"/>
  <c r="L175" i="4" s="1"/>
  <c r="K174" i="4"/>
  <c r="L174" i="4" s="1"/>
  <c r="K173" i="4"/>
  <c r="L173" i="4" s="1"/>
  <c r="K172" i="4"/>
  <c r="L172" i="4" s="1"/>
  <c r="K169" i="4"/>
  <c r="L169" i="4" s="1"/>
  <c r="K168" i="4"/>
  <c r="L168" i="4" s="1"/>
  <c r="K167" i="4"/>
  <c r="L167" i="4" s="1"/>
  <c r="K166" i="4"/>
  <c r="L166" i="4" s="1"/>
  <c r="K165" i="4"/>
  <c r="L165" i="4" s="1"/>
  <c r="K164" i="4"/>
  <c r="L164" i="4" s="1"/>
  <c r="P91" i="4"/>
  <c r="Q91" i="4" s="1"/>
  <c r="D91" i="4" s="1"/>
  <c r="P90" i="4"/>
  <c r="Q90" i="4" s="1"/>
  <c r="D90" i="4" s="1"/>
  <c r="P89" i="4"/>
  <c r="Q89" i="4" s="1"/>
  <c r="D89" i="4" s="1"/>
  <c r="P88" i="4"/>
  <c r="Q88" i="4" s="1"/>
  <c r="D88" i="4" s="1"/>
  <c r="P87" i="4"/>
  <c r="Q87" i="4" s="1"/>
  <c r="D87" i="4" s="1"/>
  <c r="P86" i="4"/>
  <c r="Q86" i="4" s="1"/>
  <c r="D86" i="4" s="1"/>
  <c r="P85" i="4"/>
  <c r="Q85" i="4" s="1"/>
  <c r="D85" i="4" s="1"/>
  <c r="P84" i="4"/>
  <c r="Q84" i="4" s="1"/>
  <c r="D84" i="4" s="1"/>
  <c r="P83" i="4"/>
  <c r="Q83" i="4" s="1"/>
  <c r="D83" i="4" s="1"/>
  <c r="P82" i="4"/>
  <c r="Q82" i="4" s="1"/>
  <c r="D82" i="4" s="1"/>
  <c r="P81" i="4"/>
  <c r="Q81" i="4" s="1"/>
  <c r="P80" i="4"/>
  <c r="Q80" i="4" s="1"/>
  <c r="P79" i="4"/>
  <c r="Q79" i="4" s="1"/>
  <c r="P78" i="4"/>
  <c r="Q78" i="4" s="1"/>
  <c r="P77" i="4"/>
  <c r="Q77" i="4" s="1"/>
  <c r="P76" i="4"/>
  <c r="Q76" i="4" s="1"/>
  <c r="P75" i="4"/>
  <c r="Q75" i="4" s="1"/>
  <c r="L82" i="4"/>
  <c r="L83" i="4"/>
  <c r="L85" i="4"/>
  <c r="K91" i="4"/>
  <c r="L91" i="4" s="1"/>
  <c r="K89" i="4"/>
  <c r="L89" i="4" s="1"/>
  <c r="K87" i="4"/>
  <c r="L87" i="4" s="1"/>
  <c r="K86" i="4"/>
  <c r="L86" i="4" s="1"/>
  <c r="K84" i="4"/>
  <c r="L84" i="4" s="1"/>
  <c r="S112" i="4" l="1"/>
  <c r="O90" i="9" l="1"/>
  <c r="O91" i="9" s="1"/>
  <c r="T201" i="4" l="1"/>
  <c r="N148" i="4" l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98" i="4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9" i="4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6" i="4" s="1"/>
  <c r="N77" i="4" s="1"/>
  <c r="N78" i="4" s="1"/>
  <c r="N79" i="4" s="1"/>
  <c r="N80" i="4" s="1"/>
  <c r="N81" i="4" s="1"/>
  <c r="N82" i="4" l="1"/>
  <c r="M9" i="7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15" i="6"/>
  <c r="B10" i="6"/>
  <c r="B11" i="6" s="1"/>
  <c r="N83" i="4" l="1"/>
  <c r="N84" i="4" s="1"/>
  <c r="N85" i="4" s="1"/>
  <c r="N86" i="4" s="1"/>
  <c r="N87" i="4" s="1"/>
  <c r="N88" i="4" s="1"/>
  <c r="N89" i="4" s="1"/>
  <c r="N90" i="4" s="1"/>
  <c r="N91" i="4" s="1"/>
  <c r="N9" i="7"/>
  <c r="N10" i="7"/>
  <c r="M10" i="7"/>
  <c r="B212" i="6"/>
  <c r="C212" i="6" s="1"/>
  <c r="B208" i="6"/>
  <c r="C208" i="6" s="1"/>
  <c r="B204" i="6"/>
  <c r="C204" i="6" s="1"/>
  <c r="B200" i="6"/>
  <c r="C200" i="6" s="1"/>
  <c r="D200" i="6" s="1"/>
  <c r="E200" i="6" s="1"/>
  <c r="B196" i="6"/>
  <c r="C196" i="6" s="1"/>
  <c r="B192" i="6"/>
  <c r="C192" i="6" s="1"/>
  <c r="B188" i="6"/>
  <c r="C188" i="6" s="1"/>
  <c r="B184" i="6"/>
  <c r="C184" i="6" s="1"/>
  <c r="D184" i="6" s="1"/>
  <c r="E184" i="6" s="1"/>
  <c r="B180" i="6"/>
  <c r="C180" i="6" s="1"/>
  <c r="B176" i="6"/>
  <c r="C176" i="6" s="1"/>
  <c r="B172" i="6"/>
  <c r="C172" i="6" s="1"/>
  <c r="B168" i="6"/>
  <c r="C168" i="6" s="1"/>
  <c r="D168" i="6" s="1"/>
  <c r="E168" i="6" s="1"/>
  <c r="B164" i="6"/>
  <c r="C164" i="6" s="1"/>
  <c r="B160" i="6"/>
  <c r="C160" i="6" s="1"/>
  <c r="B156" i="6"/>
  <c r="C156" i="6" s="1"/>
  <c r="D156" i="6" s="1"/>
  <c r="E156" i="6" s="1"/>
  <c r="B152" i="6"/>
  <c r="C152" i="6" s="1"/>
  <c r="D152" i="6" s="1"/>
  <c r="E152" i="6" s="1"/>
  <c r="B148" i="6"/>
  <c r="C148" i="6" s="1"/>
  <c r="B211" i="6"/>
  <c r="C211" i="6" s="1"/>
  <c r="B207" i="6"/>
  <c r="C207" i="6" s="1"/>
  <c r="B203" i="6"/>
  <c r="C203" i="6" s="1"/>
  <c r="D203" i="6" s="1"/>
  <c r="E203" i="6" s="1"/>
  <c r="B199" i="6"/>
  <c r="C199" i="6" s="1"/>
  <c r="B195" i="6"/>
  <c r="C195" i="6" s="1"/>
  <c r="B191" i="6"/>
  <c r="C191" i="6" s="1"/>
  <c r="D191" i="6" s="1"/>
  <c r="E191" i="6" s="1"/>
  <c r="B187" i="6"/>
  <c r="C187" i="6" s="1"/>
  <c r="D187" i="6" s="1"/>
  <c r="E187" i="6" s="1"/>
  <c r="B183" i="6"/>
  <c r="C183" i="6" s="1"/>
  <c r="B179" i="6"/>
  <c r="C179" i="6" s="1"/>
  <c r="B175" i="6"/>
  <c r="C175" i="6" s="1"/>
  <c r="B171" i="6"/>
  <c r="C171" i="6" s="1"/>
  <c r="D171" i="6" s="1"/>
  <c r="E171" i="6" s="1"/>
  <c r="B167" i="6"/>
  <c r="C167" i="6" s="1"/>
  <c r="B210" i="6"/>
  <c r="C210" i="6" s="1"/>
  <c r="B202" i="6"/>
  <c r="C202" i="6" s="1"/>
  <c r="D202" i="6" s="1"/>
  <c r="E202" i="6" s="1"/>
  <c r="B194" i="6"/>
  <c r="C194" i="6" s="1"/>
  <c r="D194" i="6" s="1"/>
  <c r="E194" i="6" s="1"/>
  <c r="B186" i="6"/>
  <c r="C186" i="6" s="1"/>
  <c r="B178" i="6"/>
  <c r="C178" i="6" s="1"/>
  <c r="B170" i="6"/>
  <c r="C170" i="6" s="1"/>
  <c r="B159" i="6"/>
  <c r="C159" i="6" s="1"/>
  <c r="D159" i="6" s="1"/>
  <c r="E159" i="6" s="1"/>
  <c r="B158" i="6"/>
  <c r="C158" i="6" s="1"/>
  <c r="B157" i="6"/>
  <c r="C157" i="6" s="1"/>
  <c r="B143" i="6"/>
  <c r="C143" i="6" s="1"/>
  <c r="D143" i="6" s="1"/>
  <c r="E143" i="6" s="1"/>
  <c r="B139" i="6"/>
  <c r="C139" i="6" s="1"/>
  <c r="D139" i="6" s="1"/>
  <c r="E139" i="6" s="1"/>
  <c r="B135" i="6"/>
  <c r="C135" i="6" s="1"/>
  <c r="B131" i="6"/>
  <c r="C131" i="6" s="1"/>
  <c r="B127" i="6"/>
  <c r="C127" i="6" s="1"/>
  <c r="D127" i="6" s="1"/>
  <c r="E127" i="6" s="1"/>
  <c r="B123" i="6"/>
  <c r="C123" i="6" s="1"/>
  <c r="D123" i="6" s="1"/>
  <c r="E123" i="6" s="1"/>
  <c r="B119" i="6"/>
  <c r="C119" i="6" s="1"/>
  <c r="B213" i="6"/>
  <c r="C213" i="6" s="1"/>
  <c r="D213" i="6" s="1"/>
  <c r="E213" i="6" s="1"/>
  <c r="B205" i="6"/>
  <c r="C205" i="6" s="1"/>
  <c r="D205" i="6" s="1"/>
  <c r="E205" i="6" s="1"/>
  <c r="B197" i="6"/>
  <c r="C197" i="6" s="1"/>
  <c r="D197" i="6" s="1"/>
  <c r="E197" i="6" s="1"/>
  <c r="B189" i="6"/>
  <c r="C189" i="6" s="1"/>
  <c r="B181" i="6"/>
  <c r="C181" i="6" s="1"/>
  <c r="D181" i="6" s="1"/>
  <c r="E181" i="6" s="1"/>
  <c r="B173" i="6"/>
  <c r="C173" i="6" s="1"/>
  <c r="D173" i="6" s="1"/>
  <c r="E173" i="6" s="1"/>
  <c r="B163" i="6"/>
  <c r="C163" i="6" s="1"/>
  <c r="D163" i="6" s="1"/>
  <c r="E163" i="6" s="1"/>
  <c r="B162" i="6"/>
  <c r="C162" i="6" s="1"/>
  <c r="B161" i="6"/>
  <c r="C161" i="6" s="1"/>
  <c r="D161" i="6" s="1"/>
  <c r="E161" i="6" s="1"/>
  <c r="B147" i="6"/>
  <c r="C147" i="6" s="1"/>
  <c r="B146" i="6"/>
  <c r="C146" i="6" s="1"/>
  <c r="D146" i="6" s="1"/>
  <c r="E146" i="6" s="1"/>
  <c r="B142" i="6"/>
  <c r="C142" i="6" s="1"/>
  <c r="B138" i="6"/>
  <c r="C138" i="6" s="1"/>
  <c r="B134" i="6"/>
  <c r="C134" i="6" s="1"/>
  <c r="D134" i="6" s="1"/>
  <c r="E134" i="6" s="1"/>
  <c r="B130" i="6"/>
  <c r="C130" i="6" s="1"/>
  <c r="D130" i="6" s="1"/>
  <c r="E130" i="6" s="1"/>
  <c r="B126" i="6"/>
  <c r="C126" i="6" s="1"/>
  <c r="B122" i="6"/>
  <c r="C122" i="6" s="1"/>
  <c r="B118" i="6"/>
  <c r="C118" i="6" s="1"/>
  <c r="D118" i="6" s="1"/>
  <c r="E118" i="6" s="1"/>
  <c r="B206" i="6"/>
  <c r="C206" i="6" s="1"/>
  <c r="D206" i="6" s="1"/>
  <c r="E206" i="6" s="1"/>
  <c r="B198" i="6"/>
  <c r="C198" i="6" s="1"/>
  <c r="B190" i="6"/>
  <c r="C190" i="6" s="1"/>
  <c r="D190" i="6" s="1"/>
  <c r="E190" i="6" s="1"/>
  <c r="B182" i="6"/>
  <c r="C182" i="6" s="1"/>
  <c r="D182" i="6" s="1"/>
  <c r="E182" i="6" s="1"/>
  <c r="B174" i="6"/>
  <c r="C174" i="6" s="1"/>
  <c r="D174" i="6" s="1"/>
  <c r="E174" i="6" s="1"/>
  <c r="B166" i="6"/>
  <c r="C166" i="6" s="1"/>
  <c r="B165" i="6"/>
  <c r="C165" i="6" s="1"/>
  <c r="D165" i="6" s="1"/>
  <c r="E165" i="6" s="1"/>
  <c r="B151" i="6"/>
  <c r="C151" i="6" s="1"/>
  <c r="B150" i="6"/>
  <c r="C150" i="6" s="1"/>
  <c r="D150" i="6" s="1"/>
  <c r="E150" i="6" s="1"/>
  <c r="B149" i="6"/>
  <c r="C149" i="6" s="1"/>
  <c r="D149" i="6" s="1"/>
  <c r="E149" i="6" s="1"/>
  <c r="B145" i="6"/>
  <c r="C145" i="6" s="1"/>
  <c r="B141" i="6"/>
  <c r="C141" i="6" s="1"/>
  <c r="B137" i="6"/>
  <c r="C137" i="6" s="1"/>
  <c r="D137" i="6" s="1"/>
  <c r="E137" i="6" s="1"/>
  <c r="B133" i="6"/>
  <c r="C133" i="6" s="1"/>
  <c r="B129" i="6"/>
  <c r="C129" i="6" s="1"/>
  <c r="B125" i="6"/>
  <c r="C125" i="6" s="1"/>
  <c r="D125" i="6" s="1"/>
  <c r="E125" i="6" s="1"/>
  <c r="B121" i="6"/>
  <c r="C121" i="6" s="1"/>
  <c r="B193" i="6"/>
  <c r="C193" i="6" s="1"/>
  <c r="D193" i="6" s="1"/>
  <c r="E193" i="6" s="1"/>
  <c r="B154" i="6"/>
  <c r="C154" i="6" s="1"/>
  <c r="B136" i="6"/>
  <c r="C136" i="6" s="1"/>
  <c r="D136" i="6" s="1"/>
  <c r="E136" i="6" s="1"/>
  <c r="B120" i="6"/>
  <c r="C120" i="6" s="1"/>
  <c r="D120" i="6" s="1"/>
  <c r="E120" i="6" s="1"/>
  <c r="B117" i="6"/>
  <c r="C117" i="6" s="1"/>
  <c r="B113" i="6"/>
  <c r="C113" i="6" s="1"/>
  <c r="B109" i="6"/>
  <c r="C109" i="6" s="1"/>
  <c r="D109" i="6" s="1"/>
  <c r="E109" i="6" s="1"/>
  <c r="B105" i="6"/>
  <c r="C105" i="6" s="1"/>
  <c r="D105" i="6" s="1"/>
  <c r="E105" i="6" s="1"/>
  <c r="B101" i="6"/>
  <c r="C101" i="6" s="1"/>
  <c r="B97" i="6"/>
  <c r="C97" i="6" s="1"/>
  <c r="B93" i="6"/>
  <c r="C93" i="6" s="1"/>
  <c r="D93" i="6" s="1"/>
  <c r="E93" i="6" s="1"/>
  <c r="B89" i="6"/>
  <c r="C89" i="6" s="1"/>
  <c r="D89" i="6" s="1"/>
  <c r="E89" i="6" s="1"/>
  <c r="B85" i="6"/>
  <c r="C85" i="6" s="1"/>
  <c r="B81" i="6"/>
  <c r="C81" i="6" s="1"/>
  <c r="B77" i="6"/>
  <c r="C77" i="6" s="1"/>
  <c r="D77" i="6" s="1"/>
  <c r="E77" i="6" s="1"/>
  <c r="B185" i="6"/>
  <c r="C185" i="6" s="1"/>
  <c r="D185" i="6" s="1"/>
  <c r="E185" i="6" s="1"/>
  <c r="B153" i="6"/>
  <c r="C153" i="6" s="1"/>
  <c r="B132" i="6"/>
  <c r="C132" i="6" s="1"/>
  <c r="D132" i="6" s="1"/>
  <c r="E132" i="6" s="1"/>
  <c r="B116" i="6"/>
  <c r="C116" i="6" s="1"/>
  <c r="D116" i="6" s="1"/>
  <c r="E116" i="6" s="1"/>
  <c r="B112" i="6"/>
  <c r="C112" i="6" s="1"/>
  <c r="D112" i="6" s="1"/>
  <c r="E112" i="6" s="1"/>
  <c r="B108" i="6"/>
  <c r="C108" i="6" s="1"/>
  <c r="B104" i="6"/>
  <c r="C104" i="6" s="1"/>
  <c r="B100" i="6"/>
  <c r="C100" i="6" s="1"/>
  <c r="D100" i="6" s="1"/>
  <c r="E100" i="6" s="1"/>
  <c r="B96" i="6"/>
  <c r="C96" i="6" s="1"/>
  <c r="D96" i="6" s="1"/>
  <c r="E96" i="6" s="1"/>
  <c r="B92" i="6"/>
  <c r="C92" i="6" s="1"/>
  <c r="B88" i="6"/>
  <c r="C88" i="6" s="1"/>
  <c r="B84" i="6"/>
  <c r="C84" i="6" s="1"/>
  <c r="D84" i="6" s="1"/>
  <c r="E84" i="6" s="1"/>
  <c r="B80" i="6"/>
  <c r="C80" i="6" s="1"/>
  <c r="D80" i="6" s="1"/>
  <c r="E80" i="6" s="1"/>
  <c r="B76" i="6"/>
  <c r="C76" i="6" s="1"/>
  <c r="B72" i="6"/>
  <c r="C72" i="6" s="1"/>
  <c r="B68" i="6"/>
  <c r="C68" i="6" s="1"/>
  <c r="D68" i="6" s="1"/>
  <c r="E68" i="6" s="1"/>
  <c r="B64" i="6"/>
  <c r="C64" i="6" s="1"/>
  <c r="D64" i="6" s="1"/>
  <c r="E64" i="6" s="1"/>
  <c r="B209" i="6"/>
  <c r="C209" i="6" s="1"/>
  <c r="D209" i="6" s="1"/>
  <c r="E209" i="6" s="1"/>
  <c r="B177" i="6"/>
  <c r="C177" i="6" s="1"/>
  <c r="D177" i="6" s="1"/>
  <c r="E177" i="6" s="1"/>
  <c r="B144" i="6"/>
  <c r="C144" i="6" s="1"/>
  <c r="D144" i="6" s="1"/>
  <c r="E144" i="6" s="1"/>
  <c r="B128" i="6"/>
  <c r="C128" i="6" s="1"/>
  <c r="D128" i="6" s="1"/>
  <c r="E128" i="6" s="1"/>
  <c r="B115" i="6"/>
  <c r="C115" i="6" s="1"/>
  <c r="B111" i="6"/>
  <c r="C111" i="6" s="1"/>
  <c r="B107" i="6"/>
  <c r="C107" i="6" s="1"/>
  <c r="D107" i="6" s="1"/>
  <c r="E107" i="6" s="1"/>
  <c r="B103" i="6"/>
  <c r="C103" i="6" s="1"/>
  <c r="B99" i="6"/>
  <c r="C99" i="6" s="1"/>
  <c r="B95" i="6"/>
  <c r="C95" i="6" s="1"/>
  <c r="B91" i="6"/>
  <c r="C91" i="6" s="1"/>
  <c r="B87" i="6"/>
  <c r="C87" i="6" s="1"/>
  <c r="D87" i="6" s="1"/>
  <c r="E87" i="6" s="1"/>
  <c r="B83" i="6"/>
  <c r="C83" i="6" s="1"/>
  <c r="B79" i="6"/>
  <c r="C79" i="6" s="1"/>
  <c r="B75" i="6"/>
  <c r="C75" i="6" s="1"/>
  <c r="B71" i="6"/>
  <c r="C71" i="6" s="1"/>
  <c r="D71" i="6" s="1"/>
  <c r="E71" i="6" s="1"/>
  <c r="B67" i="6"/>
  <c r="C67" i="6" s="1"/>
  <c r="B114" i="6"/>
  <c r="C114" i="6" s="1"/>
  <c r="D114" i="6" s="1"/>
  <c r="E114" i="6" s="1"/>
  <c r="B98" i="6"/>
  <c r="C98" i="6" s="1"/>
  <c r="D98" i="6" s="1"/>
  <c r="E98" i="6" s="1"/>
  <c r="B82" i="6"/>
  <c r="C82" i="6" s="1"/>
  <c r="D82" i="6" s="1"/>
  <c r="E82" i="6" s="1"/>
  <c r="B73" i="6"/>
  <c r="C73" i="6" s="1"/>
  <c r="D73" i="6" s="1"/>
  <c r="E73" i="6" s="1"/>
  <c r="B63" i="6"/>
  <c r="C63" i="6" s="1"/>
  <c r="B62" i="6"/>
  <c r="C62" i="6" s="1"/>
  <c r="D62" i="6" s="1"/>
  <c r="E62" i="6" s="1"/>
  <c r="B58" i="6"/>
  <c r="C58" i="6" s="1"/>
  <c r="D58" i="6" s="1"/>
  <c r="E58" i="6" s="1"/>
  <c r="B54" i="6"/>
  <c r="C54" i="6" s="1"/>
  <c r="B50" i="6"/>
  <c r="C50" i="6" s="1"/>
  <c r="B46" i="6"/>
  <c r="C46" i="6" s="1"/>
  <c r="D46" i="6" s="1"/>
  <c r="E46" i="6" s="1"/>
  <c r="B42" i="6"/>
  <c r="C42" i="6" s="1"/>
  <c r="D42" i="6" s="1"/>
  <c r="E42" i="6" s="1"/>
  <c r="B38" i="6"/>
  <c r="C38" i="6" s="1"/>
  <c r="B34" i="6"/>
  <c r="C34" i="6" s="1"/>
  <c r="B30" i="6"/>
  <c r="C30" i="6" s="1"/>
  <c r="D30" i="6" s="1"/>
  <c r="E30" i="6" s="1"/>
  <c r="B26" i="6"/>
  <c r="C26" i="6" s="1"/>
  <c r="D26" i="6" s="1"/>
  <c r="E26" i="6" s="1"/>
  <c r="B22" i="6"/>
  <c r="C22" i="6" s="1"/>
  <c r="B18" i="6"/>
  <c r="C18" i="6" s="1"/>
  <c r="B14" i="6"/>
  <c r="C14" i="6" s="1"/>
  <c r="D14" i="6" s="1"/>
  <c r="E14" i="6" s="1"/>
  <c r="B102" i="6"/>
  <c r="C102" i="6" s="1"/>
  <c r="D102" i="6" s="1"/>
  <c r="E102" i="6" s="1"/>
  <c r="B55" i="6"/>
  <c r="C55" i="6" s="1"/>
  <c r="D55" i="6" s="1"/>
  <c r="E55" i="6" s="1"/>
  <c r="B43" i="6"/>
  <c r="C43" i="6" s="1"/>
  <c r="B23" i="6"/>
  <c r="C23" i="6" s="1"/>
  <c r="D23" i="6" s="1"/>
  <c r="E23" i="6" s="1"/>
  <c r="B19" i="6"/>
  <c r="C19" i="6" s="1"/>
  <c r="D19" i="6" s="1"/>
  <c r="E19" i="6" s="1"/>
  <c r="B201" i="6"/>
  <c r="C201" i="6" s="1"/>
  <c r="B155" i="6"/>
  <c r="C155" i="6" s="1"/>
  <c r="D155" i="6" s="1"/>
  <c r="E155" i="6" s="1"/>
  <c r="B140" i="6"/>
  <c r="C140" i="6" s="1"/>
  <c r="B110" i="6"/>
  <c r="C110" i="6" s="1"/>
  <c r="D110" i="6" s="1"/>
  <c r="E110" i="6" s="1"/>
  <c r="B94" i="6"/>
  <c r="C94" i="6" s="1"/>
  <c r="B78" i="6"/>
  <c r="C78" i="6" s="1"/>
  <c r="B74" i="6"/>
  <c r="C74" i="6" s="1"/>
  <c r="D74" i="6" s="1"/>
  <c r="E74" i="6" s="1"/>
  <c r="B66" i="6"/>
  <c r="C66" i="6" s="1"/>
  <c r="D66" i="6" s="1"/>
  <c r="E66" i="6" s="1"/>
  <c r="B65" i="6"/>
  <c r="C65" i="6" s="1"/>
  <c r="B61" i="6"/>
  <c r="C61" i="6" s="1"/>
  <c r="B57" i="6"/>
  <c r="C57" i="6" s="1"/>
  <c r="D57" i="6" s="1"/>
  <c r="E57" i="6" s="1"/>
  <c r="B53" i="6"/>
  <c r="C53" i="6" s="1"/>
  <c r="D53" i="6" s="1"/>
  <c r="E53" i="6" s="1"/>
  <c r="B49" i="6"/>
  <c r="C49" i="6" s="1"/>
  <c r="B45" i="6"/>
  <c r="C45" i="6" s="1"/>
  <c r="B41" i="6"/>
  <c r="C41" i="6" s="1"/>
  <c r="D41" i="6" s="1"/>
  <c r="E41" i="6" s="1"/>
  <c r="B37" i="6"/>
  <c r="C37" i="6" s="1"/>
  <c r="D37" i="6" s="1"/>
  <c r="E37" i="6" s="1"/>
  <c r="B33" i="6"/>
  <c r="C33" i="6" s="1"/>
  <c r="B29" i="6"/>
  <c r="C29" i="6" s="1"/>
  <c r="B25" i="6"/>
  <c r="C25" i="6" s="1"/>
  <c r="D25" i="6" s="1"/>
  <c r="E25" i="6" s="1"/>
  <c r="B21" i="6"/>
  <c r="C21" i="6" s="1"/>
  <c r="D21" i="6" s="1"/>
  <c r="E21" i="6" s="1"/>
  <c r="B17" i="6"/>
  <c r="C17" i="6" s="1"/>
  <c r="B86" i="6"/>
  <c r="C86" i="6" s="1"/>
  <c r="D86" i="6" s="1"/>
  <c r="E86" i="6" s="1"/>
  <c r="B70" i="6"/>
  <c r="C70" i="6" s="1"/>
  <c r="B59" i="6"/>
  <c r="C59" i="6" s="1"/>
  <c r="D59" i="6" s="1"/>
  <c r="E59" i="6" s="1"/>
  <c r="B47" i="6"/>
  <c r="C47" i="6" s="1"/>
  <c r="B35" i="6"/>
  <c r="C35" i="6" s="1"/>
  <c r="D35" i="6" s="1"/>
  <c r="E35" i="6" s="1"/>
  <c r="B31" i="6"/>
  <c r="C31" i="6" s="1"/>
  <c r="D31" i="6" s="1"/>
  <c r="E31" i="6" s="1"/>
  <c r="B169" i="6"/>
  <c r="C169" i="6" s="1"/>
  <c r="D169" i="6" s="1"/>
  <c r="E169" i="6" s="1"/>
  <c r="B124" i="6"/>
  <c r="C124" i="6" s="1"/>
  <c r="B106" i="6"/>
  <c r="C106" i="6" s="1"/>
  <c r="B90" i="6"/>
  <c r="C90" i="6" s="1"/>
  <c r="B69" i="6"/>
  <c r="C69" i="6" s="1"/>
  <c r="D69" i="6" s="1"/>
  <c r="E69" i="6" s="1"/>
  <c r="B60" i="6"/>
  <c r="C60" i="6" s="1"/>
  <c r="B56" i="6"/>
  <c r="C56" i="6" s="1"/>
  <c r="D56" i="6" s="1"/>
  <c r="E56" i="6" s="1"/>
  <c r="B52" i="6"/>
  <c r="C52" i="6" s="1"/>
  <c r="D52" i="6" s="1"/>
  <c r="E52" i="6" s="1"/>
  <c r="B48" i="6"/>
  <c r="C48" i="6" s="1"/>
  <c r="D48" i="6" s="1"/>
  <c r="E48" i="6" s="1"/>
  <c r="B44" i="6"/>
  <c r="C44" i="6" s="1"/>
  <c r="D44" i="6" s="1"/>
  <c r="E44" i="6" s="1"/>
  <c r="B40" i="6"/>
  <c r="C40" i="6" s="1"/>
  <c r="B36" i="6"/>
  <c r="C36" i="6" s="1"/>
  <c r="D36" i="6" s="1"/>
  <c r="E36" i="6" s="1"/>
  <c r="B32" i="6"/>
  <c r="C32" i="6" s="1"/>
  <c r="D32" i="6" s="1"/>
  <c r="E32" i="6" s="1"/>
  <c r="B28" i="6"/>
  <c r="C28" i="6" s="1"/>
  <c r="B24" i="6"/>
  <c r="C24" i="6" s="1"/>
  <c r="B20" i="6"/>
  <c r="C20" i="6" s="1"/>
  <c r="B16" i="6"/>
  <c r="C16" i="6" s="1"/>
  <c r="B51" i="6"/>
  <c r="C51" i="6" s="1"/>
  <c r="D51" i="6" s="1"/>
  <c r="E51" i="6" s="1"/>
  <c r="B39" i="6"/>
  <c r="C39" i="6" s="1"/>
  <c r="D39" i="6" s="1"/>
  <c r="E39" i="6" s="1"/>
  <c r="B27" i="6"/>
  <c r="C27" i="6" s="1"/>
  <c r="B15" i="6"/>
  <c r="C15" i="6" s="1"/>
  <c r="D15" i="6" s="1"/>
  <c r="E15" i="6" s="1"/>
  <c r="O2" i="4" l="1"/>
  <c r="D121" i="6"/>
  <c r="E121" i="6" s="1"/>
  <c r="D91" i="6"/>
  <c r="E91" i="6" s="1"/>
  <c r="D170" i="6"/>
  <c r="E170" i="6" s="1"/>
  <c r="D175" i="6"/>
  <c r="E175" i="6" s="1"/>
  <c r="D207" i="6"/>
  <c r="E207" i="6" s="1"/>
  <c r="D188" i="6"/>
  <c r="E188" i="6" s="1"/>
  <c r="D204" i="6"/>
  <c r="E204" i="6" s="1"/>
  <c r="D24" i="6"/>
  <c r="E24" i="6" s="1"/>
  <c r="D40" i="6"/>
  <c r="E40" i="6" s="1"/>
  <c r="D106" i="6"/>
  <c r="E106" i="6" s="1"/>
  <c r="D29" i="6"/>
  <c r="E29" i="6" s="1"/>
  <c r="D45" i="6"/>
  <c r="E45" i="6" s="1"/>
  <c r="D61" i="6"/>
  <c r="E61" i="6" s="1"/>
  <c r="D78" i="6"/>
  <c r="E78" i="6" s="1"/>
  <c r="D43" i="6"/>
  <c r="E43" i="6" s="1"/>
  <c r="D18" i="6"/>
  <c r="E18" i="6" s="1"/>
  <c r="D34" i="6"/>
  <c r="E34" i="6" s="1"/>
  <c r="D50" i="6"/>
  <c r="E50" i="6" s="1"/>
  <c r="D63" i="6"/>
  <c r="E63" i="6" s="1"/>
  <c r="D79" i="6"/>
  <c r="E79" i="6" s="1"/>
  <c r="D95" i="6"/>
  <c r="E95" i="6" s="1"/>
  <c r="D111" i="6"/>
  <c r="E111" i="6" s="1"/>
  <c r="D72" i="6"/>
  <c r="E72" i="6" s="1"/>
  <c r="D88" i="6"/>
  <c r="E88" i="6" s="1"/>
  <c r="D104" i="6"/>
  <c r="E104" i="6" s="1"/>
  <c r="D81" i="6"/>
  <c r="E81" i="6" s="1"/>
  <c r="D97" i="6"/>
  <c r="E97" i="6" s="1"/>
  <c r="D113" i="6"/>
  <c r="E113" i="6" s="1"/>
  <c r="D154" i="6"/>
  <c r="E154" i="6" s="1"/>
  <c r="D129" i="6"/>
  <c r="E129" i="6" s="1"/>
  <c r="D145" i="6"/>
  <c r="E145" i="6" s="1"/>
  <c r="D122" i="6"/>
  <c r="E122" i="6" s="1"/>
  <c r="D138" i="6"/>
  <c r="E138" i="6" s="1"/>
  <c r="D131" i="6"/>
  <c r="E131" i="6" s="1"/>
  <c r="D157" i="6"/>
  <c r="E157" i="6" s="1"/>
  <c r="D178" i="6"/>
  <c r="E178" i="6" s="1"/>
  <c r="D210" i="6"/>
  <c r="E210" i="6" s="1"/>
  <c r="D179" i="6"/>
  <c r="E179" i="6" s="1"/>
  <c r="D195" i="6"/>
  <c r="E195" i="6" s="1"/>
  <c r="D211" i="6"/>
  <c r="E211" i="6" s="1"/>
  <c r="D160" i="6"/>
  <c r="E160" i="6" s="1"/>
  <c r="D176" i="6"/>
  <c r="E176" i="6" s="1"/>
  <c r="D192" i="6"/>
  <c r="E192" i="6" s="1"/>
  <c r="D208" i="6"/>
  <c r="E208" i="6" s="1"/>
  <c r="D16" i="6"/>
  <c r="E16" i="6" s="1"/>
  <c r="D103" i="6"/>
  <c r="E103" i="6" s="1"/>
  <c r="D27" i="6"/>
  <c r="E27" i="6" s="1"/>
  <c r="D20" i="6"/>
  <c r="E20" i="6" s="1"/>
  <c r="D90" i="6"/>
  <c r="E90" i="6" s="1"/>
  <c r="D70" i="6"/>
  <c r="E70" i="6" s="1"/>
  <c r="D140" i="6"/>
  <c r="E140" i="6" s="1"/>
  <c r="D75" i="6"/>
  <c r="E75" i="6" s="1"/>
  <c r="D141" i="6"/>
  <c r="E141" i="6" s="1"/>
  <c r="D151" i="6"/>
  <c r="E151" i="6" s="1"/>
  <c r="D147" i="6"/>
  <c r="E147" i="6" s="1"/>
  <c r="D172" i="6"/>
  <c r="E172" i="6" s="1"/>
  <c r="D28" i="6"/>
  <c r="E28" i="6" s="1"/>
  <c r="D60" i="6"/>
  <c r="E60" i="6" s="1"/>
  <c r="D124" i="6"/>
  <c r="E124" i="6" s="1"/>
  <c r="D47" i="6"/>
  <c r="E47" i="6" s="1"/>
  <c r="D17" i="6"/>
  <c r="E17" i="6" s="1"/>
  <c r="D33" i="6"/>
  <c r="E33" i="6" s="1"/>
  <c r="D49" i="6"/>
  <c r="E49" i="6" s="1"/>
  <c r="D65" i="6"/>
  <c r="E65" i="6" s="1"/>
  <c r="D94" i="6"/>
  <c r="E94" i="6" s="1"/>
  <c r="D201" i="6"/>
  <c r="E201" i="6" s="1"/>
  <c r="D22" i="6"/>
  <c r="E22" i="6" s="1"/>
  <c r="D38" i="6"/>
  <c r="E38" i="6" s="1"/>
  <c r="D54" i="6"/>
  <c r="E54" i="6" s="1"/>
  <c r="D67" i="6"/>
  <c r="E67" i="6" s="1"/>
  <c r="D83" i="6"/>
  <c r="E83" i="6" s="1"/>
  <c r="D99" i="6"/>
  <c r="E99" i="6" s="1"/>
  <c r="D115" i="6"/>
  <c r="E115" i="6" s="1"/>
  <c r="D76" i="6"/>
  <c r="E76" i="6" s="1"/>
  <c r="D92" i="6"/>
  <c r="E92" i="6" s="1"/>
  <c r="D108" i="6"/>
  <c r="E108" i="6" s="1"/>
  <c r="D153" i="6"/>
  <c r="E153" i="6" s="1"/>
  <c r="D85" i="6"/>
  <c r="E85" i="6" s="1"/>
  <c r="D101" i="6"/>
  <c r="E101" i="6" s="1"/>
  <c r="D117" i="6"/>
  <c r="E117" i="6" s="1"/>
  <c r="D133" i="6"/>
  <c r="E133" i="6" s="1"/>
  <c r="D166" i="6"/>
  <c r="E166" i="6" s="1"/>
  <c r="D198" i="6"/>
  <c r="E198" i="6" s="1"/>
  <c r="D126" i="6"/>
  <c r="E126" i="6" s="1"/>
  <c r="D142" i="6"/>
  <c r="E142" i="6" s="1"/>
  <c r="D162" i="6"/>
  <c r="E162" i="6" s="1"/>
  <c r="D189" i="6"/>
  <c r="E189" i="6" s="1"/>
  <c r="D119" i="6"/>
  <c r="E119" i="6" s="1"/>
  <c r="D135" i="6"/>
  <c r="E135" i="6" s="1"/>
  <c r="D158" i="6"/>
  <c r="E158" i="6" s="1"/>
  <c r="D186" i="6"/>
  <c r="E186" i="6" s="1"/>
  <c r="D167" i="6"/>
  <c r="E167" i="6" s="1"/>
  <c r="D183" i="6"/>
  <c r="E183" i="6" s="1"/>
  <c r="D199" i="6"/>
  <c r="E199" i="6" s="1"/>
  <c r="D148" i="6"/>
  <c r="E148" i="6" s="1"/>
  <c r="D164" i="6"/>
  <c r="E164" i="6" s="1"/>
  <c r="D180" i="6"/>
  <c r="E180" i="6" s="1"/>
  <c r="D196" i="6"/>
  <c r="E196" i="6" s="1"/>
  <c r="D212" i="6"/>
  <c r="E212" i="6" s="1"/>
  <c r="P215" i="4" l="1"/>
  <c r="Q215" i="4" s="1"/>
  <c r="P214" i="4"/>
  <c r="Q214" i="4" s="1"/>
  <c r="P213" i="4"/>
  <c r="Q213" i="4" s="1"/>
  <c r="P212" i="4"/>
  <c r="Q212" i="4" s="1"/>
  <c r="P211" i="4"/>
  <c r="Q211" i="4" s="1"/>
  <c r="P210" i="4"/>
  <c r="Q210" i="4" s="1"/>
  <c r="P209" i="4"/>
  <c r="Q209" i="4" s="1"/>
  <c r="P208" i="4"/>
  <c r="Q208" i="4" s="1"/>
  <c r="P207" i="4"/>
  <c r="Q207" i="4" s="1"/>
  <c r="P206" i="4"/>
  <c r="Q206" i="4" s="1"/>
  <c r="P197" i="4"/>
  <c r="Q197" i="4" s="1"/>
  <c r="D197" i="4" s="1"/>
  <c r="P196" i="4"/>
  <c r="Q196" i="4" s="1"/>
  <c r="D196" i="4" s="1"/>
  <c r="P195" i="4"/>
  <c r="Q195" i="4" s="1"/>
  <c r="D195" i="4" s="1"/>
  <c r="P194" i="4"/>
  <c r="Q194" i="4" s="1"/>
  <c r="D194" i="4" s="1"/>
  <c r="P193" i="4"/>
  <c r="Q193" i="4" s="1"/>
  <c r="D193" i="4" s="1"/>
  <c r="P192" i="4"/>
  <c r="Q192" i="4" s="1"/>
  <c r="D192" i="4" s="1"/>
  <c r="P191" i="4"/>
  <c r="Q191" i="4" s="1"/>
  <c r="D191" i="4" s="1"/>
  <c r="P190" i="4"/>
  <c r="Q190" i="4" s="1"/>
  <c r="D190" i="4" s="1"/>
  <c r="P189" i="4"/>
  <c r="Q189" i="4" s="1"/>
  <c r="D189" i="4" s="1"/>
  <c r="P188" i="4"/>
  <c r="Q188" i="4" s="1"/>
  <c r="D188" i="4" s="1"/>
  <c r="P187" i="4"/>
  <c r="Q187" i="4" s="1"/>
  <c r="D187" i="4" s="1"/>
  <c r="P186" i="4"/>
  <c r="Q186" i="4" s="1"/>
  <c r="D186" i="4" s="1"/>
  <c r="P185" i="4"/>
  <c r="Q185" i="4" s="1"/>
  <c r="D185" i="4" s="1"/>
  <c r="P184" i="4"/>
  <c r="Q184" i="4" s="1"/>
  <c r="D184" i="4" s="1"/>
  <c r="P183" i="4"/>
  <c r="Q183" i="4" s="1"/>
  <c r="D183" i="4" s="1"/>
  <c r="P182" i="4"/>
  <c r="Q182" i="4" s="1"/>
  <c r="D182" i="4" s="1"/>
  <c r="P163" i="4"/>
  <c r="Q163" i="4" s="1"/>
  <c r="D163" i="4" s="1"/>
  <c r="P162" i="4"/>
  <c r="Q162" i="4" s="1"/>
  <c r="D162" i="4" s="1"/>
  <c r="P161" i="4"/>
  <c r="Q161" i="4" s="1"/>
  <c r="D161" i="4" s="1"/>
  <c r="P160" i="4"/>
  <c r="Q160" i="4" s="1"/>
  <c r="D160" i="4" s="1"/>
  <c r="P159" i="4"/>
  <c r="Q159" i="4" s="1"/>
  <c r="D159" i="4" s="1"/>
  <c r="P158" i="4"/>
  <c r="Q158" i="4" s="1"/>
  <c r="D158" i="4" s="1"/>
  <c r="P157" i="4"/>
  <c r="Q157" i="4" s="1"/>
  <c r="D157" i="4" s="1"/>
  <c r="P156" i="4"/>
  <c r="Q156" i="4" s="1"/>
  <c r="D156" i="4" s="1"/>
  <c r="P155" i="4"/>
  <c r="Q155" i="4" s="1"/>
  <c r="D155" i="4" s="1"/>
  <c r="P154" i="4"/>
  <c r="Q154" i="4" s="1"/>
  <c r="D154" i="4" s="1"/>
  <c r="P153" i="4"/>
  <c r="Q153" i="4" s="1"/>
  <c r="D153" i="4" s="1"/>
  <c r="P152" i="4"/>
  <c r="Q152" i="4" s="1"/>
  <c r="D152" i="4" s="1"/>
  <c r="P151" i="4"/>
  <c r="Q151" i="4" s="1"/>
  <c r="D151" i="4" s="1"/>
  <c r="P150" i="4"/>
  <c r="Q150" i="4" s="1"/>
  <c r="D150" i="4" s="1"/>
  <c r="P149" i="4"/>
  <c r="Q149" i="4" s="1"/>
  <c r="D149" i="4" s="1"/>
  <c r="P148" i="4"/>
  <c r="Q148" i="4" s="1"/>
  <c r="D148" i="4" s="1"/>
  <c r="P147" i="4"/>
  <c r="Q147" i="4" s="1"/>
  <c r="D147" i="4" s="1"/>
  <c r="P142" i="4"/>
  <c r="Q142" i="4" s="1"/>
  <c r="D142" i="4" s="1"/>
  <c r="P141" i="4"/>
  <c r="Q141" i="4" s="1"/>
  <c r="D141" i="4" s="1"/>
  <c r="P140" i="4"/>
  <c r="Q140" i="4" s="1"/>
  <c r="D140" i="4" s="1"/>
  <c r="P139" i="4"/>
  <c r="Q139" i="4" s="1"/>
  <c r="D139" i="4" s="1"/>
  <c r="P138" i="4"/>
  <c r="Q138" i="4" s="1"/>
  <c r="D138" i="4" s="1"/>
  <c r="P137" i="4"/>
  <c r="Q137" i="4" s="1"/>
  <c r="D137" i="4" s="1"/>
  <c r="P136" i="4"/>
  <c r="Q136" i="4" s="1"/>
  <c r="D136" i="4" s="1"/>
  <c r="P135" i="4"/>
  <c r="Q135" i="4" s="1"/>
  <c r="D135" i="4" s="1"/>
  <c r="P134" i="4"/>
  <c r="Q134" i="4" s="1"/>
  <c r="D134" i="4" s="1"/>
  <c r="P133" i="4"/>
  <c r="Q133" i="4" s="1"/>
  <c r="D133" i="4" s="1"/>
  <c r="P132" i="4"/>
  <c r="Q132" i="4" s="1"/>
  <c r="D132" i="4" s="1"/>
  <c r="P131" i="4"/>
  <c r="Q131" i="4" s="1"/>
  <c r="D131" i="4" s="1"/>
  <c r="P130" i="4"/>
  <c r="Q130" i="4" s="1"/>
  <c r="D130" i="4" s="1"/>
  <c r="P129" i="4"/>
  <c r="Q129" i="4" s="1"/>
  <c r="D129" i="4" s="1"/>
  <c r="P128" i="4"/>
  <c r="Q128" i="4" s="1"/>
  <c r="D128" i="4" s="1"/>
  <c r="P127" i="4"/>
  <c r="Q127" i="4" s="1"/>
  <c r="D127" i="4" s="1"/>
  <c r="P126" i="4"/>
  <c r="Q126" i="4" s="1"/>
  <c r="D126" i="4" s="1"/>
  <c r="P125" i="4"/>
  <c r="Q125" i="4" s="1"/>
  <c r="D125" i="4" s="1"/>
  <c r="P124" i="4"/>
  <c r="Q124" i="4" s="1"/>
  <c r="D124" i="4" s="1"/>
  <c r="P123" i="4"/>
  <c r="Q123" i="4" s="1"/>
  <c r="D123" i="4" s="1"/>
  <c r="P122" i="4"/>
  <c r="Q122" i="4" s="1"/>
  <c r="D122" i="4" s="1"/>
  <c r="P121" i="4"/>
  <c r="Q121" i="4" s="1"/>
  <c r="D121" i="4" s="1"/>
  <c r="P120" i="4"/>
  <c r="Q120" i="4" s="1"/>
  <c r="D120" i="4" s="1"/>
  <c r="P119" i="4"/>
  <c r="Q119" i="4" s="1"/>
  <c r="D119" i="4" s="1"/>
  <c r="P118" i="4"/>
  <c r="Q118" i="4" s="1"/>
  <c r="D118" i="4" s="1"/>
  <c r="P117" i="4"/>
  <c r="Q117" i="4" s="1"/>
  <c r="D117" i="4" s="1"/>
  <c r="P116" i="4"/>
  <c r="Q116" i="4" s="1"/>
  <c r="D116" i="4" s="1"/>
  <c r="P115" i="4"/>
  <c r="Q115" i="4" s="1"/>
  <c r="D115" i="4" s="1"/>
  <c r="P114" i="4"/>
  <c r="Q114" i="4" s="1"/>
  <c r="D114" i="4" s="1"/>
  <c r="P113" i="4"/>
  <c r="Q113" i="4" s="1"/>
  <c r="D113" i="4" s="1"/>
  <c r="P112" i="4"/>
  <c r="Q112" i="4" s="1"/>
  <c r="D112" i="4" s="1"/>
  <c r="P111" i="4"/>
  <c r="Q111" i="4" s="1"/>
  <c r="D111" i="4" s="1"/>
  <c r="P110" i="4"/>
  <c r="Q110" i="4" s="1"/>
  <c r="D110" i="4" s="1"/>
  <c r="P109" i="4"/>
  <c r="Q109" i="4" s="1"/>
  <c r="D109" i="4" s="1"/>
  <c r="P108" i="4"/>
  <c r="Q108" i="4" s="1"/>
  <c r="D108" i="4" s="1"/>
  <c r="P107" i="4"/>
  <c r="Q107" i="4" s="1"/>
  <c r="D107" i="4" s="1"/>
  <c r="P106" i="4"/>
  <c r="Q106" i="4" s="1"/>
  <c r="D106" i="4" s="1"/>
  <c r="P105" i="4"/>
  <c r="Q105" i="4" s="1"/>
  <c r="D105" i="4" s="1"/>
  <c r="P104" i="4"/>
  <c r="Q104" i="4" s="1"/>
  <c r="D104" i="4" s="1"/>
  <c r="P103" i="4"/>
  <c r="Q103" i="4" s="1"/>
  <c r="D103" i="4" s="1"/>
  <c r="P102" i="4"/>
  <c r="Q102" i="4" s="1"/>
  <c r="D102" i="4" s="1"/>
  <c r="P101" i="4"/>
  <c r="Q101" i="4" s="1"/>
  <c r="D101" i="4" s="1"/>
  <c r="P100" i="4"/>
  <c r="Q100" i="4" s="1"/>
  <c r="D100" i="4" s="1"/>
  <c r="P99" i="4"/>
  <c r="Q99" i="4" s="1"/>
  <c r="D99" i="4" s="1"/>
  <c r="P98" i="4"/>
  <c r="Q98" i="4" s="1"/>
  <c r="D98" i="4" s="1"/>
  <c r="P97" i="4"/>
  <c r="Q97" i="4" s="1"/>
  <c r="D97" i="4" s="1"/>
  <c r="D81" i="4"/>
  <c r="D80" i="4"/>
  <c r="D79" i="4"/>
  <c r="D78" i="4"/>
  <c r="D77" i="4"/>
  <c r="D76" i="4"/>
  <c r="D75" i="4"/>
  <c r="P74" i="4"/>
  <c r="Q74" i="4" s="1"/>
  <c r="D74" i="4" s="1"/>
  <c r="P73" i="4"/>
  <c r="Q73" i="4" s="1"/>
  <c r="D73" i="4" s="1"/>
  <c r="P72" i="4"/>
  <c r="Q72" i="4" s="1"/>
  <c r="D72" i="4" s="1"/>
  <c r="P71" i="4"/>
  <c r="Q71" i="4" s="1"/>
  <c r="D71" i="4" s="1"/>
  <c r="P70" i="4"/>
  <c r="Q70" i="4" s="1"/>
  <c r="D70" i="4" s="1"/>
  <c r="P69" i="4"/>
  <c r="Q69" i="4" s="1"/>
  <c r="D69" i="4" s="1"/>
  <c r="P68" i="4"/>
  <c r="Q68" i="4" s="1"/>
  <c r="D68" i="4" s="1"/>
  <c r="P67" i="4"/>
  <c r="Q67" i="4" s="1"/>
  <c r="D67" i="4" s="1"/>
  <c r="P66" i="4"/>
  <c r="Q66" i="4" s="1"/>
  <c r="D66" i="4" s="1"/>
  <c r="P65" i="4"/>
  <c r="Q65" i="4" s="1"/>
  <c r="D65" i="4" s="1"/>
  <c r="P64" i="4"/>
  <c r="Q64" i="4" s="1"/>
  <c r="D64" i="4" s="1"/>
  <c r="P63" i="4"/>
  <c r="Q63" i="4" s="1"/>
  <c r="D63" i="4" s="1"/>
  <c r="P62" i="4"/>
  <c r="Q62" i="4" s="1"/>
  <c r="D62" i="4" s="1"/>
  <c r="P61" i="4"/>
  <c r="Q61" i="4" s="1"/>
  <c r="D61" i="4" s="1"/>
  <c r="P60" i="4"/>
  <c r="Q60" i="4" s="1"/>
  <c r="D60" i="4" s="1"/>
  <c r="P59" i="4"/>
  <c r="Q59" i="4" s="1"/>
  <c r="D59" i="4" s="1"/>
  <c r="P58" i="4"/>
  <c r="Q58" i="4" s="1"/>
  <c r="D58" i="4" s="1"/>
  <c r="P57" i="4"/>
  <c r="Q57" i="4" s="1"/>
  <c r="D57" i="4" s="1"/>
  <c r="P56" i="4"/>
  <c r="Q56" i="4" s="1"/>
  <c r="D56" i="4" s="1"/>
  <c r="P55" i="4"/>
  <c r="Q55" i="4" s="1"/>
  <c r="D55" i="4" s="1"/>
  <c r="P54" i="4"/>
  <c r="Q54" i="4" s="1"/>
  <c r="D54" i="4" s="1"/>
  <c r="P53" i="4"/>
  <c r="Q53" i="4" s="1"/>
  <c r="D53" i="4" s="1"/>
  <c r="P52" i="4"/>
  <c r="Q52" i="4" s="1"/>
  <c r="D52" i="4" s="1"/>
  <c r="P51" i="4"/>
  <c r="Q51" i="4" s="1"/>
  <c r="D51" i="4" s="1"/>
  <c r="P50" i="4"/>
  <c r="Q50" i="4" s="1"/>
  <c r="D50" i="4" s="1"/>
  <c r="P49" i="4"/>
  <c r="Q49" i="4" s="1"/>
  <c r="D49" i="4" s="1"/>
  <c r="P48" i="4"/>
  <c r="Q48" i="4" s="1"/>
  <c r="D48" i="4" s="1"/>
  <c r="P47" i="4"/>
  <c r="Q47" i="4" s="1"/>
  <c r="D47" i="4" s="1"/>
  <c r="P46" i="4"/>
  <c r="Q46" i="4" s="1"/>
  <c r="D46" i="4" s="1"/>
  <c r="P45" i="4"/>
  <c r="Q45" i="4" s="1"/>
  <c r="D45" i="4" s="1"/>
  <c r="P44" i="4"/>
  <c r="Q44" i="4" s="1"/>
  <c r="D44" i="4" s="1"/>
  <c r="P43" i="4"/>
  <c r="Q43" i="4" s="1"/>
  <c r="D43" i="4" s="1"/>
  <c r="P42" i="4"/>
  <c r="Q42" i="4" s="1"/>
  <c r="D42" i="4" s="1"/>
  <c r="P41" i="4"/>
  <c r="Q41" i="4" s="1"/>
  <c r="D41" i="4" s="1"/>
  <c r="P40" i="4"/>
  <c r="Q40" i="4" s="1"/>
  <c r="D40" i="4" s="1"/>
  <c r="P39" i="4"/>
  <c r="Q39" i="4" s="1"/>
  <c r="D39" i="4" s="1"/>
  <c r="P38" i="4"/>
  <c r="Q38" i="4" s="1"/>
  <c r="D38" i="4" s="1"/>
  <c r="P37" i="4"/>
  <c r="Q37" i="4" s="1"/>
  <c r="D37" i="4" s="1"/>
  <c r="P36" i="4"/>
  <c r="Q36" i="4" s="1"/>
  <c r="D36" i="4" s="1"/>
  <c r="P35" i="4"/>
  <c r="Q35" i="4" s="1"/>
  <c r="D35" i="4" s="1"/>
  <c r="P34" i="4"/>
  <c r="Q34" i="4" s="1"/>
  <c r="D34" i="4" s="1"/>
  <c r="P33" i="4"/>
  <c r="Q33" i="4" s="1"/>
  <c r="D33" i="4" s="1"/>
  <c r="P32" i="4"/>
  <c r="Q32" i="4" s="1"/>
  <c r="D32" i="4" s="1"/>
  <c r="P31" i="4"/>
  <c r="Q31" i="4" s="1"/>
  <c r="D31" i="4" s="1"/>
  <c r="P30" i="4"/>
  <c r="Q30" i="4" s="1"/>
  <c r="D30" i="4" s="1"/>
  <c r="P29" i="4"/>
  <c r="Q29" i="4" s="1"/>
  <c r="D29" i="4" s="1"/>
  <c r="P28" i="4"/>
  <c r="Q28" i="4" s="1"/>
  <c r="D28" i="4" s="1"/>
  <c r="P27" i="4"/>
  <c r="Q27" i="4" s="1"/>
  <c r="D27" i="4" s="1"/>
  <c r="P26" i="4"/>
  <c r="Q26" i="4" s="1"/>
  <c r="D26" i="4" s="1"/>
  <c r="P25" i="4"/>
  <c r="Q25" i="4" s="1"/>
  <c r="D25" i="4" s="1"/>
  <c r="P24" i="4"/>
  <c r="Q24" i="4" s="1"/>
  <c r="D24" i="4" s="1"/>
  <c r="P23" i="4"/>
  <c r="Q23" i="4" s="1"/>
  <c r="D23" i="4" s="1"/>
  <c r="P22" i="4"/>
  <c r="Q22" i="4" s="1"/>
  <c r="D22" i="4" s="1"/>
  <c r="P21" i="4"/>
  <c r="Q21" i="4" s="1"/>
  <c r="D21" i="4" s="1"/>
  <c r="P20" i="4"/>
  <c r="Q20" i="4" s="1"/>
  <c r="D20" i="4" s="1"/>
  <c r="P19" i="4"/>
  <c r="Q19" i="4" s="1"/>
  <c r="D19" i="4" s="1"/>
  <c r="P18" i="4"/>
  <c r="Q18" i="4" s="1"/>
  <c r="D18" i="4" s="1"/>
  <c r="P17" i="4"/>
  <c r="Q17" i="4" s="1"/>
  <c r="D17" i="4" s="1"/>
  <c r="P16" i="4"/>
  <c r="Q16" i="4" s="1"/>
  <c r="D16" i="4" s="1"/>
  <c r="P15" i="4"/>
  <c r="Q15" i="4" s="1"/>
  <c r="D15" i="4" s="1"/>
  <c r="P14" i="4"/>
  <c r="Q14" i="4" s="1"/>
  <c r="D14" i="4" s="1"/>
  <c r="P13" i="4"/>
  <c r="Q13" i="4" s="1"/>
  <c r="D13" i="4" s="1"/>
  <c r="P12" i="4"/>
  <c r="Q12" i="4" s="1"/>
  <c r="D12" i="4" s="1"/>
  <c r="P11" i="4"/>
  <c r="Q11" i="4" s="1"/>
  <c r="D11" i="4" s="1"/>
  <c r="P10" i="4"/>
  <c r="Q10" i="4" s="1"/>
  <c r="D10" i="4" s="1"/>
  <c r="P9" i="4"/>
  <c r="Q9" i="4" s="1"/>
  <c r="D9" i="4" s="1"/>
  <c r="P8" i="4"/>
  <c r="Q8" i="4" s="1"/>
  <c r="D8" i="4" s="1"/>
  <c r="N27" i="7" l="1"/>
  <c r="N26" i="7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V163" i="4" l="1"/>
  <c r="V167" i="4"/>
  <c r="V176" i="4"/>
  <c r="V169" i="4"/>
  <c r="V157" i="4"/>
  <c r="V103" i="4"/>
  <c r="V153" i="4"/>
  <c r="V161" i="4"/>
  <c r="V136" i="4"/>
  <c r="V101" i="4"/>
  <c r="V159" i="4"/>
  <c r="V105" i="4"/>
  <c r="V162" i="4"/>
  <c r="V156" i="4"/>
  <c r="V149" i="4"/>
  <c r="V99" i="4"/>
  <c r="V154" i="4"/>
  <c r="V160" i="4"/>
  <c r="V151" i="4"/>
  <c r="V158" i="4"/>
  <c r="V104" i="4"/>
  <c r="V134" i="4"/>
  <c r="V152" i="4"/>
  <c r="V150" i="4"/>
  <c r="V155" i="4"/>
  <c r="V102" i="4"/>
  <c r="V132" i="4"/>
  <c r="V135" i="4"/>
  <c r="V97" i="4"/>
  <c r="V98" i="4"/>
  <c r="V147" i="4"/>
  <c r="V148" i="4"/>
  <c r="V100" i="4"/>
  <c r="P67" i="7"/>
  <c r="O67" i="7"/>
  <c r="N67" i="7"/>
  <c r="M51" i="7"/>
  <c r="M50" i="7"/>
  <c r="N51" i="7"/>
  <c r="N50" i="7"/>
  <c r="K15" i="5"/>
  <c r="K14" i="5"/>
  <c r="K13" i="5"/>
  <c r="K12" i="5"/>
  <c r="K11" i="5"/>
  <c r="K10" i="5"/>
  <c r="K9" i="5"/>
  <c r="V199" i="4" l="1"/>
  <c r="S67" i="7"/>
  <c r="R67" i="7"/>
  <c r="V67" i="7" s="1"/>
  <c r="Q67" i="7"/>
  <c r="U67" i="7" s="1"/>
  <c r="L11" i="5"/>
  <c r="L15" i="5"/>
  <c r="L12" i="5"/>
  <c r="L10" i="5"/>
  <c r="L14" i="5"/>
  <c r="L9" i="5"/>
  <c r="L13" i="5"/>
  <c r="L197" i="4" l="1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90" i="4"/>
  <c r="L88" i="4"/>
  <c r="L171" i="4"/>
  <c r="L170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215" i="4"/>
  <c r="L214" i="4"/>
  <c r="L213" i="4"/>
  <c r="L212" i="4"/>
  <c r="L211" i="4"/>
  <c r="L210" i="4"/>
  <c r="L209" i="4"/>
  <c r="L208" i="4"/>
  <c r="L207" i="4"/>
  <c r="L206" i="4"/>
  <c r="L81" i="4"/>
  <c r="L80" i="4"/>
  <c r="L79" i="4"/>
  <c r="L78" i="4"/>
  <c r="L77" i="4"/>
  <c r="L76" i="4"/>
  <c r="L75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N74" i="7" l="1"/>
  <c r="M35" i="7"/>
  <c r="M27" i="7"/>
  <c r="R197" i="4" s="1"/>
  <c r="M34" i="7"/>
  <c r="M26" i="7"/>
  <c r="P75" i="7"/>
  <c r="O75" i="7"/>
  <c r="N75" i="7"/>
  <c r="N76" i="7"/>
  <c r="P76" i="7"/>
  <c r="O76" i="7"/>
  <c r="O65" i="7"/>
  <c r="N65" i="7"/>
  <c r="P65" i="7"/>
  <c r="O66" i="7"/>
  <c r="P66" i="7"/>
  <c r="N66" i="7"/>
  <c r="N72" i="7"/>
  <c r="O72" i="7"/>
  <c r="P72" i="7"/>
  <c r="O74" i="7"/>
  <c r="P74" i="7"/>
  <c r="N63" i="7"/>
  <c r="O63" i="7"/>
  <c r="P63" i="7"/>
  <c r="O64" i="7"/>
  <c r="P64" i="7"/>
  <c r="N64" i="7"/>
  <c r="N71" i="7"/>
  <c r="O71" i="7"/>
  <c r="P71" i="7"/>
  <c r="P68" i="7"/>
  <c r="O68" i="7"/>
  <c r="N68" i="7"/>
  <c r="P69" i="7"/>
  <c r="O69" i="7"/>
  <c r="O73" i="7"/>
  <c r="P73" i="7"/>
  <c r="N73" i="7"/>
  <c r="M31" i="7"/>
  <c r="M32" i="7" s="1"/>
  <c r="N31" i="7" l="1"/>
  <c r="N32" i="7" s="1"/>
  <c r="Q69" i="7"/>
  <c r="U69" i="7" s="1"/>
  <c r="Q75" i="7"/>
  <c r="U75" i="7" s="1"/>
  <c r="R99" i="4"/>
  <c r="R160" i="4"/>
  <c r="R104" i="4"/>
  <c r="Q76" i="7"/>
  <c r="U76" i="7" s="1"/>
  <c r="Q74" i="7"/>
  <c r="U74" i="7" s="1"/>
  <c r="R193" i="4"/>
  <c r="R147" i="4"/>
  <c r="Q66" i="7"/>
  <c r="U66" i="7" s="1"/>
  <c r="R103" i="4"/>
  <c r="R195" i="4"/>
  <c r="R150" i="4"/>
  <c r="R182" i="4"/>
  <c r="S140" i="4"/>
  <c r="S126" i="4"/>
  <c r="S130" i="4"/>
  <c r="S142" i="4"/>
  <c r="S141" i="4"/>
  <c r="S127" i="4"/>
  <c r="R191" i="4"/>
  <c r="R185" i="4"/>
  <c r="R102" i="4"/>
  <c r="R161" i="4"/>
  <c r="R194" i="4"/>
  <c r="R189" i="4"/>
  <c r="R151" i="4"/>
  <c r="S76" i="7"/>
  <c r="R76" i="7"/>
  <c r="V76" i="7" s="1"/>
  <c r="R106" i="4"/>
  <c r="R187" i="4"/>
  <c r="R97" i="4"/>
  <c r="M37" i="7"/>
  <c r="M36" i="7"/>
  <c r="Q70" i="7"/>
  <c r="U70" i="7" s="1"/>
  <c r="N81" i="7"/>
  <c r="Q63" i="7"/>
  <c r="U63" i="7" s="1"/>
  <c r="Q68" i="7"/>
  <c r="U68" i="7" s="1"/>
  <c r="Q71" i="7"/>
  <c r="U71" i="7" s="1"/>
  <c r="Q64" i="7"/>
  <c r="U64" i="7" s="1"/>
  <c r="N82" i="7"/>
  <c r="N80" i="7"/>
  <c r="N79" i="7"/>
  <c r="N78" i="7"/>
  <c r="Q72" i="7"/>
  <c r="U72" i="7" s="1"/>
  <c r="R73" i="7"/>
  <c r="V73" i="7" s="1"/>
  <c r="S73" i="7"/>
  <c r="S71" i="7"/>
  <c r="R71" i="7"/>
  <c r="V71" i="7" s="1"/>
  <c r="S66" i="7"/>
  <c r="R66" i="7"/>
  <c r="V66" i="7" s="1"/>
  <c r="Q65" i="7"/>
  <c r="U65" i="7" s="1"/>
  <c r="S68" i="7"/>
  <c r="R68" i="7"/>
  <c r="V68" i="7" s="1"/>
  <c r="S74" i="7"/>
  <c r="R74" i="7"/>
  <c r="V74" i="7" s="1"/>
  <c r="S65" i="7"/>
  <c r="R65" i="7"/>
  <c r="V65" i="7" s="1"/>
  <c r="Q73" i="7"/>
  <c r="U73" i="7" s="1"/>
  <c r="S70" i="7"/>
  <c r="R70" i="7"/>
  <c r="V70" i="7" s="1"/>
  <c r="R64" i="7"/>
  <c r="V64" i="7" s="1"/>
  <c r="S64" i="7"/>
  <c r="S72" i="7"/>
  <c r="R72" i="7"/>
  <c r="V72" i="7" s="1"/>
  <c r="R69" i="7"/>
  <c r="V69" i="7" s="1"/>
  <c r="S69" i="7"/>
  <c r="S63" i="7"/>
  <c r="R63" i="7"/>
  <c r="V63" i="7" s="1"/>
  <c r="R75" i="7"/>
  <c r="V75" i="7" s="1"/>
  <c r="S75" i="7"/>
  <c r="T191" i="4" l="1"/>
  <c r="T182" i="4"/>
  <c r="T150" i="4"/>
  <c r="T195" i="4"/>
  <c r="T103" i="4"/>
  <c r="T104" i="4"/>
  <c r="T160" i="4"/>
  <c r="T97" i="4"/>
  <c r="T161" i="4"/>
  <c r="T102" i="4"/>
  <c r="T118" i="4"/>
  <c r="T188" i="4"/>
  <c r="T147" i="4"/>
  <c r="T185" i="4"/>
  <c r="T193" i="4"/>
  <c r="T194" i="4"/>
  <c r="T99" i="4"/>
  <c r="T106" i="4"/>
  <c r="T151" i="4"/>
  <c r="T197" i="4"/>
  <c r="T187" i="4"/>
  <c r="T189" i="4"/>
  <c r="R199" i="4"/>
  <c r="S199" i="4"/>
  <c r="U142" i="4"/>
  <c r="U133" i="4"/>
  <c r="U127" i="4"/>
  <c r="U141" i="4"/>
  <c r="U131" i="4"/>
  <c r="U126" i="4"/>
  <c r="U140" i="4"/>
  <c r="U130" i="4"/>
  <c r="U122" i="4"/>
  <c r="U186" i="4"/>
  <c r="U136" i="4"/>
  <c r="U129" i="4"/>
  <c r="U199" i="4" l="1"/>
  <c r="T199" i="4"/>
</calcChain>
</file>

<file path=xl/sharedStrings.xml><?xml version="1.0" encoding="utf-8"?>
<sst xmlns="http://schemas.openxmlformats.org/spreadsheetml/2006/main" count="1535" uniqueCount="381">
  <si>
    <t>Investigation of utility of stable isotopic C ratios to identify anthropogenic unknowns in LC/QTof analyses</t>
  </si>
  <si>
    <t>Sample Type</t>
  </si>
  <si>
    <t>Tissue or Compound</t>
  </si>
  <si>
    <t>Monoisotopic Mass</t>
  </si>
  <si>
    <t>Mass Defect</t>
  </si>
  <si>
    <t>ESI Mode</t>
  </si>
  <si>
    <t>Primary M/Z</t>
  </si>
  <si>
    <t>i-FIT Score</t>
  </si>
  <si>
    <t>Formula (i-FIT or known)</t>
  </si>
  <si>
    <t>Primary PA</t>
  </si>
  <si>
    <t>M+1 PA</t>
  </si>
  <si>
    <t>(M+1)/ Primary</t>
  </si>
  <si>
    <t>Reservoir 13C/12C</t>
  </si>
  <si>
    <t>(Daltons)</t>
  </si>
  <si>
    <t>(D/esu)</t>
  </si>
  <si>
    <t>(D)</t>
  </si>
  <si>
    <t>Neg</t>
  </si>
  <si>
    <t>C35H36N4O5</t>
  </si>
  <si>
    <t>C43H71NO13</t>
  </si>
  <si>
    <t>C43H71ClO10</t>
  </si>
  <si>
    <t>C33H32N4O2</t>
  </si>
  <si>
    <t>C15H22O2</t>
  </si>
  <si>
    <t>C17H28O3S</t>
  </si>
  <si>
    <t>C12H26O4S</t>
  </si>
  <si>
    <t>C14H30O4S</t>
  </si>
  <si>
    <t>C46H80O12</t>
  </si>
  <si>
    <t>Paolo Verdi Cotton</t>
  </si>
  <si>
    <t>C35H52N4O4</t>
  </si>
  <si>
    <t>C31H50O6</t>
  </si>
  <si>
    <t>C32H52O8</t>
  </si>
  <si>
    <t>C29H46O6</t>
  </si>
  <si>
    <t>C34H56O8</t>
  </si>
  <si>
    <t>C34H57NO11</t>
  </si>
  <si>
    <t>C22H42O4</t>
  </si>
  <si>
    <t>C25H48O6</t>
  </si>
  <si>
    <t>C22H44O3</t>
  </si>
  <si>
    <t>C31H48O5</t>
  </si>
  <si>
    <t>C8H8O3S</t>
  </si>
  <si>
    <t>C17H26O4</t>
  </si>
  <si>
    <t>C18H30O3S</t>
  </si>
  <si>
    <t>C19H32O3S</t>
  </si>
  <si>
    <t>C18H32O3</t>
  </si>
  <si>
    <t>C18H32O2</t>
  </si>
  <si>
    <t>C16H26O3S</t>
  </si>
  <si>
    <t>Bermuda grass</t>
  </si>
  <si>
    <t>C6H14O6</t>
  </si>
  <si>
    <t>Cyanobacteria</t>
  </si>
  <si>
    <t>Cylindrospermopsin</t>
  </si>
  <si>
    <t>Pos</t>
  </si>
  <si>
    <t>C15H21N5O7S</t>
  </si>
  <si>
    <t>Microcystin-LA</t>
  </si>
  <si>
    <t>C46H67N7O12</t>
  </si>
  <si>
    <t>Microcystin-LR</t>
  </si>
  <si>
    <t>C49H74N10O12</t>
  </si>
  <si>
    <t>Microcystin-LY</t>
  </si>
  <si>
    <t>C52H71N7O13</t>
  </si>
  <si>
    <t>Microcystin-RR</t>
  </si>
  <si>
    <t>C49H75N13O12</t>
  </si>
  <si>
    <t>Microcystin-YR</t>
  </si>
  <si>
    <t>C52H72N10O13</t>
  </si>
  <si>
    <t>Nodularin</t>
  </si>
  <si>
    <t>C41H60N8O10</t>
  </si>
  <si>
    <t>Uncontaminated Soil</t>
  </si>
  <si>
    <t>Natural Organic Matter</t>
  </si>
  <si>
    <t>C12H25ClN4O3</t>
  </si>
  <si>
    <t>C25H40O5</t>
  </si>
  <si>
    <t>C8H22N6O2S</t>
  </si>
  <si>
    <t>C23H44O6</t>
  </si>
  <si>
    <t>C12H28N6O</t>
  </si>
  <si>
    <t>C12H26N6O3S</t>
  </si>
  <si>
    <t>Possibly Natural Compounds (unknown compounds)</t>
  </si>
  <si>
    <t>Dust Matrix</t>
  </si>
  <si>
    <t>Dust Unknown</t>
  </si>
  <si>
    <t>C9H15N5O</t>
  </si>
  <si>
    <t>C22H47N</t>
  </si>
  <si>
    <t>C20H43N</t>
  </si>
  <si>
    <t>C7H9NO3</t>
  </si>
  <si>
    <t>C27H44O2</t>
  </si>
  <si>
    <t>C33H67F2NO14</t>
  </si>
  <si>
    <t>C18H38O4</t>
  </si>
  <si>
    <t>C21H41N5O</t>
  </si>
  <si>
    <t>C16H34O5</t>
  </si>
  <si>
    <t>C15H28N2O12</t>
  </si>
  <si>
    <t>Anthropogenic Compounds in a Neat or Product Matrix</t>
  </si>
  <si>
    <t>PFHpA</t>
  </si>
  <si>
    <t>PFOA</t>
  </si>
  <si>
    <t>PFNA</t>
  </si>
  <si>
    <t>PFDA</t>
  </si>
  <si>
    <t>PFUA</t>
  </si>
  <si>
    <t>PFDoA</t>
  </si>
  <si>
    <t>Sunscreen Components</t>
  </si>
  <si>
    <t>Benzophenone-9</t>
  </si>
  <si>
    <t>C15H12Na2O11S2</t>
  </si>
  <si>
    <t>Ecamsule</t>
  </si>
  <si>
    <t>C28H34O8S2</t>
  </si>
  <si>
    <t>Benzophenone-4</t>
  </si>
  <si>
    <t>C14H12O6S</t>
  </si>
  <si>
    <t>4, 4'-Dihydroxybenzophenone</t>
  </si>
  <si>
    <t>C13H10O3</t>
  </si>
  <si>
    <t>Methylparaben</t>
  </si>
  <si>
    <t>C8H8O3</t>
  </si>
  <si>
    <t>Benzophenone-2</t>
  </si>
  <si>
    <t>C13H10O5</t>
  </si>
  <si>
    <t>2,4,4'-Trihydroxybenzophenone</t>
  </si>
  <si>
    <t>C13H10O4</t>
  </si>
  <si>
    <t>Ethylparaben</t>
  </si>
  <si>
    <t>C9H10O3</t>
  </si>
  <si>
    <t>4-Hydroxybenzophenone</t>
  </si>
  <si>
    <t>C13H10O2</t>
  </si>
  <si>
    <t>Propylparaben</t>
  </si>
  <si>
    <t>C10H12O3</t>
  </si>
  <si>
    <t>Benzophenone-1</t>
  </si>
  <si>
    <t>Butylparaben</t>
  </si>
  <si>
    <t>C11H14O3</t>
  </si>
  <si>
    <t>Benzylparaben</t>
  </si>
  <si>
    <t>C14H12O3</t>
  </si>
  <si>
    <t>Benzophenone-3</t>
  </si>
  <si>
    <t>Avobenzone</t>
  </si>
  <si>
    <t>C20H22O3</t>
  </si>
  <si>
    <t>3-(4-Methylbenzylidene) camphor</t>
  </si>
  <si>
    <t>C18H22O</t>
  </si>
  <si>
    <t>Octyldimethyl PABA</t>
  </si>
  <si>
    <t>C17H27NO2</t>
  </si>
  <si>
    <t>Menthyl anthranilate</t>
  </si>
  <si>
    <t>C17H25NO2</t>
  </si>
  <si>
    <t>Octylmethoxycinnamate</t>
  </si>
  <si>
    <t>C18H26O3</t>
  </si>
  <si>
    <t>C20H22O4</t>
  </si>
  <si>
    <t>Octocrylene</t>
  </si>
  <si>
    <t>C24H27NO2</t>
  </si>
  <si>
    <t>Pesticides</t>
  </si>
  <si>
    <t>Atrazine</t>
  </si>
  <si>
    <t>C8H14ClN5</t>
  </si>
  <si>
    <t>Atrazine-desethyl</t>
  </si>
  <si>
    <t>C6H10ClN5</t>
  </si>
  <si>
    <t>Buprofezin</t>
  </si>
  <si>
    <t>C16H23N3OS</t>
  </si>
  <si>
    <t>Chlortoluron</t>
  </si>
  <si>
    <t>C10H13ClN2O</t>
  </si>
  <si>
    <t>Cyanazine</t>
  </si>
  <si>
    <t>C9H13ClN6</t>
  </si>
  <si>
    <t>Dicrotophos</t>
  </si>
  <si>
    <t>C8H16NO5P</t>
  </si>
  <si>
    <t>Diuron</t>
  </si>
  <si>
    <t>C9H10Cl2N2O</t>
  </si>
  <si>
    <t>Hexazinone</t>
  </si>
  <si>
    <t>C12H20N4O2</t>
  </si>
  <si>
    <t>Linuron</t>
  </si>
  <si>
    <t>C9H10Cl2N2O2</t>
  </si>
  <si>
    <t>Methamidophos</t>
  </si>
  <si>
    <t>C2H8NO2PS</t>
  </si>
  <si>
    <t>Metobromuron</t>
  </si>
  <si>
    <t>C9H11BrN2O2</t>
  </si>
  <si>
    <t>Metolachlor</t>
  </si>
  <si>
    <t>C15H22ClNO2</t>
  </si>
  <si>
    <t>Metoxuron</t>
  </si>
  <si>
    <t>C10H13ClN2O2</t>
  </si>
  <si>
    <t>Monolinuron</t>
  </si>
  <si>
    <t>C9H11ClN2O2</t>
  </si>
  <si>
    <t>Sebuthylazine</t>
  </si>
  <si>
    <t>C9H16ClN5</t>
  </si>
  <si>
    <t>Simazine</t>
  </si>
  <si>
    <t>C7H12ClN5</t>
  </si>
  <si>
    <t>Terbuthylazine</t>
  </si>
  <si>
    <t>Anthropogenic Compounds in Environmental Media</t>
  </si>
  <si>
    <t>Methyl cinnamate</t>
  </si>
  <si>
    <t>C10H10O2</t>
  </si>
  <si>
    <t>Nicotine</t>
  </si>
  <si>
    <t>C10H14N2</t>
  </si>
  <si>
    <t>8-Hydroxyquinoline</t>
  </si>
  <si>
    <t>C9H7NO</t>
  </si>
  <si>
    <t>3,4-Dihydrocoumarin</t>
  </si>
  <si>
    <t>C9H8O2</t>
  </si>
  <si>
    <t>N,N-diethyl-m-toluamide (DEET)</t>
  </si>
  <si>
    <t>C12H17NO</t>
  </si>
  <si>
    <t>PFOS</t>
  </si>
  <si>
    <t>PFTrA</t>
  </si>
  <si>
    <t>C13H10O</t>
  </si>
  <si>
    <t>C7F13O2H</t>
  </si>
  <si>
    <t>C8F15O2H</t>
  </si>
  <si>
    <t>C9F17O2H</t>
  </si>
  <si>
    <t>C10F19O2H</t>
  </si>
  <si>
    <t>C11F21O2H</t>
  </si>
  <si>
    <t>C12F23O2H</t>
  </si>
  <si>
    <t>C13F25O2H</t>
  </si>
  <si>
    <t>PFTeA</t>
  </si>
  <si>
    <t>C14F27O2H</t>
  </si>
  <si>
    <t>Uncontaminated Soil 1</t>
  </si>
  <si>
    <t>C8F17O3SH</t>
  </si>
  <si>
    <t>Uncontaminated Soil 2</t>
  </si>
  <si>
    <t>Contaminated Soil 1</t>
  </si>
  <si>
    <t>Contaminated Soil 2</t>
  </si>
  <si>
    <t>WWTP Influent 5</t>
  </si>
  <si>
    <t>WWTP Influent 6</t>
  </si>
  <si>
    <t>WWTP Influent 7</t>
  </si>
  <si>
    <t>WWTP Influent 8</t>
  </si>
  <si>
    <t>Carbon #</t>
  </si>
  <si>
    <t>Biotic and Natural Tissues</t>
  </si>
  <si>
    <t>Spinach</t>
  </si>
  <si>
    <t>(C3 cycle)</t>
  </si>
  <si>
    <t>Leaf</t>
  </si>
  <si>
    <t>Potato</t>
  </si>
  <si>
    <t>fiber</t>
  </si>
  <si>
    <t>Loblolly Pine</t>
  </si>
  <si>
    <t>wood</t>
  </si>
  <si>
    <t>(C4 cycle)</t>
  </si>
  <si>
    <t>Corn</t>
  </si>
  <si>
    <t>beard</t>
  </si>
  <si>
    <t>kernel</t>
  </si>
  <si>
    <t>inner husk</t>
  </si>
  <si>
    <t>leaf</t>
  </si>
  <si>
    <t>Pineapple</t>
  </si>
  <si>
    <t>(CAM cycle)</t>
  </si>
  <si>
    <t>Perfluorocarboxylates</t>
  </si>
  <si>
    <t>Dust 3</t>
  </si>
  <si>
    <t>Dust 5</t>
  </si>
  <si>
    <t>Dust 8</t>
  </si>
  <si>
    <t>Dust 10</t>
  </si>
  <si>
    <t>There are no single detects of diethyl maleate, e.g., dust 3.2 is reported 3x signifying 3 elution times.  Can't be certain which is correct so delete.</t>
  </si>
  <si>
    <t>On dibenzyl oxalate, dust 8 has one detect.  I The three detects on dust 4, i.e., three elution times, has one 13C/12C similar to 8.  Assume this is correct.</t>
  </si>
  <si>
    <t>Dust 4</t>
  </si>
  <si>
    <t>Dust 6</t>
  </si>
  <si>
    <t>Dust 7</t>
  </si>
  <si>
    <t>Dust 9</t>
  </si>
  <si>
    <t>On the dust anthros:</t>
  </si>
  <si>
    <t>Nominal M/Z</t>
  </si>
  <si>
    <t>Carbon Number</t>
  </si>
  <si>
    <t>Spermine</t>
  </si>
  <si>
    <t>C10H26N4</t>
  </si>
  <si>
    <t>pyrrolizidine</t>
  </si>
  <si>
    <t>C7H13N</t>
  </si>
  <si>
    <t>N-Benzyl maleimide</t>
  </si>
  <si>
    <t>C11H9NO2</t>
  </si>
  <si>
    <t>1,12-diamino-4,8-diazadodecane</t>
  </si>
  <si>
    <t>Sample #</t>
  </si>
  <si>
    <t>Mouse liver 10</t>
  </si>
  <si>
    <t>Mouse liver 11</t>
  </si>
  <si>
    <t>Mouse liver 12</t>
  </si>
  <si>
    <t>Mouse liver 13</t>
  </si>
  <si>
    <t>WORKING COLUMNS</t>
  </si>
  <si>
    <t>Current atmospheric carbon isotopic value website:</t>
  </si>
  <si>
    <t>https://www.esrl.noaa.gov/gmd/outreach/isotopes/c13tellsus.html</t>
  </si>
  <si>
    <t>NOAA delta 13C =</t>
  </si>
  <si>
    <t>per mil</t>
  </si>
  <si>
    <t>(for ~mean value for most recent year depicted)</t>
  </si>
  <si>
    <t>Pee Dee Belemnite 13C/12C =</t>
  </si>
  <si>
    <t>Atmospheric 13C/12C =</t>
  </si>
  <si>
    <t>Atmospheric 12C/Ctotal =</t>
  </si>
  <si>
    <t>Number of molecular carbons</t>
  </si>
  <si>
    <t>Probability of all 12 C</t>
  </si>
  <si>
    <t>Probability of 1 or more 13C</t>
  </si>
  <si>
    <t>Probability of only 1 13C</t>
  </si>
  <si>
    <r>
      <t>{</t>
    </r>
    <r>
      <rPr>
        <b/>
        <vertAlign val="superscript"/>
        <sz val="11"/>
        <color theme="1"/>
        <rFont val="Calibri"/>
        <family val="2"/>
        <scheme val="minor"/>
      </rPr>
      <t>13</t>
    </r>
    <r>
      <rPr>
        <b/>
        <sz val="11"/>
        <color theme="1"/>
        <rFont val="Calibri"/>
        <family val="2"/>
        <scheme val="minor"/>
      </rPr>
      <t>C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C</t>
    </r>
    <r>
      <rPr>
        <b/>
        <vertAlign val="subscript"/>
        <sz val="11"/>
        <color theme="1"/>
        <rFont val="Calibri"/>
        <family val="2"/>
        <scheme val="minor"/>
      </rPr>
      <t>(n-1)</t>
    </r>
    <r>
      <rPr>
        <b/>
        <sz val="11"/>
        <color theme="1"/>
        <rFont val="Calibri"/>
        <family val="2"/>
        <scheme val="minor"/>
      </rPr>
      <t>} /</t>
    </r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C</t>
    </r>
    <r>
      <rPr>
        <b/>
        <vertAlign val="subscript"/>
        <sz val="11"/>
        <color theme="1"/>
        <rFont val="Calibri"/>
        <family val="2"/>
        <scheme val="minor"/>
      </rPr>
      <t>n</t>
    </r>
  </si>
  <si>
    <r>
      <t xml:space="preserve">P(all </t>
    </r>
    <r>
      <rPr>
        <vertAlign val="super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</t>
    </r>
  </si>
  <si>
    <r>
      <t>P(m</t>
    </r>
    <r>
      <rPr>
        <sz val="11"/>
        <color theme="1"/>
        <rFont val="Calibri"/>
        <family val="2"/>
      </rPr>
      <t xml:space="preserve">≥1 </t>
    </r>
    <r>
      <rPr>
        <vertAlign val="superscript"/>
        <sz val="11"/>
        <color theme="1"/>
        <rFont val="Calibri"/>
        <family val="2"/>
      </rPr>
      <t>13</t>
    </r>
    <r>
      <rPr>
        <sz val="11"/>
        <color theme="1"/>
        <rFont val="Calibri"/>
        <family val="2"/>
      </rPr>
      <t>C</t>
    </r>
    <r>
      <rPr>
        <vertAlign val="subscript"/>
        <sz val="11"/>
        <color theme="1"/>
        <rFont val="Calibri"/>
        <family val="2"/>
      </rPr>
      <t>m</t>
    </r>
    <r>
      <rPr>
        <sz val="11"/>
        <color theme="1"/>
        <rFont val="Calibri"/>
        <family val="2"/>
      </rPr>
      <t>)</t>
    </r>
  </si>
  <si>
    <r>
      <t>P(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</si>
  <si>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t>{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(n-1)</t>
    </r>
    <r>
      <rPr>
        <sz val="11"/>
        <color theme="1"/>
        <rFont val="Calibri"/>
        <family val="2"/>
        <scheme val="minor"/>
      </rPr>
      <t>}/</t>
    </r>
    <r>
      <rPr>
        <vertAlign val="super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n</t>
    </r>
  </si>
  <si>
    <t>Maximum Probability 13C112C(n-1)</t>
  </si>
  <si>
    <t>Known naturals &amp; known anthropogenics</t>
  </si>
  <si>
    <t>Atmospheric carbon</t>
  </si>
  <si>
    <t>C13/C12</t>
  </si>
  <si>
    <t>Maximum</t>
  </si>
  <si>
    <t>Biotic</t>
  </si>
  <si>
    <t>Minimum</t>
  </si>
  <si>
    <t>13C/12C</t>
  </si>
  <si>
    <t>Mol C#</t>
  </si>
  <si>
    <t>max</t>
  </si>
  <si>
    <t>min</t>
  </si>
  <si>
    <t>Data Count</t>
  </si>
  <si>
    <t>vegetative flesh</t>
  </si>
  <si>
    <t>fruit flesh</t>
  </si>
  <si>
    <t>Grouped Data</t>
  </si>
  <si>
    <t>{13C/12C} Ratios</t>
  </si>
  <si>
    <t>delta 13C values</t>
  </si>
  <si>
    <t>Count</t>
  </si>
  <si>
    <t>Mean</t>
  </si>
  <si>
    <t>St Dev</t>
  </si>
  <si>
    <t>High</t>
  </si>
  <si>
    <t>Low</t>
  </si>
  <si>
    <t>C3 Plants(n=26)</t>
  </si>
  <si>
    <t>C3 photosynthetic plants</t>
  </si>
  <si>
    <t>-25 to -29</t>
  </si>
  <si>
    <t>C4 Plants(n=20)</t>
  </si>
  <si>
    <t>C4 photosynthetic plants</t>
  </si>
  <si>
    <t>-12 to -16</t>
  </si>
  <si>
    <t>CAM Plant(n=7)</t>
  </si>
  <si>
    <t>CAM photosynthetic plants</t>
  </si>
  <si>
    <t>-10 to -20</t>
  </si>
  <si>
    <t>Cyanobacteria(n=7)</t>
  </si>
  <si>
    <t>Green algae (Chlorophyta)</t>
  </si>
  <si>
    <t>-8.8 to -21.2</t>
  </si>
  <si>
    <t>Brown Algae (Phaeophyta)</t>
  </si>
  <si>
    <t>-10.5 to -20.8</t>
  </si>
  <si>
    <t>Soil NOM(n=7)</t>
  </si>
  <si>
    <t>Red Algae (Rhodophyta)</t>
  </si>
  <si>
    <t>-11.0 to -34.7</t>
  </si>
  <si>
    <t>Pesticides(n=17)</t>
  </si>
  <si>
    <t>Diatoms (Ochrophyta)</t>
  </si>
  <si>
    <t>-14.4 to -17.6</t>
  </si>
  <si>
    <t>PFAS Standards(n=8)</t>
  </si>
  <si>
    <t xml:space="preserve">Cyanobacteria </t>
  </si>
  <si>
    <t>-15.7 to -16.1</t>
  </si>
  <si>
    <t>PFASs in Soil(n=17)</t>
  </si>
  <si>
    <t>Oil</t>
  </si>
  <si>
    <t>-20 to -30</t>
  </si>
  <si>
    <t>Coal</t>
  </si>
  <si>
    <t>-18 to -36</t>
  </si>
  <si>
    <t>Sunscreen Products(n=21)</t>
  </si>
  <si>
    <t>Natural gas</t>
  </si>
  <si>
    <t>-20 to &lt;-60</t>
  </si>
  <si>
    <t>from clover, a fragrance ingredient</t>
  </si>
  <si>
    <t>tobacco</t>
  </si>
  <si>
    <t>cinnamic acid in fruits &amp; spices, flavoring &amp; fragrance agent</t>
  </si>
  <si>
    <t>Animal(n=7)</t>
  </si>
  <si>
    <t>sunscreen</t>
  </si>
  <si>
    <t>antiseptic</t>
  </si>
  <si>
    <t>insect repellent</t>
  </si>
  <si>
    <t>Search for biotic limits</t>
  </si>
  <si>
    <t>Data for biotic limit lines</t>
  </si>
  <si>
    <t>Zero mass defect</t>
  </si>
  <si>
    <t>Mass Def</t>
  </si>
  <si>
    <t>Data for biotic mass defect limit lines</t>
  </si>
  <si>
    <t>(excludes 5 negative outliers)</t>
  </si>
  <si>
    <t>Liver</t>
  </si>
  <si>
    <t>Mouse 10</t>
  </si>
  <si>
    <t>Mouse 11</t>
  </si>
  <si>
    <t>Mouse 12</t>
  </si>
  <si>
    <t>Mouse 13</t>
  </si>
  <si>
    <t>Graphs, in order of closest to QTOF data to most processed.</t>
  </si>
  <si>
    <t>John Washington, Charlita Rosal, Thom Jenkins, Elin Ulrich</t>
  </si>
  <si>
    <t>Data point sum =</t>
  </si>
  <si>
    <t xml:space="preserve">Biotic </t>
  </si>
  <si>
    <t>anti-microbial</t>
  </si>
  <si>
    <t>preservative</t>
  </si>
  <si>
    <t>WW sunscreens(n=8)</t>
  </si>
  <si>
    <t>WW preservatives (n=8)</t>
  </si>
  <si>
    <t>Anthros in Environ</t>
  </si>
  <si>
    <t>Anthros in neat</t>
  </si>
  <si>
    <t>Total anthros</t>
  </si>
  <si>
    <t>Grand total</t>
  </si>
  <si>
    <t>Anthro uses</t>
  </si>
  <si>
    <t>Anthro- Biomin</t>
  </si>
  <si>
    <t>Biomax-Anthro</t>
  </si>
  <si>
    <t>Count outside biotic range</t>
  </si>
  <si>
    <t>Anthro Comparison</t>
  </si>
  <si>
    <t>to biotic range</t>
  </si>
  <si>
    <t>to biotic 2SD</t>
  </si>
  <si>
    <t>Anthro- Bio(-2SD)</t>
  </si>
  <si>
    <t>Bio(+2SD)-Anthro</t>
  </si>
  <si>
    <t>Biotic mean</t>
  </si>
  <si>
    <t>Biotic SD</t>
  </si>
  <si>
    <t>Mean+2SD</t>
  </si>
  <si>
    <t>Mean-2SD</t>
  </si>
  <si>
    <t>Compound</t>
  </si>
  <si>
    <t>Natural dust features</t>
  </si>
  <si>
    <t>flavoring &amp; fragrance agent</t>
  </si>
  <si>
    <t>fragrance agent</t>
  </si>
  <si>
    <t>Anthropogenic dust features</t>
  </si>
  <si>
    <t>Wastewater anthropogenic features</t>
  </si>
  <si>
    <t>Typical Source/Use</t>
  </si>
  <si>
    <t>Anthro MD</t>
  </si>
  <si>
    <t>Anthro-BMinMD</t>
  </si>
  <si>
    <t>TABLE S2</t>
  </si>
  <si>
    <t>TABLE S3</t>
  </si>
  <si>
    <t>Formula</t>
  </si>
  <si>
    <t>TABLE S5</t>
  </si>
  <si>
    <t>(Da)</t>
  </si>
  <si>
    <t>(Da/esu)</t>
  </si>
  <si>
    <t>Primary Peak Area</t>
  </si>
  <si>
    <t>M+1 Peak Area</t>
  </si>
  <si>
    <t xml:space="preserve">Oleic acid </t>
  </si>
  <si>
    <t>C18H34O2</t>
  </si>
  <si>
    <t>Dust 2</t>
  </si>
  <si>
    <t>Triisopropanolamine</t>
  </si>
  <si>
    <t>C9H21NO3</t>
  </si>
  <si>
    <t>Diethyl maleate</t>
  </si>
  <si>
    <t>C8H12O4</t>
  </si>
  <si>
    <t>C9H15Cl6O4P</t>
  </si>
  <si>
    <t>Dust NOM(n=10)</t>
  </si>
  <si>
    <t>Dust anthros(n=18)</t>
  </si>
  <si>
    <t>Tris(1,3-dichloro-2-propyl)phosphate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</si>
</sst>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0"/>
    <numFmt numFmtId="166" formatCode="0.0000000"/>
    <numFmt numFmtId="167" formatCode="0.0000E+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gray125">
        <fgColor rgb="FF0070C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</cellStyleXfs>
  <cellXfs count="1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 wrapText="1"/>
    </xf>
    <xf numFmtId="0" fontId="1" fillId="0" borderId="0" xfId="0" applyFont="1" applyFill="1"/>
    <xf numFmtId="164" fontId="0" fillId="0" borderId="0" xfId="0" applyNumberFormat="1" applyFill="1"/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166" fontId="0" fillId="0" borderId="0" xfId="0" applyNumberForma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165" fontId="0" fillId="0" borderId="0" xfId="0" applyNumberFormat="1" applyFill="1"/>
    <xf numFmtId="1" fontId="0" fillId="0" borderId="0" xfId="0" applyNumberFormat="1" applyFill="1"/>
    <xf numFmtId="0" fontId="2" fillId="0" borderId="0" xfId="1"/>
    <xf numFmtId="0" fontId="7" fillId="0" borderId="0" xfId="0" applyFont="1"/>
    <xf numFmtId="0" fontId="10" fillId="0" borderId="0" xfId="0" applyFont="1"/>
    <xf numFmtId="166" fontId="10" fillId="0" borderId="0" xfId="0" applyNumberFormat="1" applyFont="1"/>
    <xf numFmtId="0" fontId="1" fillId="0" borderId="0" xfId="0" applyFont="1" applyAlignment="1">
      <alignment horizontal="right"/>
    </xf>
    <xf numFmtId="0" fontId="0" fillId="2" borderId="0" xfId="0" applyFill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165" fontId="1" fillId="0" borderId="3" xfId="0" applyNumberFormat="1" applyFont="1" applyBorder="1" applyAlignment="1">
      <alignment horizontal="center" wrapText="1"/>
    </xf>
    <xf numFmtId="0" fontId="0" fillId="0" borderId="4" xfId="0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 applyAlignment="1">
      <alignment vertical="center" wrapText="1"/>
    </xf>
    <xf numFmtId="164" fontId="0" fillId="0" borderId="7" xfId="0" applyNumberFormat="1" applyFill="1" applyBorder="1" applyAlignment="1">
      <alignment vertical="center" wrapText="1"/>
    </xf>
    <xf numFmtId="164" fontId="0" fillId="0" borderId="7" xfId="0" applyNumberFormat="1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0" fontId="0" fillId="0" borderId="7" xfId="0" applyFill="1" applyBorder="1"/>
    <xf numFmtId="165" fontId="0" fillId="0" borderId="7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0" fillId="0" borderId="10" xfId="0" applyFill="1" applyBorder="1"/>
    <xf numFmtId="0" fontId="0" fillId="0" borderId="10" xfId="0" applyBorder="1"/>
    <xf numFmtId="0" fontId="0" fillId="0" borderId="11" xfId="0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4" xfId="0" applyBorder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6" xfId="0" applyBorder="1"/>
    <xf numFmtId="164" fontId="0" fillId="0" borderId="7" xfId="0" applyNumberFormat="1" applyFill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164" fontId="0" fillId="0" borderId="0" xfId="0" applyNumberFormat="1" applyFill="1" applyBorder="1" applyAlignment="1">
      <alignment vertical="center" wrapText="1"/>
    </xf>
    <xf numFmtId="164" fontId="0" fillId="0" borderId="0" xfId="0" applyNumberFormat="1" applyBorder="1"/>
    <xf numFmtId="165" fontId="0" fillId="0" borderId="0" xfId="0" applyNumberFormat="1" applyBorder="1" applyAlignment="1">
      <alignment horizontal="center"/>
    </xf>
    <xf numFmtId="164" fontId="0" fillId="0" borderId="7" xfId="0" applyNumberFormat="1" applyBorder="1"/>
    <xf numFmtId="165" fontId="0" fillId="0" borderId="7" xfId="0" applyNumberFormat="1" applyBorder="1" applyAlignment="1">
      <alignment horizontal="center"/>
    </xf>
    <xf numFmtId="0" fontId="0" fillId="0" borderId="10" xfId="0" applyFill="1" applyBorder="1" applyAlignment="1">
      <alignment vertical="center" wrapText="1"/>
    </xf>
    <xf numFmtId="0" fontId="0" fillId="0" borderId="11" xfId="0" applyBorder="1"/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164" fontId="1" fillId="0" borderId="14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4" fontId="1" fillId="0" borderId="15" xfId="0" applyNumberFormat="1" applyFont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0" fontId="1" fillId="2" borderId="0" xfId="0" applyFont="1" applyFill="1"/>
    <xf numFmtId="164" fontId="0" fillId="0" borderId="0" xfId="0" applyNumberFormat="1" applyFill="1" applyAlignment="1">
      <alignment horizontal="right"/>
    </xf>
    <xf numFmtId="0" fontId="0" fillId="0" borderId="18" xfId="0" applyBorder="1"/>
    <xf numFmtId="0" fontId="0" fillId="0" borderId="17" xfId="0" applyBorder="1"/>
    <xf numFmtId="0" fontId="0" fillId="0" borderId="20" xfId="0" applyBorder="1"/>
    <xf numFmtId="0" fontId="0" fillId="0" borderId="19" xfId="0" applyBorder="1"/>
    <xf numFmtId="0" fontId="1" fillId="0" borderId="21" xfId="0" applyFont="1" applyBorder="1"/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12" xfId="0" applyFill="1" applyBorder="1"/>
    <xf numFmtId="0" fontId="0" fillId="0" borderId="27" xfId="0" applyBorder="1"/>
    <xf numFmtId="0" fontId="0" fillId="0" borderId="28" xfId="0" applyBorder="1"/>
    <xf numFmtId="0" fontId="11" fillId="3" borderId="0" xfId="2"/>
    <xf numFmtId="0" fontId="11" fillId="3" borderId="0" xfId="2" applyAlignment="1">
      <alignment wrapText="1"/>
    </xf>
    <xf numFmtId="164" fontId="11" fillId="3" borderId="0" xfId="2" applyNumberFormat="1"/>
    <xf numFmtId="0" fontId="12" fillId="4" borderId="0" xfId="3"/>
    <xf numFmtId="0" fontId="12" fillId="4" borderId="0" xfId="3" applyAlignment="1">
      <alignment wrapText="1"/>
    </xf>
    <xf numFmtId="164" fontId="12" fillId="4" borderId="0" xfId="3" applyNumberFormat="1"/>
    <xf numFmtId="167" fontId="0" fillId="0" borderId="0" xfId="0" applyNumberFormat="1" applyFill="1"/>
    <xf numFmtId="164" fontId="11" fillId="5" borderId="0" xfId="2" applyNumberFormat="1" applyFill="1"/>
  </cellXfs>
  <cellStyles count="4">
    <cellStyle name="Good" xfId="2" builtinId="26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[1]AtmosphericC!$Q$20</c:f>
              <c:strCache>
                <c:ptCount val="1"/>
                <c:pt idx="0">
                  <c:v>P(m≥1 13Cm)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[1]AtmosphericC!$A$14:$A$213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xVal>
          <c:yVal>
            <c:numRef>
              <c:f>[1]AtmosphericC!$B$14:$B$213</c:f>
              <c:numCache>
                <c:formatCode>General</c:formatCode>
                <c:ptCount val="200"/>
                <c:pt idx="0">
                  <c:v>0.98897778819633253</c:v>
                </c:pt>
                <c:pt idx="1">
                  <c:v>0.97807706554570994</c:v>
                </c:pt>
                <c:pt idx="2">
                  <c:v>0.96729649296895559</c:v>
                </c:pt>
                <c:pt idx="3">
                  <c:v>0.95663474614650701</c:v>
                </c:pt>
                <c:pt idx="4">
                  <c:v>0.94609051535573252</c:v>
                </c:pt>
                <c:pt idx="5">
                  <c:v>0.93566250531004069</c:v>
                </c:pt>
                <c:pt idx="6">
                  <c:v>0.9253494349997633</c:v>
                </c:pt>
                <c:pt idx="7">
                  <c:v>0.91515003753479196</c:v>
                </c:pt>
                <c:pt idx="8">
                  <c:v>0.9050630599889492</c:v>
                </c:pt>
                <c:pt idx="9">
                  <c:v>0.89508726324607568</c:v>
                </c:pt>
                <c:pt idx="10">
                  <c:v>0.88522142184781238</c:v>
                </c:pt>
                <c:pt idx="11">
                  <c:v>0.87546432384306205</c:v>
                </c:pt>
                <c:pt idx="12">
                  <c:v>0.86581477063910928</c:v>
                </c:pt>
                <c:pt idx="13">
                  <c:v>0.85627157685438127</c:v>
                </c:pt>
                <c:pt idx="14">
                  <c:v>0.8468335701728319</c:v>
                </c:pt>
                <c:pt idx="15">
                  <c:v>0.83749959119993111</c:v>
                </c:pt>
                <c:pt idx="16">
                  <c:v>0.82826849332024055</c:v>
                </c:pt>
                <c:pt idx="17">
                  <c:v>0.81913914255656028</c:v>
                </c:pt>
                <c:pt idx="18">
                  <c:v>0.81011041743062739</c:v>
                </c:pt>
                <c:pt idx="19">
                  <c:v>0.80118120882534949</c:v>
                </c:pt>
                <c:pt idx="20">
                  <c:v>0.79235041984855814</c:v>
                </c:pt>
                <c:pt idx="21">
                  <c:v>0.78361696569826245</c:v>
                </c:pt>
                <c:pt idx="22">
                  <c:v>0.77497977352938896</c:v>
                </c:pt>
                <c:pt idx="23">
                  <c:v>0.76643778232198989</c:v>
                </c:pt>
                <c:pt idx="24">
                  <c:v>0.7579899427509037</c:v>
                </c:pt>
                <c:pt idx="25">
                  <c:v>0.74963521705685354</c:v>
                </c:pt>
                <c:pt idx="26">
                  <c:v>0.74137257891896469</c:v>
                </c:pt>
                <c:pt idx="27">
                  <c:v>0.73320101332868859</c:v>
                </c:pt>
                <c:pt idx="28">
                  <c:v>0.72511951646511619</c:v>
                </c:pt>
                <c:pt idx="29">
                  <c:v>0.71712709557166476</c:v>
                </c:pt>
                <c:pt idx="30">
                  <c:v>0.70922276883412494</c:v>
                </c:pt>
                <c:pt idx="31">
                  <c:v>0.70140556526005171</c:v>
                </c:pt>
                <c:pt idx="32">
                  <c:v>0.69367452455948431</c:v>
                </c:pt>
                <c:pt idx="33">
                  <c:v>0.68602869702698133</c:v>
                </c:pt>
                <c:pt idx="34">
                  <c:v>0.67846714342495595</c:v>
                </c:pt>
                <c:pt idx="35">
                  <c:v>0.6709889348682968</c:v>
                </c:pt>
                <c:pt idx="36">
                  <c:v>0.6635931527102612</c:v>
                </c:pt>
                <c:pt idx="37">
                  <c:v>0.65627888842962523</c:v>
                </c:pt>
                <c:pt idx="38">
                  <c:v>0.64904524351907844</c:v>
                </c:pt>
                <c:pt idx="39">
                  <c:v>0.64189132937484827</c:v>
                </c:pt>
                <c:pt idx="40">
                  <c:v>0.63481626718754103</c:v>
                </c:pt>
                <c:pt idx="41">
                  <c:v>0.62781918783418644</c:v>
                </c:pt>
                <c:pt idx="42">
                  <c:v>0.62089923177147155</c:v>
                </c:pt>
                <c:pt idx="43">
                  <c:v>0.61405554893015191</c:v>
                </c:pt>
                <c:pt idx="44">
                  <c:v>0.60728729861062647</c:v>
                </c:pt>
                <c:pt idx="45">
                  <c:v>0.60059364937966309</c:v>
                </c:pt>
                <c:pt idx="46">
                  <c:v>0.59397377896826287</c:v>
                </c:pt>
                <c:pt idx="47">
                  <c:v>0.58742687417064987</c:v>
                </c:pt>
                <c:pt idx="48">
                  <c:v>0.58095213074437468</c:v>
                </c:pt>
                <c:pt idx="49">
                  <c:v>0.57454875331151822</c:v>
                </c:pt>
                <c:pt idx="50">
                  <c:v>0.56821595526098567</c:v>
                </c:pt>
                <c:pt idx="51">
                  <c:v>0.56195295865187578</c:v>
                </c:pt>
                <c:pt idx="52">
                  <c:v>0.55575899411791718</c:v>
                </c:pt>
                <c:pt idx="53">
                  <c:v>0.54963330077295636</c:v>
                </c:pt>
                <c:pt idx="54">
                  <c:v>0.54357512611748793</c:v>
                </c:pt>
                <c:pt idx="55">
                  <c:v>0.53758372594621584</c:v>
                </c:pt>
                <c:pt idx="56">
                  <c:v>0.53165836425663182</c:v>
                </c:pt>
                <c:pt idx="57">
                  <c:v>0.52579831315860392</c:v>
                </c:pt>
                <c:pt idx="58">
                  <c:v>0.52000285278495872</c:v>
                </c:pt>
                <c:pt idx="59">
                  <c:v>0.51427127120305149</c:v>
                </c:pt>
                <c:pt idx="60">
                  <c:v>0.50860286432731017</c:v>
                </c:pt>
                <c:pt idx="61">
                  <c:v>0.50299693583274263</c:v>
                </c:pt>
                <c:pt idx="62">
                  <c:v>0.49745279706939838</c:v>
                </c:pt>
                <c:pt idx="63">
                  <c:v>0.49196976697777267</c:v>
                </c:pt>
                <c:pt idx="64">
                  <c:v>0.48654717200514275</c:v>
                </c:pt>
                <c:pt idx="65">
                  <c:v>0.48118434602282661</c:v>
                </c:pt>
                <c:pt idx="66">
                  <c:v>0.47588063024435379</c:v>
                </c:pt>
                <c:pt idx="67">
                  <c:v>0.47063537314453774</c:v>
                </c:pt>
                <c:pt idx="68">
                  <c:v>0.4654479303794406</c:v>
                </c:pt>
                <c:pt idx="69">
                  <c:v>0.46031766470721969</c:v>
                </c:pt>
                <c:pt idx="70">
                  <c:v>0.45524394590984713</c:v>
                </c:pt>
                <c:pt idx="71">
                  <c:v>0.4502261507156915</c:v>
                </c:pt>
                <c:pt idx="72">
                  <c:v>0.4452636627229532</c:v>
                </c:pt>
                <c:pt idx="73">
                  <c:v>0.44035587232394413</c:v>
                </c:pt>
                <c:pt idx="74">
                  <c:v>0.43550217663020085</c:v>
                </c:pt>
                <c:pt idx="75">
                  <c:v>0.43070197939842453</c:v>
                </c:pt>
                <c:pt idx="76">
                  <c:v>0.42595469095723626</c:v>
                </c:pt>
                <c:pt idx="77">
                  <c:v>0.42125972813473994</c:v>
                </c:pt>
                <c:pt idx="78">
                  <c:v>0.41661651418688339</c:v>
                </c:pt>
                <c:pt idx="79">
                  <c:v>0.41202447872660997</c:v>
                </c:pt>
                <c:pt idx="80">
                  <c:v>0.40748305765378962</c:v>
                </c:pt>
                <c:pt idx="81">
                  <c:v>0.40299169308592347</c:v>
                </c:pt>
                <c:pt idx="82">
                  <c:v>0.39854983328961191</c:v>
                </c:pt>
                <c:pt idx="83">
                  <c:v>0.3941569326127774</c:v>
                </c:pt>
                <c:pt idx="84">
                  <c:v>0.38981245141763549</c:v>
                </c:pt>
                <c:pt idx="85">
                  <c:v>0.38551585601440347</c:v>
                </c:pt>
                <c:pt idx="86">
                  <c:v>0.38126661859574051</c:v>
                </c:pt>
                <c:pt idx="87">
                  <c:v>0.37706421717191024</c:v>
                </c:pt>
                <c:pt idx="88">
                  <c:v>0.37290813550665736</c:v>
                </c:pt>
                <c:pt idx="89">
                  <c:v>0.36879786305379225</c:v>
                </c:pt>
                <c:pt idx="90">
                  <c:v>0.36473289489447341</c:v>
                </c:pt>
                <c:pt idx="91">
                  <c:v>0.3607127316751817</c:v>
                </c:pt>
                <c:pt idx="92">
                  <c:v>0.35673687954637839</c:v>
                </c:pt>
                <c:pt idx="93">
                  <c:v>0.35280485010183882</c:v>
                </c:pt>
                <c:pt idx="94">
                  <c:v>0.34891616031865519</c:v>
                </c:pt>
                <c:pt idx="95">
                  <c:v>0.34507033249790059</c:v>
                </c:pt>
                <c:pt idx="96">
                  <c:v>0.34126689420594675</c:v>
                </c:pt>
                <c:pt idx="97">
                  <c:v>0.33750537821642901</c:v>
                </c:pt>
                <c:pt idx="98">
                  <c:v>0.33378532245285064</c:v>
                </c:pt>
                <c:pt idx="99">
                  <c:v>0.33010626993181985</c:v>
                </c:pt>
                <c:pt idx="100">
                  <c:v>0.32646776870691274</c:v>
                </c:pt>
                <c:pt idx="101">
                  <c:v>0.32286937181315439</c:v>
                </c:pt>
                <c:pt idx="102">
                  <c:v>0.31931063721211272</c:v>
                </c:pt>
                <c:pt idx="103">
                  <c:v>0.31579112773759682</c:v>
                </c:pt>
                <c:pt idx="104">
                  <c:v>0.31231041104195406</c:v>
                </c:pt>
                <c:pt idx="105">
                  <c:v>0.30886805954295921</c:v>
                </c:pt>
                <c:pt idx="106">
                  <c:v>0.30546365037128892</c:v>
                </c:pt>
                <c:pt idx="107">
                  <c:v>0.3020967653185751</c:v>
                </c:pt>
                <c:pt idx="108">
                  <c:v>0.29876699078603097</c:v>
                </c:pt>
                <c:pt idx="109">
                  <c:v>0.29547391773364295</c:v>
                </c:pt>
                <c:pt idx="110">
                  <c:v>0.29221714162992335</c:v>
                </c:pt>
                <c:pt idx="111">
                  <c:v>0.28899626240221599</c:v>
                </c:pt>
                <c:pt idx="112">
                  <c:v>0.28581088438755053</c:v>
                </c:pt>
                <c:pt idx="113">
                  <c:v>0.28266061628403744</c:v>
                </c:pt>
                <c:pt idx="114">
                  <c:v>0.27954507110279964</c:v>
                </c:pt>
                <c:pt idx="115">
                  <c:v>0.27646386612043322</c:v>
                </c:pt>
                <c:pt idx="116">
                  <c:v>0.27341662283199303</c:v>
                </c:pt>
                <c:pt idx="117">
                  <c:v>0.27040296690449539</c:v>
                </c:pt>
                <c:pt idx="118">
                  <c:v>0.26742252813093392</c:v>
                </c:pt>
                <c:pt idx="119">
                  <c:v>0.26447494038480263</c:v>
                </c:pt>
                <c:pt idx="120">
                  <c:v>0.26155984157511897</c:v>
                </c:pt>
                <c:pt idx="121">
                  <c:v>0.2586768736019443</c:v>
                </c:pt>
                <c:pt idx="122">
                  <c:v>0.25582568231239317</c:v>
                </c:pt>
                <c:pt idx="123">
                  <c:v>0.25300591745712819</c:v>
                </c:pt>
                <c:pt idx="124">
                  <c:v>0.25021723264733453</c:v>
                </c:pt>
                <c:pt idx="125">
                  <c:v>0.24745928531216807</c:v>
                </c:pt>
                <c:pt idx="126">
                  <c:v>0.24473173665667317</c:v>
                </c:pt>
                <c:pt idx="127">
                  <c:v>0.24203425162016395</c:v>
                </c:pt>
                <c:pt idx="128">
                  <c:v>0.23936649883506436</c:v>
                </c:pt>
                <c:pt idx="129">
                  <c:v>0.23672815058620195</c:v>
                </c:pt>
                <c:pt idx="130">
                  <c:v>0.23411888277055035</c:v>
                </c:pt>
                <c:pt idx="131">
                  <c:v>0.23153837485741535</c:v>
                </c:pt>
                <c:pt idx="132">
                  <c:v>0.22898630984905996</c:v>
                </c:pt>
                <c:pt idx="133">
                  <c:v>0.22646237424176338</c:v>
                </c:pt>
                <c:pt idx="134">
                  <c:v>0.22396625798730926</c:v>
                </c:pt>
                <c:pt idx="135">
                  <c:v>0.22149765445489833</c:v>
                </c:pt>
                <c:pt idx="136">
                  <c:v>0.21905626039348086</c:v>
                </c:pt>
                <c:pt idx="137">
                  <c:v>0.21664177589450462</c:v>
                </c:pt>
                <c:pt idx="138">
                  <c:v>0.21425390435507272</c:v>
                </c:pt>
                <c:pt idx="139">
                  <c:v>0.21189235244150839</c:v>
                </c:pt>
                <c:pt idx="140">
                  <c:v>0.20955683005332071</c:v>
                </c:pt>
                <c:pt idx="141">
                  <c:v>0.20724705028756787</c:v>
                </c:pt>
                <c:pt idx="142">
                  <c:v>0.20496272940361296</c:v>
                </c:pt>
                <c:pt idx="143">
                  <c:v>0.20270358678826858</c:v>
                </c:pt>
                <c:pt idx="144">
                  <c:v>0.20046934492132518</c:v>
                </c:pt>
                <c:pt idx="145">
                  <c:v>0.19825972934145986</c:v>
                </c:pt>
                <c:pt idx="146">
                  <c:v>0.19607446861252054</c:v>
                </c:pt>
                <c:pt idx="147">
                  <c:v>0.19391329429018175</c:v>
                </c:pt>
                <c:pt idx="148">
                  <c:v>0.19177594088896846</c:v>
                </c:pt>
                <c:pt idx="149">
                  <c:v>0.18966214584964264</c:v>
                </c:pt>
                <c:pt idx="150">
                  <c:v>0.18757164950694979</c:v>
                </c:pt>
                <c:pt idx="151">
                  <c:v>0.18550419505772095</c:v>
                </c:pt>
                <c:pt idx="152">
                  <c:v>0.1834595285293259</c:v>
                </c:pt>
                <c:pt idx="153">
                  <c:v>0.1814373987484747</c:v>
                </c:pt>
                <c:pt idx="154">
                  <c:v>0.17943755731036257</c:v>
                </c:pt>
                <c:pt idx="155">
                  <c:v>0.17745975854815499</c:v>
                </c:pt>
                <c:pt idx="156">
                  <c:v>0.17550375950280955</c:v>
                </c:pt>
                <c:pt idx="157">
                  <c:v>0.17356931989322968</c:v>
                </c:pt>
                <c:pt idx="158">
                  <c:v>0.17165620208674798</c:v>
                </c:pt>
                <c:pt idx="159">
                  <c:v>0.16976417106993469</c:v>
                </c:pt>
                <c:pt idx="160">
                  <c:v>0.16789299441972783</c:v>
                </c:pt>
                <c:pt idx="161">
                  <c:v>0.16604244227488163</c:v>
                </c:pt>
                <c:pt idx="162">
                  <c:v>0.16421228730772966</c:v>
                </c:pt>
                <c:pt idx="163">
                  <c:v>0.16240230469625916</c:v>
                </c:pt>
                <c:pt idx="164">
                  <c:v>0.16061227209649323</c:v>
                </c:pt>
                <c:pt idx="165">
                  <c:v>0.15884196961517741</c:v>
                </c:pt>
                <c:pt idx="166">
                  <c:v>0.15709117978276721</c:v>
                </c:pt>
                <c:pt idx="167">
                  <c:v>0.15535968752671356</c:v>
                </c:pt>
                <c:pt idx="168">
                  <c:v>0.15364728014504253</c:v>
                </c:pt>
                <c:pt idx="169">
                  <c:v>0.15195374728022645</c:v>
                </c:pt>
                <c:pt idx="170">
                  <c:v>0.15027888089334285</c:v>
                </c:pt>
                <c:pt idx="171">
                  <c:v>0.14862247523851829</c:v>
                </c:pt>
                <c:pt idx="172">
                  <c:v>0.146984326837654</c:v>
                </c:pt>
                <c:pt idx="173">
                  <c:v>0.1453642344554299</c:v>
                </c:pt>
                <c:pt idx="174">
                  <c:v>0.14376199907458417</c:v>
                </c:pt>
                <c:pt idx="175">
                  <c:v>0.14217742387146545</c:v>
                </c:pt>
                <c:pt idx="176">
                  <c:v>0.14061031419185438</c:v>
                </c:pt>
                <c:pt idx="177">
                  <c:v>0.1390604775270515</c:v>
                </c:pt>
                <c:pt idx="178">
                  <c:v>0.13752772349022924</c:v>
                </c:pt>
                <c:pt idx="179">
                  <c:v>0.1360118637930437</c:v>
                </c:pt>
                <c:pt idx="180">
                  <c:v>0.13451271222250519</c:v>
                </c:pt>
                <c:pt idx="181">
                  <c:v>0.13303008461810298</c:v>
                </c:pt>
                <c:pt idx="182">
                  <c:v>0.13156379884918243</c:v>
                </c:pt>
                <c:pt idx="183">
                  <c:v>0.13011367479257166</c:v>
                </c:pt>
                <c:pt idx="184">
                  <c:v>0.1286795343104544</c:v>
                </c:pt>
                <c:pt idx="185">
                  <c:v>0.1272612012284873</c:v>
                </c:pt>
                <c:pt idx="186">
                  <c:v>0.12585850131415777</c:v>
                </c:pt>
                <c:pt idx="187">
                  <c:v>0.12447126225538094</c:v>
                </c:pt>
                <c:pt idx="188">
                  <c:v>0.1230993136393323</c:v>
                </c:pt>
                <c:pt idx="189">
                  <c:v>0.12174248693151349</c:v>
                </c:pt>
                <c:pt idx="190">
                  <c:v>0.12040061545504913</c:v>
                </c:pt>
                <c:pt idx="191">
                  <c:v>0.11907353437021166</c:v>
                </c:pt>
                <c:pt idx="192">
                  <c:v>0.11776108065417192</c:v>
                </c:pt>
                <c:pt idx="193">
                  <c:v>0.11646309308097286</c:v>
                </c:pt>
                <c:pt idx="194">
                  <c:v>0.11517941220172413</c:v>
                </c:pt>
                <c:pt idx="195">
                  <c:v>0.1139098803250148</c:v>
                </c:pt>
                <c:pt idx="196">
                  <c:v>0.11265434149754208</c:v>
                </c:pt>
                <c:pt idx="197">
                  <c:v>0.11141264148495347</c:v>
                </c:pt>
                <c:pt idx="198">
                  <c:v>0.11018462775290025</c:v>
                </c:pt>
                <c:pt idx="199">
                  <c:v>0.10897014944829954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B9-47E2-8086-EDD54CC99F16}"/>
            </c:ext>
          </c:extLst>
        </c:ser>
        <c:ser>
          <c:idx val="1"/>
          <c:order val="1"/>
          <c:tx>
            <c:strRef>
              <c:f>[1]AtmosphericC!$Q$20</c:f>
              <c:strCache>
                <c:ptCount val="1"/>
                <c:pt idx="0">
                  <c:v>P(m≥1 13Cm)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[1]AtmosphericC!$A$14:$A$213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xVal>
          <c:yVal>
            <c:numRef>
              <c:f>[1]AtmosphericC!$C$14:$C$213</c:f>
              <c:numCache>
                <c:formatCode>General</c:formatCode>
                <c:ptCount val="200"/>
                <c:pt idx="0">
                  <c:v>1.102221180366747E-2</c:v>
                </c:pt>
                <c:pt idx="1">
                  <c:v>2.1922934454290055E-2</c:v>
                </c:pt>
                <c:pt idx="2">
                  <c:v>3.270350703104441E-2</c:v>
                </c:pt>
                <c:pt idx="3">
                  <c:v>4.3365253853492991E-2</c:v>
                </c:pt>
                <c:pt idx="4">
                  <c:v>5.390948464426748E-2</c:v>
                </c:pt>
                <c:pt idx="5">
                  <c:v>6.4337494689959307E-2</c:v>
                </c:pt>
                <c:pt idx="6">
                  <c:v>7.4650565000236702E-2</c:v>
                </c:pt>
                <c:pt idx="7">
                  <c:v>8.484996246520804E-2</c:v>
                </c:pt>
                <c:pt idx="8">
                  <c:v>9.4936940011050797E-2</c:v>
                </c:pt>
                <c:pt idx="9">
                  <c:v>0.10491273675392432</c:v>
                </c:pt>
                <c:pt idx="10">
                  <c:v>0.11477857815218762</c:v>
                </c:pt>
                <c:pt idx="11">
                  <c:v>0.12453567615693795</c:v>
                </c:pt>
                <c:pt idx="12">
                  <c:v>0.13418522936089072</c:v>
                </c:pt>
                <c:pt idx="13">
                  <c:v>0.14372842314561873</c:v>
                </c:pt>
                <c:pt idx="14">
                  <c:v>0.1531664298271681</c:v>
                </c:pt>
                <c:pt idx="15">
                  <c:v>0.16250040880006889</c:v>
                </c:pt>
                <c:pt idx="16">
                  <c:v>0.17173150667975945</c:v>
                </c:pt>
                <c:pt idx="17">
                  <c:v>0.18086085744343972</c:v>
                </c:pt>
                <c:pt idx="18">
                  <c:v>0.18988958256937261</c:v>
                </c:pt>
                <c:pt idx="19">
                  <c:v>0.19881879117465051</c:v>
                </c:pt>
                <c:pt idx="20">
                  <c:v>0.20764958015144186</c:v>
                </c:pt>
                <c:pt idx="21">
                  <c:v>0.21638303430173755</c:v>
                </c:pt>
                <c:pt idx="22">
                  <c:v>0.22502022647061104</c:v>
                </c:pt>
                <c:pt idx="23">
                  <c:v>0.23356221767801011</c:v>
                </c:pt>
                <c:pt idx="24">
                  <c:v>0.2420100572490963</c:v>
                </c:pt>
                <c:pt idx="25">
                  <c:v>0.25036478294314646</c:v>
                </c:pt>
                <c:pt idx="26">
                  <c:v>0.25862742108103531</c:v>
                </c:pt>
                <c:pt idx="27">
                  <c:v>0.26679898667131141</c:v>
                </c:pt>
                <c:pt idx="28">
                  <c:v>0.27488048353488381</c:v>
                </c:pt>
                <c:pt idx="29">
                  <c:v>0.28287290442833524</c:v>
                </c:pt>
                <c:pt idx="30">
                  <c:v>0.29077723116587506</c:v>
                </c:pt>
                <c:pt idx="31">
                  <c:v>0.29859443473994829</c:v>
                </c:pt>
                <c:pt idx="32">
                  <c:v>0.30632547544051569</c:v>
                </c:pt>
                <c:pt idx="33">
                  <c:v>0.31397130297301867</c:v>
                </c:pt>
                <c:pt idx="34">
                  <c:v>0.32153285657504405</c:v>
                </c:pt>
                <c:pt idx="35">
                  <c:v>0.3290110651317032</c:v>
                </c:pt>
                <c:pt idx="36">
                  <c:v>0.3364068472897388</c:v>
                </c:pt>
                <c:pt idx="37">
                  <c:v>0.34372111157037477</c:v>
                </c:pt>
                <c:pt idx="38">
                  <c:v>0.35095475648092156</c:v>
                </c:pt>
                <c:pt idx="39">
                  <c:v>0.35810867062515173</c:v>
                </c:pt>
                <c:pt idx="40">
                  <c:v>0.36518373281245897</c:v>
                </c:pt>
                <c:pt idx="41">
                  <c:v>0.37218081216581356</c:v>
                </c:pt>
                <c:pt idx="42">
                  <c:v>0.37910076822852845</c:v>
                </c:pt>
                <c:pt idx="43">
                  <c:v>0.38594445106984809</c:v>
                </c:pt>
                <c:pt idx="44">
                  <c:v>0.39271270138937353</c:v>
                </c:pt>
                <c:pt idx="45">
                  <c:v>0.39940635062033691</c:v>
                </c:pt>
                <c:pt idx="46">
                  <c:v>0.40602622103173713</c:v>
                </c:pt>
                <c:pt idx="47">
                  <c:v>0.41257312582935013</c:v>
                </c:pt>
                <c:pt idx="48">
                  <c:v>0.41904786925562532</c:v>
                </c:pt>
                <c:pt idx="49">
                  <c:v>0.42545124668848178</c:v>
                </c:pt>
                <c:pt idx="50">
                  <c:v>0.43178404473901433</c:v>
                </c:pt>
                <c:pt idx="51">
                  <c:v>0.43804704134812422</c:v>
                </c:pt>
                <c:pt idx="52">
                  <c:v>0.44424100588208282</c:v>
                </c:pt>
                <c:pt idx="53">
                  <c:v>0.45036669922704364</c:v>
                </c:pt>
                <c:pt idx="54">
                  <c:v>0.45642487388251207</c:v>
                </c:pt>
                <c:pt idx="55">
                  <c:v>0.46241627405378416</c:v>
                </c:pt>
                <c:pt idx="56">
                  <c:v>0.46834163574336818</c:v>
                </c:pt>
                <c:pt idx="57">
                  <c:v>0.47420168684139608</c:v>
                </c:pt>
                <c:pt idx="58">
                  <c:v>0.47999714721504128</c:v>
                </c:pt>
                <c:pt idx="59">
                  <c:v>0.48572872879694851</c:v>
                </c:pt>
                <c:pt idx="60">
                  <c:v>0.49139713567268983</c:v>
                </c:pt>
                <c:pt idx="61">
                  <c:v>0.49700306416725737</c:v>
                </c:pt>
                <c:pt idx="62">
                  <c:v>0.50254720293060162</c:v>
                </c:pt>
                <c:pt idx="63">
                  <c:v>0.50803023302222727</c:v>
                </c:pt>
                <c:pt idx="64">
                  <c:v>0.51345282799485725</c:v>
                </c:pt>
                <c:pt idx="65">
                  <c:v>0.51881565397717333</c:v>
                </c:pt>
                <c:pt idx="66">
                  <c:v>0.52411936975564621</c:v>
                </c:pt>
                <c:pt idx="67">
                  <c:v>0.52936462685546226</c:v>
                </c:pt>
                <c:pt idx="68">
                  <c:v>0.53455206962055946</c:v>
                </c:pt>
                <c:pt idx="69">
                  <c:v>0.53968233529278031</c:v>
                </c:pt>
                <c:pt idx="70">
                  <c:v>0.54475605409015282</c:v>
                </c:pt>
                <c:pt idx="71">
                  <c:v>0.5497738492843085</c:v>
                </c:pt>
                <c:pt idx="72">
                  <c:v>0.55473633727704685</c:v>
                </c:pt>
                <c:pt idx="73">
                  <c:v>0.55964412767605587</c:v>
                </c:pt>
                <c:pt idx="74">
                  <c:v>0.56449782336979915</c:v>
                </c:pt>
                <c:pt idx="75">
                  <c:v>0.56929802060157542</c:v>
                </c:pt>
                <c:pt idx="76">
                  <c:v>0.57404530904276374</c:v>
                </c:pt>
                <c:pt idx="77">
                  <c:v>0.57874027186526011</c:v>
                </c:pt>
                <c:pt idx="78">
                  <c:v>0.58338348581311661</c:v>
                </c:pt>
                <c:pt idx="79">
                  <c:v>0.58797552127339003</c:v>
                </c:pt>
                <c:pt idx="80">
                  <c:v>0.59251694234621044</c:v>
                </c:pt>
                <c:pt idx="81">
                  <c:v>0.59700830691407658</c:v>
                </c:pt>
                <c:pt idx="82">
                  <c:v>0.60145016671038809</c:v>
                </c:pt>
                <c:pt idx="83">
                  <c:v>0.6058430673872226</c:v>
                </c:pt>
                <c:pt idx="84">
                  <c:v>0.61018754858236446</c:v>
                </c:pt>
                <c:pt idx="85">
                  <c:v>0.61448414398559659</c:v>
                </c:pt>
                <c:pt idx="86">
                  <c:v>0.61873338140425949</c:v>
                </c:pt>
                <c:pt idx="87">
                  <c:v>0.6229357828280897</c:v>
                </c:pt>
                <c:pt idx="88">
                  <c:v>0.62709186449334264</c:v>
                </c:pt>
                <c:pt idx="89">
                  <c:v>0.63120213694620775</c:v>
                </c:pt>
                <c:pt idx="90">
                  <c:v>0.63526710510552653</c:v>
                </c:pt>
                <c:pt idx="91">
                  <c:v>0.6392872683248183</c:v>
                </c:pt>
                <c:pt idx="92">
                  <c:v>0.64326312045362166</c:v>
                </c:pt>
                <c:pt idx="93">
                  <c:v>0.64719514989816118</c:v>
                </c:pt>
                <c:pt idx="94">
                  <c:v>0.65108383968134476</c:v>
                </c:pt>
                <c:pt idx="95">
                  <c:v>0.65492966750209947</c:v>
                </c:pt>
                <c:pt idx="96">
                  <c:v>0.65873310579405331</c:v>
                </c:pt>
                <c:pt idx="97">
                  <c:v>0.66249462178357099</c:v>
                </c:pt>
                <c:pt idx="98">
                  <c:v>0.66621467754714936</c:v>
                </c:pt>
                <c:pt idx="99">
                  <c:v>0.6698937300681802</c:v>
                </c:pt>
                <c:pt idx="100">
                  <c:v>0.67353223129308726</c:v>
                </c:pt>
                <c:pt idx="101">
                  <c:v>0.67713062818684566</c:v>
                </c:pt>
                <c:pt idx="102">
                  <c:v>0.68068936278788728</c:v>
                </c:pt>
                <c:pt idx="103">
                  <c:v>0.68420887226240312</c:v>
                </c:pt>
                <c:pt idx="104">
                  <c:v>0.68768958895804588</c:v>
                </c:pt>
                <c:pt idx="105">
                  <c:v>0.69113194045704085</c:v>
                </c:pt>
                <c:pt idx="106">
                  <c:v>0.69453634962871114</c:v>
                </c:pt>
                <c:pt idx="107">
                  <c:v>0.6979032346814249</c:v>
                </c:pt>
                <c:pt idx="108">
                  <c:v>0.70123300921396903</c:v>
                </c:pt>
                <c:pt idx="109">
                  <c:v>0.70452608226635705</c:v>
                </c:pt>
                <c:pt idx="110">
                  <c:v>0.70778285837007671</c:v>
                </c:pt>
                <c:pt idx="111">
                  <c:v>0.71100373759778401</c:v>
                </c:pt>
                <c:pt idx="112">
                  <c:v>0.71418911561244947</c:v>
                </c:pt>
                <c:pt idx="113">
                  <c:v>0.71733938371596251</c:v>
                </c:pt>
                <c:pt idx="114">
                  <c:v>0.72045492889720042</c:v>
                </c:pt>
                <c:pt idx="115">
                  <c:v>0.72353613387956672</c:v>
                </c:pt>
                <c:pt idx="116">
                  <c:v>0.72658337716800703</c:v>
                </c:pt>
                <c:pt idx="117">
                  <c:v>0.72959703309550461</c:v>
                </c:pt>
                <c:pt idx="118">
                  <c:v>0.73257747186906608</c:v>
                </c:pt>
                <c:pt idx="119">
                  <c:v>0.73552505961519743</c:v>
                </c:pt>
                <c:pt idx="120">
                  <c:v>0.73844015842488098</c:v>
                </c:pt>
                <c:pt idx="121">
                  <c:v>0.74132312639805575</c:v>
                </c:pt>
                <c:pt idx="122">
                  <c:v>0.74417431768760678</c:v>
                </c:pt>
                <c:pt idx="123">
                  <c:v>0.74699408254287181</c:v>
                </c:pt>
                <c:pt idx="124">
                  <c:v>0.74978276735266547</c:v>
                </c:pt>
                <c:pt idx="125">
                  <c:v>0.7525407146878319</c:v>
                </c:pt>
                <c:pt idx="126">
                  <c:v>0.75526826334332686</c:v>
                </c:pt>
                <c:pt idx="127">
                  <c:v>0.7579657483798361</c:v>
                </c:pt>
                <c:pt idx="128">
                  <c:v>0.76063350116493567</c:v>
                </c:pt>
                <c:pt idx="129">
                  <c:v>0.763271849413798</c:v>
                </c:pt>
                <c:pt idx="130">
                  <c:v>0.76588111722944963</c:v>
                </c:pt>
                <c:pt idx="131">
                  <c:v>0.76846162514258465</c:v>
                </c:pt>
                <c:pt idx="132">
                  <c:v>0.77101369015094001</c:v>
                </c:pt>
                <c:pt idx="133">
                  <c:v>0.77353762575823659</c:v>
                </c:pt>
                <c:pt idx="134">
                  <c:v>0.77603374201269071</c:v>
                </c:pt>
                <c:pt idx="135">
                  <c:v>0.77850234554510167</c:v>
                </c:pt>
                <c:pt idx="136">
                  <c:v>0.78094373960651908</c:v>
                </c:pt>
                <c:pt idx="137">
                  <c:v>0.78335822410549538</c:v>
                </c:pt>
                <c:pt idx="138">
                  <c:v>0.78574609564492726</c:v>
                </c:pt>
                <c:pt idx="139">
                  <c:v>0.78810764755849161</c:v>
                </c:pt>
                <c:pt idx="140">
                  <c:v>0.79044316994667929</c:v>
                </c:pt>
                <c:pt idx="141">
                  <c:v>0.79275294971243215</c:v>
                </c:pt>
                <c:pt idx="142">
                  <c:v>0.79503727059638707</c:v>
                </c:pt>
                <c:pt idx="143">
                  <c:v>0.79729641321173139</c:v>
                </c:pt>
                <c:pt idx="144">
                  <c:v>0.79953065507867482</c:v>
                </c:pt>
                <c:pt idx="145">
                  <c:v>0.80174027065854014</c:v>
                </c:pt>
                <c:pt idx="146">
                  <c:v>0.80392553138747946</c:v>
                </c:pt>
                <c:pt idx="147">
                  <c:v>0.80608670570981822</c:v>
                </c:pt>
                <c:pt idx="148">
                  <c:v>0.80822405911103157</c:v>
                </c:pt>
                <c:pt idx="149">
                  <c:v>0.81033785415035742</c:v>
                </c:pt>
                <c:pt idx="150">
                  <c:v>0.81242835049305018</c:v>
                </c:pt>
                <c:pt idx="151">
                  <c:v>0.81449580494227902</c:v>
                </c:pt>
                <c:pt idx="152">
                  <c:v>0.8165404714706741</c:v>
                </c:pt>
                <c:pt idx="153">
                  <c:v>0.81856260125152525</c:v>
                </c:pt>
                <c:pt idx="154">
                  <c:v>0.82056244268963741</c:v>
                </c:pt>
                <c:pt idx="155">
                  <c:v>0.82254024145184501</c:v>
                </c:pt>
                <c:pt idx="156">
                  <c:v>0.8244962404971905</c:v>
                </c:pt>
                <c:pt idx="157">
                  <c:v>0.82643068010677034</c:v>
                </c:pt>
                <c:pt idx="158">
                  <c:v>0.82834379791325197</c:v>
                </c:pt>
                <c:pt idx="159">
                  <c:v>0.83023582893006531</c:v>
                </c:pt>
                <c:pt idx="160">
                  <c:v>0.83210700558027217</c:v>
                </c:pt>
                <c:pt idx="161">
                  <c:v>0.83395755772511837</c:v>
                </c:pt>
                <c:pt idx="162">
                  <c:v>0.83578771269227037</c:v>
                </c:pt>
                <c:pt idx="163">
                  <c:v>0.83759769530374084</c:v>
                </c:pt>
                <c:pt idx="164">
                  <c:v>0.8393877279035068</c:v>
                </c:pt>
                <c:pt idx="165">
                  <c:v>0.84115803038482262</c:v>
                </c:pt>
                <c:pt idx="166">
                  <c:v>0.84290882021723279</c:v>
                </c:pt>
                <c:pt idx="167">
                  <c:v>0.84464031247328641</c:v>
                </c:pt>
                <c:pt idx="168">
                  <c:v>0.84635271985495741</c:v>
                </c:pt>
                <c:pt idx="169">
                  <c:v>0.84804625271977352</c:v>
                </c:pt>
                <c:pt idx="170">
                  <c:v>0.84972111910665715</c:v>
                </c:pt>
                <c:pt idx="171">
                  <c:v>0.85137752476148165</c:v>
                </c:pt>
                <c:pt idx="172">
                  <c:v>0.85301567316234594</c:v>
                </c:pt>
                <c:pt idx="173">
                  <c:v>0.8546357655445701</c:v>
                </c:pt>
                <c:pt idx="174">
                  <c:v>0.8562380009254158</c:v>
                </c:pt>
                <c:pt idx="175">
                  <c:v>0.85782257612853452</c:v>
                </c:pt>
                <c:pt idx="176">
                  <c:v>0.85938968580814556</c:v>
                </c:pt>
                <c:pt idx="177">
                  <c:v>0.86093952247294847</c:v>
                </c:pt>
                <c:pt idx="178">
                  <c:v>0.86247227650977076</c:v>
                </c:pt>
                <c:pt idx="179">
                  <c:v>0.86398813620695636</c:v>
                </c:pt>
                <c:pt idx="180">
                  <c:v>0.86548728777749484</c:v>
                </c:pt>
                <c:pt idx="181">
                  <c:v>0.86696991538189705</c:v>
                </c:pt>
                <c:pt idx="182">
                  <c:v>0.86843620115081754</c:v>
                </c:pt>
                <c:pt idx="183">
                  <c:v>0.86988632520742837</c:v>
                </c:pt>
                <c:pt idx="184">
                  <c:v>0.87132046568954558</c:v>
                </c:pt>
                <c:pt idx="185">
                  <c:v>0.87273879877151272</c:v>
                </c:pt>
                <c:pt idx="186">
                  <c:v>0.87414149868584223</c:v>
                </c:pt>
                <c:pt idx="187">
                  <c:v>0.87552873774461903</c:v>
                </c:pt>
                <c:pt idx="188">
                  <c:v>0.87690068636066765</c:v>
                </c:pt>
                <c:pt idx="189">
                  <c:v>0.87825751306848654</c:v>
                </c:pt>
                <c:pt idx="190">
                  <c:v>0.8795993845449509</c:v>
                </c:pt>
                <c:pt idx="191">
                  <c:v>0.88092646562978838</c:v>
                </c:pt>
                <c:pt idx="192">
                  <c:v>0.8822389193458281</c:v>
                </c:pt>
                <c:pt idx="193">
                  <c:v>0.88353690691902709</c:v>
                </c:pt>
                <c:pt idx="194">
                  <c:v>0.88482058779827588</c:v>
                </c:pt>
                <c:pt idx="195">
                  <c:v>0.88609011967498519</c:v>
                </c:pt>
                <c:pt idx="196">
                  <c:v>0.88734565850245795</c:v>
                </c:pt>
                <c:pt idx="197">
                  <c:v>0.88858735851504655</c:v>
                </c:pt>
                <c:pt idx="198">
                  <c:v>0.88981537224709972</c:v>
                </c:pt>
                <c:pt idx="199">
                  <c:v>0.89102985055170048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B9-47E2-8086-EDD54CC99F16}"/>
            </c:ext>
          </c:extLst>
        </c:ser>
        <c:ser>
          <c:idx val="2"/>
          <c:order val="2"/>
          <c:tx>
            <c:strRef>
              <c:f>[1]AtmosphericC!$Q$21</c:f>
              <c:strCache>
                <c:ptCount val="1"/>
                <c:pt idx="0">
                  <c:v>P(13C1)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[1]AtmosphericC!$A$14:$A$213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xVal>
          <c:yVal>
            <c:numRef>
              <c:f>[1]AtmosphericC!$D$14:$D$213</c:f>
              <c:numCache>
                <c:formatCode>General</c:formatCode>
                <c:ptCount val="200"/>
                <c:pt idx="0">
                  <c:v>1.102221180366747E-2</c:v>
                </c:pt>
                <c:pt idx="1">
                  <c:v>2.180144530124517E-2</c:v>
                </c:pt>
                <c:pt idx="2">
                  <c:v>3.2341717730263064E-2</c:v>
                </c:pt>
                <c:pt idx="3">
                  <c:v>4.2646987289794325E-2</c:v>
                </c:pt>
                <c:pt idx="4">
                  <c:v>5.2721153953872446E-2</c:v>
                </c:pt>
                <c:pt idx="5">
                  <c:v>6.2568060274150961E-2</c:v>
                </c:pt>
                <c:pt idx="6">
                  <c:v>7.2191492171941762E-2</c:v>
                </c:pt>
                <c:pt idx="7">
                  <c:v>8.1595179719770705E-2</c:v>
                </c:pt>
                <c:pt idx="8">
                  <c:v>9.0782797912584812E-2</c:v>
                </c:pt>
                <c:pt idx="9">
                  <c:v>9.9757967428735217E-2</c:v>
                </c:pt>
                <c:pt idx="10">
                  <c:v>0.10852425538089627</c:v>
                </c:pt>
                <c:pt idx="11">
                  <c:v>0.11708517605700397</c:v>
                </c:pt>
                <c:pt idx="12">
                  <c:v>0.12544419165138609</c:v>
                </c:pt>
                <c:pt idx="13">
                  <c:v>0.13360471298619214</c:v>
                </c:pt>
                <c:pt idx="14">
                  <c:v>0.14157010022324057</c:v>
                </c:pt>
                <c:pt idx="15">
                  <c:v>0.14934366356641249</c:v>
                </c:pt>
                <c:pt idx="16">
                  <c:v>0.15692866395473959</c:v>
                </c:pt>
                <c:pt idx="17">
                  <c:v>0.16432831374624479</c:v>
                </c:pt>
                <c:pt idx="18">
                  <c:v>0.17154577739272492</c:v>
                </c:pt>
                <c:pt idx="19">
                  <c:v>0.1785841721055581</c:v>
                </c:pt>
                <c:pt idx="20">
                  <c:v>0.18544656851261831</c:v>
                </c:pt>
                <c:pt idx="21">
                  <c:v>0.19213599130650527</c:v>
                </c:pt>
                <c:pt idx="22">
                  <c:v>0.19865541988409019</c:v>
                </c:pt>
                <c:pt idx="23">
                  <c:v>0.20500778897757765</c:v>
                </c:pt>
                <c:pt idx="24">
                  <c:v>0.21119598927715477</c:v>
                </c:pt>
                <c:pt idx="25">
                  <c:v>0.21722286804530411</c:v>
                </c:pt>
                <c:pt idx="26">
                  <c:v>0.22309122972299911</c:v>
                </c:pt>
                <c:pt idx="27">
                  <c:v>0.22880383652773073</c:v>
                </c:pt>
                <c:pt idx="28">
                  <c:v>0.23436340904359965</c:v>
                </c:pt>
                <c:pt idx="29">
                  <c:v>0.23977262680354272</c:v>
                </c:pt>
                <c:pt idx="30">
                  <c:v>0.24503412886373455</c:v>
                </c:pt>
                <c:pt idx="31">
                  <c:v>0.2501505143703433</c:v>
                </c:pt>
                <c:pt idx="32">
                  <c:v>0.25512434311872434</c:v>
                </c:pt>
                <c:pt idx="33">
                  <c:v>0.25995813610510132</c:v>
                </c:pt>
                <c:pt idx="34">
                  <c:v>0.26465437607088804</c:v>
                </c:pt>
                <c:pt idx="35">
                  <c:v>0.26921550803972938</c:v>
                </c:pt>
                <c:pt idx="36">
                  <c:v>0.27364393984731727</c:v>
                </c:pt>
                <c:pt idx="37">
                  <c:v>0.277942042664167</c:v>
                </c:pt>
                <c:pt idx="38">
                  <c:v>0.28211215151132474</c:v>
                </c:pt>
                <c:pt idx="39">
                  <c:v>0.28615656576920667</c:v>
                </c:pt>
                <c:pt idx="40">
                  <c:v>0.29007754967959709</c:v>
                </c:pt>
                <c:pt idx="41">
                  <c:v>0.29387733284089257</c:v>
                </c:pt>
                <c:pt idx="42">
                  <c:v>0.29755811069674043</c:v>
                </c:pt>
                <c:pt idx="43">
                  <c:v>0.30112204501806428</c:v>
                </c:pt>
                <c:pt idx="44">
                  <c:v>0.30457126437864468</c:v>
                </c:pt>
                <c:pt idx="45">
                  <c:v>0.30790786462431563</c:v>
                </c:pt>
                <c:pt idx="46">
                  <c:v>0.31113390933581031</c:v>
                </c:pt>
                <c:pt idx="47">
                  <c:v>0.31425143028542379</c:v>
                </c:pt>
                <c:pt idx="48">
                  <c:v>0.31726242788748416</c:v>
                </c:pt>
                <c:pt idx="49">
                  <c:v>0.32016887164282304</c:v>
                </c:pt>
                <c:pt idx="50">
                  <c:v>0.3229727005771601</c:v>
                </c:pt>
                <c:pt idx="51">
                  <c:v>0.3256758236737145</c:v>
                </c:pt>
                <c:pt idx="52">
                  <c:v>0.32828012029980558</c:v>
                </c:pt>
                <c:pt idx="53">
                  <c:v>0.33078744062788457</c:v>
                </c:pt>
                <c:pt idx="54">
                  <c:v>0.3331996060507636</c:v>
                </c:pt>
                <c:pt idx="55">
                  <c:v>0.33551840959123691</c:v>
                </c:pt>
                <c:pt idx="56">
                  <c:v>0.33774561630628908</c:v>
                </c:pt>
                <c:pt idx="57">
                  <c:v>0.33988296368561799</c:v>
                </c:pt>
                <c:pt idx="58">
                  <c:v>0.34193216204506682</c:v>
                </c:pt>
                <c:pt idx="59">
                  <c:v>0.34389489491443381</c:v>
                </c:pt>
                <c:pt idx="60">
                  <c:v>0.34577281942022098</c:v>
                </c:pt>
                <c:pt idx="61">
                  <c:v>0.34756756666318722</c:v>
                </c:pt>
                <c:pt idx="62">
                  <c:v>0.34928074209068793</c:v>
                </c:pt>
                <c:pt idx="63">
                  <c:v>0.35091392586404169</c:v>
                </c:pt>
                <c:pt idx="64">
                  <c:v>0.35246867322094866</c:v>
                </c:pt>
                <c:pt idx="65">
                  <c:v>0.3539465148328611</c:v>
                </c:pt>
                <c:pt idx="66">
                  <c:v>0.35534895715768322</c:v>
                </c:pt>
                <c:pt idx="67">
                  <c:v>0.35667748278749123</c:v>
                </c:pt>
                <c:pt idx="68">
                  <c:v>0.35793355079170641</c:v>
                </c:pt>
                <c:pt idx="69">
                  <c:v>0.35911859705546001</c:v>
                </c:pt>
                <c:pt idx="70">
                  <c:v>0.36023403461344794</c:v>
                </c:pt>
                <c:pt idx="71">
                  <c:v>0.36128125397920918</c:v>
                </c:pt>
                <c:pt idx="72">
                  <c:v>0.36226162346989965</c:v>
                </c:pt>
                <c:pt idx="73">
                  <c:v>0.36317648952666715</c:v>
                </c:pt>
                <c:pt idx="74">
                  <c:v>0.36402717703074572</c:v>
                </c:pt>
                <c:pt idx="75">
                  <c:v>0.36481498961499659</c:v>
                </c:pt>
                <c:pt idx="76">
                  <c:v>0.36554120997150097</c:v>
                </c:pt>
                <c:pt idx="77">
                  <c:v>0.36620710015471714</c:v>
                </c:pt>
                <c:pt idx="78">
                  <c:v>0.3668139018806631</c:v>
                </c:pt>
                <c:pt idx="79">
                  <c:v>0.36736283682187398</c:v>
                </c:pt>
                <c:pt idx="80">
                  <c:v>0.36785510689845291</c:v>
                </c:pt>
                <c:pt idx="81">
                  <c:v>0.36829189456502354</c:v>
                </c:pt>
                <c:pt idx="82">
                  <c:v>0.36867436309385526</c:v>
                </c:pt>
                <c:pt idx="83">
                  <c:v>0.36900365685409886</c:v>
                </c:pt>
                <c:pt idx="84">
                  <c:v>0.36928090158705795</c:v>
                </c:pt>
                <c:pt idx="85">
                  <c:v>0.36950720467796305</c:v>
                </c:pt>
                <c:pt idx="86">
                  <c:v>0.36968365542367221</c:v>
                </c:pt>
                <c:pt idx="87">
                  <c:v>0.36981132529705896</c:v>
                </c:pt>
                <c:pt idx="88">
                  <c:v>0.36989126820751184</c:v>
                </c:pt>
                <c:pt idx="89">
                  <c:v>0.36992452075785942</c:v>
                </c:pt>
                <c:pt idx="90">
                  <c:v>0.36991210249800921</c:v>
                </c:pt>
                <c:pt idx="91">
                  <c:v>0.36985501617484307</c:v>
                </c:pt>
                <c:pt idx="92">
                  <c:v>0.36975424797871237</c:v>
                </c:pt>
                <c:pt idx="93">
                  <c:v>0.36961076778671487</c:v>
                </c:pt>
                <c:pt idx="94">
                  <c:v>0.36942552940243956</c:v>
                </c:pt>
                <c:pt idx="95">
                  <c:v>0.36919947079245219</c:v>
                </c:pt>
                <c:pt idx="96">
                  <c:v>0.3689335143195227</c:v>
                </c:pt>
                <c:pt idx="97">
                  <c:v>0.36862856697273294</c:v>
                </c:pt>
                <c:pt idx="98">
                  <c:v>0.36828552059425834</c:v>
                </c:pt>
                <c:pt idx="99">
                  <c:v>0.36790525210308456</c:v>
                </c:pt>
                <c:pt idx="100">
                  <c:v>0.36748862371561242</c:v>
                </c:pt>
                <c:pt idx="101">
                  <c:v>0.36703648316335724</c:v>
                </c:pt>
                <c:pt idx="102">
                  <c:v>0.36654966390728616</c:v>
                </c:pt>
                <c:pt idx="103">
                  <c:v>0.36602898534964812</c:v>
                </c:pt>
                <c:pt idx="104">
                  <c:v>0.36547525304248984</c:v>
                </c:pt>
                <c:pt idx="105">
                  <c:v>0.36488925889346646</c:v>
                </c:pt>
                <c:pt idx="106">
                  <c:v>0.36427178136872063</c:v>
                </c:pt>
                <c:pt idx="107">
                  <c:v>0.3636235856930865</c:v>
                </c:pt>
                <c:pt idx="108">
                  <c:v>0.36294542404730989</c:v>
                </c:pt>
                <c:pt idx="109">
                  <c:v>0.36223803576268199</c:v>
                </c:pt>
                <c:pt idx="110">
                  <c:v>0.36150214751288234</c:v>
                </c:pt>
                <c:pt idx="111">
                  <c:v>0.36073847350321842</c:v>
                </c:pt>
                <c:pt idx="112">
                  <c:v>0.35994771565719608</c:v>
                </c:pt>
                <c:pt idx="113">
                  <c:v>0.35913056380048691</c:v>
                </c:pt>
                <c:pt idx="114">
                  <c:v>0.35828769584235975</c:v>
                </c:pt>
                <c:pt idx="115">
                  <c:v>0.3574197779544912</c:v>
                </c:pt>
                <c:pt idx="116">
                  <c:v>0.35652746474751562</c:v>
                </c:pt>
                <c:pt idx="117">
                  <c:v>0.35561139944471476</c:v>
                </c:pt>
                <c:pt idx="118">
                  <c:v>0.35467221405381455</c:v>
                </c:pt>
                <c:pt idx="119">
                  <c:v>0.35371052953576232</c:v>
                </c:pt>
                <c:pt idx="120">
                  <c:v>0.35272695597170922</c:v>
                </c:pt>
                <c:pt idx="121">
                  <c:v>0.3517220927273228</c:v>
                </c:pt>
                <c:pt idx="122">
                  <c:v>0.35069652861477607</c:v>
                </c:pt>
                <c:pt idx="123">
                  <c:v>0.34965084205286345</c:v>
                </c:pt>
                <c:pt idx="124">
                  <c:v>0.34858560122420779</c:v>
                </c:pt>
                <c:pt idx="125">
                  <c:v>0.34750136423097056</c:v>
                </c:pt>
                <c:pt idx="126">
                  <c:v>0.34639867924785994</c:v>
                </c:pt>
                <c:pt idx="127">
                  <c:v>0.34527808467318266</c:v>
                </c:pt>
                <c:pt idx="128">
                  <c:v>0.34414010927784378</c:v>
                </c:pt>
                <c:pt idx="129">
                  <c:v>0.34298527235210319</c:v>
                </c:pt>
                <c:pt idx="130">
                  <c:v>0.34181408385036327</c:v>
                </c:pt>
                <c:pt idx="131">
                  <c:v>0.34062704453382286</c:v>
                </c:pt>
                <c:pt idx="132">
                  <c:v>0.33942464611126344</c:v>
                </c:pt>
                <c:pt idx="133">
                  <c:v>0.33820737137774159</c:v>
                </c:pt>
                <c:pt idx="134">
                  <c:v>0.33697569435130581</c:v>
                </c:pt>
                <c:pt idx="135">
                  <c:v>0.33573008040789087</c:v>
                </c:pt>
                <c:pt idx="136">
                  <c:v>0.33447098641418549</c:v>
                </c:pt>
                <c:pt idx="137">
                  <c:v>0.3331988608587293</c:v>
                </c:pt>
                <c:pt idx="138">
                  <c:v>0.33191414398103047</c:v>
                </c:pt>
                <c:pt idx="139">
                  <c:v>0.33061726789900936</c:v>
                </c:pt>
                <c:pt idx="140">
                  <c:v>0.3293086567344633</c:v>
                </c:pt>
                <c:pt idx="141">
                  <c:v>0.32798872673690638</c:v>
                </c:pt>
                <c:pt idx="142">
                  <c:v>0.32665788640555293</c:v>
                </c:pt>
                <c:pt idx="143">
                  <c:v>0.32531653660958249</c:v>
                </c:pt>
                <c:pt idx="144">
                  <c:v>0.32396507070679759</c:v>
                </c:pt>
                <c:pt idx="145">
                  <c:v>0.3226038746603368</c:v>
                </c:pt>
                <c:pt idx="146">
                  <c:v>0.32123332715408004</c:v>
                </c:pt>
                <c:pt idx="147">
                  <c:v>0.3198537997061357</c:v>
                </c:pt>
                <c:pt idx="148">
                  <c:v>0.31846565678078897</c:v>
                </c:pt>
                <c:pt idx="149">
                  <c:v>0.31706925589887747</c:v>
                </c:pt>
                <c:pt idx="150">
                  <c:v>0.31566494774660681</c:v>
                </c:pt>
                <c:pt idx="151">
                  <c:v>0.31425307628278443</c:v>
                </c:pt>
                <c:pt idx="152">
                  <c:v>0.31283397884444697</c:v>
                </c:pt>
                <c:pt idx="153">
                  <c:v>0.31140798625107635</c:v>
                </c:pt>
                <c:pt idx="154">
                  <c:v>0.30997542290738478</c:v>
                </c:pt>
                <c:pt idx="155">
                  <c:v>0.30853660690438645</c:v>
                </c:pt>
                <c:pt idx="156">
                  <c:v>0.30709185011924212</c:v>
                </c:pt>
                <c:pt idx="157">
                  <c:v>0.30564145831361489</c:v>
                </c:pt>
                <c:pt idx="158">
                  <c:v>0.30418573123057813</c:v>
                </c:pt>
                <c:pt idx="159">
                  <c:v>0.30272496269013516</c:v>
                </c:pt>
                <c:pt idx="160">
                  <c:v>0.3012594406833049</c:v>
                </c:pt>
                <c:pt idx="161">
                  <c:v>0.29978944746508374</c:v>
                </c:pt>
                <c:pt idx="162">
                  <c:v>0.29831525964577565</c:v>
                </c:pt>
                <c:pt idx="163">
                  <c:v>0.29683714828115759</c:v>
                </c:pt>
                <c:pt idx="164">
                  <c:v>0.29535537896138275</c:v>
                </c:pt>
                <c:pt idx="165">
                  <c:v>0.29387021189842644</c:v>
                </c:pt>
                <c:pt idx="166">
                  <c:v>0.29238190201249858</c:v>
                </c:pt>
                <c:pt idx="167">
                  <c:v>0.29089069901700881</c:v>
                </c:pt>
                <c:pt idx="168">
                  <c:v>0.28939684750239891</c:v>
                </c:pt>
                <c:pt idx="169">
                  <c:v>0.28790058701873789</c:v>
                </c:pt>
                <c:pt idx="170">
                  <c:v>0.2864021521571013</c:v>
                </c:pt>
                <c:pt idx="171">
                  <c:v>0.28490177262981398</c:v>
                </c:pt>
                <c:pt idx="172">
                  <c:v>0.28339967334952254</c:v>
                </c:pt>
                <c:pt idx="173">
                  <c:v>0.2818960745070036</c:v>
                </c:pt>
                <c:pt idx="174">
                  <c:v>0.28039119164799675</c:v>
                </c:pt>
                <c:pt idx="175">
                  <c:v>0.2788852357488949</c:v>
                </c:pt>
                <c:pt idx="176">
                  <c:v>0.27737841329115498</c:v>
                </c:pt>
                <c:pt idx="177">
                  <c:v>0.27587092633491728</c:v>
                </c:pt>
                <c:pt idx="178">
                  <c:v>0.27436297259119036</c:v>
                </c:pt>
                <c:pt idx="179">
                  <c:v>0.27285474549340716</c:v>
                </c:pt>
                <c:pt idx="180">
                  <c:v>0.27134643426746519</c:v>
                </c:pt>
                <c:pt idx="181">
                  <c:v>0.26983822400120205</c:v>
                </c:pt>
                <c:pt idx="182">
                  <c:v>0.26833029571245048</c:v>
                </c:pt>
                <c:pt idx="183">
                  <c:v>0.26682282641639166</c:v>
                </c:pt>
                <c:pt idx="184">
                  <c:v>0.26531598919168342</c:v>
                </c:pt>
                <c:pt idx="185">
                  <c:v>0.26380995324588974</c:v>
                </c:pt>
                <c:pt idx="186">
                  <c:v>0.26230488397961804</c:v>
                </c:pt>
                <c:pt idx="187">
                  <c:v>0.26080094305003865</c:v>
                </c:pt>
                <c:pt idx="188">
                  <c:v>0.25929828843318781</c:v>
                </c:pt>
                <c:pt idx="189">
                  <c:v>0.25779707448558953</c:v>
                </c:pt>
                <c:pt idx="190">
                  <c:v>0.25629745200469323</c:v>
                </c:pt>
                <c:pt idx="191">
                  <c:v>0.2547995682887958</c:v>
                </c:pt>
                <c:pt idx="192">
                  <c:v>0.25330356719566571</c:v>
                </c:pt>
                <c:pt idx="193">
                  <c:v>0.25180958920060381</c:v>
                </c:pt>
                <c:pt idx="194">
                  <c:v>0.25031777145351486</c:v>
                </c:pt>
                <c:pt idx="195">
                  <c:v>0.24882824783502411</c:v>
                </c:pt>
                <c:pt idx="196">
                  <c:v>0.24734114901213322</c:v>
                </c:pt>
                <c:pt idx="197">
                  <c:v>0.2458566024925446</c:v>
                </c:pt>
                <c:pt idx="198">
                  <c:v>0.24437473267858045</c:v>
                </c:pt>
                <c:pt idx="199">
                  <c:v>0.24289566092015047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B9-47E2-8086-EDD54CC99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69472"/>
        <c:axId val="102571392"/>
      </c:scatterChart>
      <c:scatterChart>
        <c:scatterStyle val="lineMarker"/>
        <c:varyColors val="0"/>
        <c:ser>
          <c:idx val="3"/>
          <c:order val="3"/>
          <c:tx>
            <c:strRef>
              <c:f>[1]AtmosphericC!$Q$22</c:f>
              <c:strCache>
                <c:ptCount val="1"/>
                <c:pt idx="0">
                  <c:v>{13C112C(n-1)}/12Cn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[1]AtmosphericC!$A$14:$A$213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xVal>
          <c:yVal>
            <c:numRef>
              <c:f>[1]AtmosphericC!$E$14:$E$213</c:f>
              <c:numCache>
                <c:formatCode>General</c:formatCode>
                <c:ptCount val="200"/>
                <c:pt idx="0">
                  <c:v>1.1145054960000105E-2</c:v>
                </c:pt>
                <c:pt idx="1">
                  <c:v>2.2290109920000255E-2</c:v>
                </c:pt>
                <c:pt idx="2">
                  <c:v>3.3435164880000284E-2</c:v>
                </c:pt>
                <c:pt idx="3">
                  <c:v>4.4580219840000469E-2</c:v>
                </c:pt>
                <c:pt idx="4">
                  <c:v>5.5725274800000668E-2</c:v>
                </c:pt>
                <c:pt idx="5">
                  <c:v>6.6870329760000846E-2</c:v>
                </c:pt>
                <c:pt idx="6">
                  <c:v>7.8015384720000649E-2</c:v>
                </c:pt>
                <c:pt idx="7">
                  <c:v>8.9160439680000161E-2</c:v>
                </c:pt>
                <c:pt idx="8">
                  <c:v>0.10030549464000141</c:v>
                </c:pt>
                <c:pt idx="9">
                  <c:v>0.11145054960000023</c:v>
                </c:pt>
                <c:pt idx="10">
                  <c:v>0.12259560456000104</c:v>
                </c:pt>
                <c:pt idx="11">
                  <c:v>0.13374065952000228</c:v>
                </c:pt>
                <c:pt idx="12">
                  <c:v>0.14488571448000165</c:v>
                </c:pt>
                <c:pt idx="13">
                  <c:v>0.1560307694400011</c:v>
                </c:pt>
                <c:pt idx="14">
                  <c:v>0.16717582440000253</c:v>
                </c:pt>
                <c:pt idx="15">
                  <c:v>0.1783208793600003</c:v>
                </c:pt>
                <c:pt idx="16">
                  <c:v>0.18946593432000186</c:v>
                </c:pt>
                <c:pt idx="17">
                  <c:v>0.20061098928000279</c:v>
                </c:pt>
                <c:pt idx="18">
                  <c:v>0.21175604424000014</c:v>
                </c:pt>
                <c:pt idx="19">
                  <c:v>0.2229010992000037</c:v>
                </c:pt>
                <c:pt idx="20">
                  <c:v>0.23404615416000246</c:v>
                </c:pt>
                <c:pt idx="21">
                  <c:v>0.2451912091200035</c:v>
                </c:pt>
                <c:pt idx="22">
                  <c:v>0.25633626408000276</c:v>
                </c:pt>
                <c:pt idx="23">
                  <c:v>0.26748131903999922</c:v>
                </c:pt>
                <c:pt idx="24">
                  <c:v>0.27862637400000378</c:v>
                </c:pt>
                <c:pt idx="25">
                  <c:v>0.28977142895999985</c:v>
                </c:pt>
                <c:pt idx="26">
                  <c:v>0.30091648392000209</c:v>
                </c:pt>
                <c:pt idx="27">
                  <c:v>0.31206153888000654</c:v>
                </c:pt>
                <c:pt idx="28">
                  <c:v>0.32320659384000228</c:v>
                </c:pt>
                <c:pt idx="29">
                  <c:v>0.33435164880000201</c:v>
                </c:pt>
                <c:pt idx="30">
                  <c:v>0.34549670376000552</c:v>
                </c:pt>
                <c:pt idx="31">
                  <c:v>0.35664175872000387</c:v>
                </c:pt>
                <c:pt idx="32">
                  <c:v>0.36778681368000388</c:v>
                </c:pt>
                <c:pt idx="33">
                  <c:v>0.37893186864000417</c:v>
                </c:pt>
                <c:pt idx="34">
                  <c:v>0.39007692360000185</c:v>
                </c:pt>
                <c:pt idx="35">
                  <c:v>0.40122197856000652</c:v>
                </c:pt>
                <c:pt idx="36">
                  <c:v>0.41236703352000381</c:v>
                </c:pt>
                <c:pt idx="37">
                  <c:v>0.42351208848000538</c:v>
                </c:pt>
                <c:pt idx="38">
                  <c:v>0.4346571434400045</c:v>
                </c:pt>
                <c:pt idx="39">
                  <c:v>0.44580219840000129</c:v>
                </c:pt>
                <c:pt idx="40">
                  <c:v>0.45694725336000369</c:v>
                </c:pt>
                <c:pt idx="41">
                  <c:v>0.46809230832000093</c:v>
                </c:pt>
                <c:pt idx="42">
                  <c:v>0.47923736328000449</c:v>
                </c:pt>
                <c:pt idx="43">
                  <c:v>0.49038241824000933</c:v>
                </c:pt>
                <c:pt idx="44">
                  <c:v>0.50152747320000546</c:v>
                </c:pt>
                <c:pt idx="45">
                  <c:v>0.51267252816000519</c:v>
                </c:pt>
                <c:pt idx="46">
                  <c:v>0.52381758312000293</c:v>
                </c:pt>
                <c:pt idx="47">
                  <c:v>0.5349626380800081</c:v>
                </c:pt>
                <c:pt idx="48">
                  <c:v>0.54610769304000217</c:v>
                </c:pt>
                <c:pt idx="49">
                  <c:v>0.55725274800000946</c:v>
                </c:pt>
                <c:pt idx="50">
                  <c:v>0.56839780295999687</c:v>
                </c:pt>
                <c:pt idx="51">
                  <c:v>0.57954285792001214</c:v>
                </c:pt>
                <c:pt idx="52">
                  <c:v>0.59068791288000877</c:v>
                </c:pt>
                <c:pt idx="53">
                  <c:v>0.60183296784000162</c:v>
                </c:pt>
                <c:pt idx="54">
                  <c:v>0.61297802280000957</c:v>
                </c:pt>
                <c:pt idx="55">
                  <c:v>0.62412307775999309</c:v>
                </c:pt>
                <c:pt idx="56">
                  <c:v>0.63526813272001692</c:v>
                </c:pt>
                <c:pt idx="57">
                  <c:v>0.64641318767999612</c:v>
                </c:pt>
                <c:pt idx="58">
                  <c:v>0.65755824264000529</c:v>
                </c:pt>
                <c:pt idx="59">
                  <c:v>0.66870329760001823</c:v>
                </c:pt>
                <c:pt idx="60">
                  <c:v>0.67984835256000387</c:v>
                </c:pt>
                <c:pt idx="61">
                  <c:v>0.69099340752000316</c:v>
                </c:pt>
                <c:pt idx="62">
                  <c:v>0.70213846248001022</c:v>
                </c:pt>
                <c:pt idx="63">
                  <c:v>0.71328351743999763</c:v>
                </c:pt>
                <c:pt idx="64">
                  <c:v>0.72442857240001202</c:v>
                </c:pt>
                <c:pt idx="65">
                  <c:v>0.73557362736000242</c:v>
                </c:pt>
                <c:pt idx="66">
                  <c:v>0.74671868232001726</c:v>
                </c:pt>
                <c:pt idx="67">
                  <c:v>0.75786373728000955</c:v>
                </c:pt>
                <c:pt idx="68">
                  <c:v>0.76900879224001117</c:v>
                </c:pt>
                <c:pt idx="69">
                  <c:v>0.78015384720000636</c:v>
                </c:pt>
                <c:pt idx="70">
                  <c:v>0.79129890215999887</c:v>
                </c:pt>
                <c:pt idx="71">
                  <c:v>0.80244395712000927</c:v>
                </c:pt>
                <c:pt idx="72">
                  <c:v>0.8135890120800221</c:v>
                </c:pt>
                <c:pt idx="73">
                  <c:v>0.82473406703998575</c:v>
                </c:pt>
                <c:pt idx="74">
                  <c:v>0.83587912200001036</c:v>
                </c:pt>
                <c:pt idx="75">
                  <c:v>0.84702417696000742</c:v>
                </c:pt>
                <c:pt idx="76">
                  <c:v>0.85816923192002015</c:v>
                </c:pt>
                <c:pt idx="77">
                  <c:v>0.86931428688000711</c:v>
                </c:pt>
                <c:pt idx="78">
                  <c:v>0.88045934184001129</c:v>
                </c:pt>
                <c:pt idx="79">
                  <c:v>0.89160439680000114</c:v>
                </c:pt>
                <c:pt idx="80">
                  <c:v>0.90274945176001442</c:v>
                </c:pt>
                <c:pt idx="81">
                  <c:v>0.9138945067200146</c:v>
                </c:pt>
                <c:pt idx="82">
                  <c:v>0.92503956167998891</c:v>
                </c:pt>
                <c:pt idx="83">
                  <c:v>0.93618461664001917</c:v>
                </c:pt>
                <c:pt idx="84">
                  <c:v>0.94732967159999582</c:v>
                </c:pt>
                <c:pt idx="85">
                  <c:v>0.95847472656003463</c:v>
                </c:pt>
                <c:pt idx="86">
                  <c:v>0.96961978152000294</c:v>
                </c:pt>
                <c:pt idx="87">
                  <c:v>0.9807648364799767</c:v>
                </c:pt>
                <c:pt idx="88">
                  <c:v>0.99190989144002828</c:v>
                </c:pt>
                <c:pt idx="89">
                  <c:v>1.0030549464000089</c:v>
                </c:pt>
                <c:pt idx="90">
                  <c:v>1.0142000013599932</c:v>
                </c:pt>
                <c:pt idx="91">
                  <c:v>1.0253450563200357</c:v>
                </c:pt>
                <c:pt idx="92">
                  <c:v>1.0364901112800187</c:v>
                </c:pt>
                <c:pt idx="93">
                  <c:v>1.0476351662399905</c:v>
                </c:pt>
                <c:pt idx="94">
                  <c:v>1.0587802211999975</c:v>
                </c:pt>
                <c:pt idx="95">
                  <c:v>1.0699252761600373</c:v>
                </c:pt>
                <c:pt idx="96">
                  <c:v>1.0810703311200172</c:v>
                </c:pt>
                <c:pt idx="97">
                  <c:v>1.0922153860799986</c:v>
                </c:pt>
                <c:pt idx="98">
                  <c:v>1.1033604410400073</c:v>
                </c:pt>
                <c:pt idx="99">
                  <c:v>1.1145054960000358</c:v>
                </c:pt>
                <c:pt idx="100">
                  <c:v>1.1256505509599823</c:v>
                </c:pt>
                <c:pt idx="101">
                  <c:v>1.136795605920039</c:v>
                </c:pt>
                <c:pt idx="102">
                  <c:v>1.1479406608799987</c:v>
                </c:pt>
                <c:pt idx="103">
                  <c:v>1.1590857158399837</c:v>
                </c:pt>
                <c:pt idx="104">
                  <c:v>1.1702307707999973</c:v>
                </c:pt>
                <c:pt idx="105">
                  <c:v>1.181375825760046</c:v>
                </c:pt>
                <c:pt idx="106">
                  <c:v>1.1925208807200165</c:v>
                </c:pt>
                <c:pt idx="107">
                  <c:v>1.2036659356800081</c:v>
                </c:pt>
                <c:pt idx="108">
                  <c:v>1.2148109906399995</c:v>
                </c:pt>
                <c:pt idx="109">
                  <c:v>1.225956045600018</c:v>
                </c:pt>
                <c:pt idx="110">
                  <c:v>1.2371011005600232</c:v>
                </c:pt>
                <c:pt idx="111">
                  <c:v>1.2482461555200111</c:v>
                </c:pt>
                <c:pt idx="112">
                  <c:v>1.2593912104799982</c:v>
                </c:pt>
                <c:pt idx="113">
                  <c:v>1.2705362654399899</c:v>
                </c:pt>
                <c:pt idx="114">
                  <c:v>1.2816813204000417</c:v>
                </c:pt>
                <c:pt idx="115">
                  <c:v>1.2928263753599971</c:v>
                </c:pt>
                <c:pt idx="116">
                  <c:v>1.3039714303200647</c:v>
                </c:pt>
                <c:pt idx="117">
                  <c:v>1.3151164852799653</c:v>
                </c:pt>
                <c:pt idx="118">
                  <c:v>1.3262615402400277</c:v>
                </c:pt>
                <c:pt idx="119">
                  <c:v>1.3374065952000018</c:v>
                </c:pt>
                <c:pt idx="120">
                  <c:v>1.3485516501599784</c:v>
                </c:pt>
                <c:pt idx="121">
                  <c:v>1.3596967051200635</c:v>
                </c:pt>
                <c:pt idx="122">
                  <c:v>1.3708417600799534</c:v>
                </c:pt>
                <c:pt idx="123">
                  <c:v>1.3819868150400543</c:v>
                </c:pt>
                <c:pt idx="124">
                  <c:v>1.3931318700000064</c:v>
                </c:pt>
                <c:pt idx="125">
                  <c:v>1.4042769249599996</c:v>
                </c:pt>
                <c:pt idx="126">
                  <c:v>1.4154219799200474</c:v>
                </c:pt>
                <c:pt idx="127">
                  <c:v>1.4265670348800228</c:v>
                </c:pt>
                <c:pt idx="128">
                  <c:v>1.4377120898399978</c:v>
                </c:pt>
                <c:pt idx="129">
                  <c:v>1.4488571447999754</c:v>
                </c:pt>
                <c:pt idx="130">
                  <c:v>1.4600021997600265</c:v>
                </c:pt>
                <c:pt idx="131">
                  <c:v>1.4711472547200259</c:v>
                </c:pt>
                <c:pt idx="132">
                  <c:v>1.4822923096800009</c:v>
                </c:pt>
                <c:pt idx="133">
                  <c:v>1.4934373646400223</c:v>
                </c:pt>
                <c:pt idx="134">
                  <c:v>1.5045824196000099</c:v>
                </c:pt>
                <c:pt idx="135">
                  <c:v>1.5157274745600193</c:v>
                </c:pt>
                <c:pt idx="136">
                  <c:v>1.5268725295199981</c:v>
                </c:pt>
                <c:pt idx="137">
                  <c:v>1.5380175844800268</c:v>
                </c:pt>
                <c:pt idx="138">
                  <c:v>1.5491626394400033</c:v>
                </c:pt>
                <c:pt idx="139">
                  <c:v>1.560307694400034</c:v>
                </c:pt>
                <c:pt idx="140">
                  <c:v>1.5714527493600297</c:v>
                </c:pt>
                <c:pt idx="141">
                  <c:v>1.5825978043200233</c:v>
                </c:pt>
                <c:pt idx="142">
                  <c:v>1.5937428592800287</c:v>
                </c:pt>
                <c:pt idx="143">
                  <c:v>1.604887914239957</c:v>
                </c:pt>
                <c:pt idx="144">
                  <c:v>1.6160329692000475</c:v>
                </c:pt>
                <c:pt idx="145">
                  <c:v>1.6271780241600191</c:v>
                </c:pt>
                <c:pt idx="146">
                  <c:v>1.6383230791199879</c:v>
                </c:pt>
                <c:pt idx="147">
                  <c:v>1.649468134080019</c:v>
                </c:pt>
                <c:pt idx="148">
                  <c:v>1.6606131890400653</c:v>
                </c:pt>
                <c:pt idx="149">
                  <c:v>1.6717582440000369</c:v>
                </c:pt>
                <c:pt idx="150">
                  <c:v>1.6829032989599582</c:v>
                </c:pt>
                <c:pt idx="151">
                  <c:v>1.6940483539199873</c:v>
                </c:pt>
                <c:pt idx="152">
                  <c:v>1.7051934088800442</c:v>
                </c:pt>
                <c:pt idx="153">
                  <c:v>1.7163384638399655</c:v>
                </c:pt>
                <c:pt idx="154">
                  <c:v>1.7274835188000166</c:v>
                </c:pt>
                <c:pt idx="155">
                  <c:v>1.7386285737600775</c:v>
                </c:pt>
                <c:pt idx="156">
                  <c:v>1.7497736287200505</c:v>
                </c:pt>
                <c:pt idx="157">
                  <c:v>1.7609186836799771</c:v>
                </c:pt>
                <c:pt idx="158">
                  <c:v>1.7720637386399543</c:v>
                </c:pt>
                <c:pt idx="159">
                  <c:v>1.783208793600076</c:v>
                </c:pt>
                <c:pt idx="160">
                  <c:v>1.7943538485600219</c:v>
                </c:pt>
                <c:pt idx="161">
                  <c:v>1.8054989035200124</c:v>
                </c:pt>
                <c:pt idx="162">
                  <c:v>1.81664395848004</c:v>
                </c:pt>
                <c:pt idx="163">
                  <c:v>1.8277890134399988</c:v>
                </c:pt>
                <c:pt idx="164">
                  <c:v>1.8389340684000663</c:v>
                </c:pt>
                <c:pt idx="165">
                  <c:v>1.8500791233600204</c:v>
                </c:pt>
                <c:pt idx="166">
                  <c:v>1.8612241783199892</c:v>
                </c:pt>
                <c:pt idx="167">
                  <c:v>1.8723692332799728</c:v>
                </c:pt>
                <c:pt idx="168">
                  <c:v>1.883514288239982</c:v>
                </c:pt>
                <c:pt idx="169">
                  <c:v>1.8946593432000345</c:v>
                </c:pt>
                <c:pt idx="170">
                  <c:v>1.9058043981600379</c:v>
                </c:pt>
                <c:pt idx="171">
                  <c:v>1.9169494531199704</c:v>
                </c:pt>
                <c:pt idx="172">
                  <c:v>1.9280945080800416</c:v>
                </c:pt>
                <c:pt idx="173">
                  <c:v>1.9392395630400798</c:v>
                </c:pt>
                <c:pt idx="174">
                  <c:v>1.9503846179999829</c:v>
                </c:pt>
                <c:pt idx="175">
                  <c:v>1.961529672960028</c:v>
                </c:pt>
                <c:pt idx="176">
                  <c:v>1.9726747279199497</c:v>
                </c:pt>
                <c:pt idx="177">
                  <c:v>1.9838197828800923</c:v>
                </c:pt>
                <c:pt idx="178">
                  <c:v>1.994964837840006</c:v>
                </c:pt>
                <c:pt idx="179">
                  <c:v>2.0061098928001182</c:v>
                </c:pt>
                <c:pt idx="180">
                  <c:v>2.017254947759997</c:v>
                </c:pt>
                <c:pt idx="181">
                  <c:v>2.0284000027200011</c:v>
                </c:pt>
                <c:pt idx="182">
                  <c:v>2.0395450576799603</c:v>
                </c:pt>
                <c:pt idx="183">
                  <c:v>2.0506901126400656</c:v>
                </c:pt>
                <c:pt idx="184">
                  <c:v>2.0618351675999822</c:v>
                </c:pt>
                <c:pt idx="185">
                  <c:v>2.0729802225600564</c:v>
                </c:pt>
                <c:pt idx="186">
                  <c:v>2.0841252775199819</c:v>
                </c:pt>
                <c:pt idx="187">
                  <c:v>2.0952703324800108</c:v>
                </c:pt>
                <c:pt idx="188">
                  <c:v>2.1064153874399643</c:v>
                </c:pt>
                <c:pt idx="189">
                  <c:v>2.1175604424001446</c:v>
                </c:pt>
                <c:pt idx="190">
                  <c:v>2.128705497360023</c:v>
                </c:pt>
                <c:pt idx="191">
                  <c:v>2.1398505523200324</c:v>
                </c:pt>
                <c:pt idx="192">
                  <c:v>2.1509956072799672</c:v>
                </c:pt>
                <c:pt idx="193">
                  <c:v>2.1621406622399175</c:v>
                </c:pt>
                <c:pt idx="194">
                  <c:v>2.1732857172001423</c:v>
                </c:pt>
                <c:pt idx="195">
                  <c:v>2.18443077215999</c:v>
                </c:pt>
                <c:pt idx="196">
                  <c:v>2.195575827120074</c:v>
                </c:pt>
                <c:pt idx="197">
                  <c:v>2.2067208820800475</c:v>
                </c:pt>
                <c:pt idx="198">
                  <c:v>2.2178659370399161</c:v>
                </c:pt>
                <c:pt idx="199">
                  <c:v>2.2290109920000738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B9-47E2-8086-EDD54CC99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74272"/>
        <c:axId val="102614528"/>
      </c:scatterChart>
      <c:valAx>
        <c:axId val="102569472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Molecular Carbon Number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571392"/>
        <c:crosses val="autoZero"/>
        <c:crossBetween val="midCat"/>
      </c:valAx>
      <c:valAx>
        <c:axId val="1025713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(P)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569472"/>
        <c:crosses val="autoZero"/>
        <c:crossBetween val="midCat"/>
        <c:majorUnit val="0.2"/>
      </c:valAx>
      <c:valAx>
        <c:axId val="102614528"/>
        <c:scaling>
          <c:orientation val="minMax"/>
          <c:max val="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{</a:t>
                </a:r>
                <a:r>
                  <a:rPr lang="en-US" baseline="30000"/>
                  <a:t>13</a:t>
                </a:r>
                <a:r>
                  <a:rPr lang="en-US"/>
                  <a:t>C</a:t>
                </a:r>
                <a:r>
                  <a:rPr lang="en-US" baseline="-25000"/>
                  <a:t>1</a:t>
                </a:r>
                <a:r>
                  <a:rPr lang="en-US" baseline="30000"/>
                  <a:t>12</a:t>
                </a:r>
                <a:r>
                  <a:rPr lang="en-US"/>
                  <a:t>C</a:t>
                </a:r>
                <a:r>
                  <a:rPr lang="en-US" baseline="-25000"/>
                  <a:t>(n-1)</a:t>
                </a:r>
                <a:r>
                  <a:rPr lang="en-US"/>
                  <a:t>} /</a:t>
                </a:r>
                <a:r>
                  <a:rPr lang="en-US" baseline="30000"/>
                  <a:t>12</a:t>
                </a:r>
                <a:r>
                  <a:rPr lang="en-US"/>
                  <a:t>C</a:t>
                </a:r>
                <a:r>
                  <a:rPr lang="en-US" baseline="-25000"/>
                  <a:t>n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6374272"/>
        <c:crosses val="max"/>
        <c:crossBetween val="midCat"/>
        <c:majorUnit val="0.4"/>
      </c:valAx>
      <c:valAx>
        <c:axId val="10637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61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Biotic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'Data summary'!$O$8:$O$74</c:f>
              <c:numCache>
                <c:formatCode>General</c:formatCode>
                <c:ptCount val="67"/>
                <c:pt idx="0">
                  <c:v>35</c:v>
                </c:pt>
                <c:pt idx="1">
                  <c:v>43</c:v>
                </c:pt>
                <c:pt idx="2">
                  <c:v>43</c:v>
                </c:pt>
                <c:pt idx="3">
                  <c:v>33</c:v>
                </c:pt>
                <c:pt idx="4">
                  <c:v>15</c:v>
                </c:pt>
                <c:pt idx="5">
                  <c:v>17</c:v>
                </c:pt>
                <c:pt idx="6">
                  <c:v>12</c:v>
                </c:pt>
                <c:pt idx="7">
                  <c:v>14</c:v>
                </c:pt>
                <c:pt idx="8">
                  <c:v>46</c:v>
                </c:pt>
                <c:pt idx="9">
                  <c:v>15</c:v>
                </c:pt>
                <c:pt idx="10">
                  <c:v>35</c:v>
                </c:pt>
                <c:pt idx="11">
                  <c:v>31</c:v>
                </c:pt>
                <c:pt idx="12">
                  <c:v>12</c:v>
                </c:pt>
                <c:pt idx="13">
                  <c:v>32</c:v>
                </c:pt>
                <c:pt idx="14">
                  <c:v>29</c:v>
                </c:pt>
                <c:pt idx="15">
                  <c:v>34</c:v>
                </c:pt>
                <c:pt idx="16">
                  <c:v>34</c:v>
                </c:pt>
                <c:pt idx="17">
                  <c:v>22</c:v>
                </c:pt>
                <c:pt idx="18">
                  <c:v>25</c:v>
                </c:pt>
                <c:pt idx="19">
                  <c:v>22</c:v>
                </c:pt>
                <c:pt idx="20">
                  <c:v>31</c:v>
                </c:pt>
                <c:pt idx="21">
                  <c:v>8</c:v>
                </c:pt>
                <c:pt idx="22">
                  <c:v>15</c:v>
                </c:pt>
                <c:pt idx="23">
                  <c:v>12</c:v>
                </c:pt>
                <c:pt idx="24">
                  <c:v>17</c:v>
                </c:pt>
                <c:pt idx="25">
                  <c:v>14</c:v>
                </c:pt>
                <c:pt idx="26">
                  <c:v>18</c:v>
                </c:pt>
                <c:pt idx="27">
                  <c:v>19</c:v>
                </c:pt>
                <c:pt idx="28">
                  <c:v>17</c:v>
                </c:pt>
                <c:pt idx="29">
                  <c:v>18</c:v>
                </c:pt>
                <c:pt idx="30">
                  <c:v>18</c:v>
                </c:pt>
                <c:pt idx="31">
                  <c:v>16</c:v>
                </c:pt>
                <c:pt idx="32">
                  <c:v>18</c:v>
                </c:pt>
                <c:pt idx="33">
                  <c:v>19</c:v>
                </c:pt>
                <c:pt idx="34">
                  <c:v>17</c:v>
                </c:pt>
                <c:pt idx="35">
                  <c:v>18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12</c:v>
                </c:pt>
                <c:pt idx="40">
                  <c:v>14</c:v>
                </c:pt>
                <c:pt idx="41">
                  <c:v>15</c:v>
                </c:pt>
                <c:pt idx="42">
                  <c:v>12</c:v>
                </c:pt>
                <c:pt idx="43">
                  <c:v>6</c:v>
                </c:pt>
                <c:pt idx="44">
                  <c:v>14</c:v>
                </c:pt>
                <c:pt idx="45">
                  <c:v>15</c:v>
                </c:pt>
                <c:pt idx="46">
                  <c:v>12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12</c:v>
                </c:pt>
                <c:pt idx="51">
                  <c:v>14</c:v>
                </c:pt>
                <c:pt idx="52">
                  <c:v>15</c:v>
                </c:pt>
                <c:pt idx="53">
                  <c:v>15</c:v>
                </c:pt>
                <c:pt idx="54">
                  <c:v>46</c:v>
                </c:pt>
                <c:pt idx="55">
                  <c:v>49</c:v>
                </c:pt>
                <c:pt idx="56">
                  <c:v>52</c:v>
                </c:pt>
                <c:pt idx="57">
                  <c:v>49</c:v>
                </c:pt>
                <c:pt idx="58">
                  <c:v>52</c:v>
                </c:pt>
                <c:pt idx="59">
                  <c:v>41</c:v>
                </c:pt>
                <c:pt idx="60">
                  <c:v>10</c:v>
                </c:pt>
                <c:pt idx="61">
                  <c:v>7</c:v>
                </c:pt>
                <c:pt idx="62">
                  <c:v>11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7</c:v>
                </c:pt>
              </c:numCache>
            </c:numRef>
          </c:xVal>
          <c:yVal>
            <c:numRef>
              <c:f>'Data summary'!$K$8:$K$74</c:f>
              <c:numCache>
                <c:formatCode>0.000000</c:formatCode>
                <c:ptCount val="67"/>
                <c:pt idx="0">
                  <c:v>0.39100753777241254</c:v>
                </c:pt>
                <c:pt idx="1">
                  <c:v>0.48216076820964815</c:v>
                </c:pt>
                <c:pt idx="2">
                  <c:v>0.47325302024279592</c:v>
                </c:pt>
                <c:pt idx="3">
                  <c:v>0.37148516260758796</c:v>
                </c:pt>
                <c:pt idx="4">
                  <c:v>0.18806083458324124</c:v>
                </c:pt>
                <c:pt idx="5">
                  <c:v>0.1867895143688614</c:v>
                </c:pt>
                <c:pt idx="6">
                  <c:v>0.14101245032733195</c:v>
                </c:pt>
                <c:pt idx="7">
                  <c:v>0.16332961522420197</c:v>
                </c:pt>
                <c:pt idx="8">
                  <c:v>0.52122919861654393</c:v>
                </c:pt>
                <c:pt idx="9">
                  <c:v>0.16980181648305506</c:v>
                </c:pt>
                <c:pt idx="10">
                  <c:v>0.42409609254842667</c:v>
                </c:pt>
                <c:pt idx="11">
                  <c:v>0.32585867334771834</c:v>
                </c:pt>
                <c:pt idx="12">
                  <c:v>0.13696430821088415</c:v>
                </c:pt>
                <c:pt idx="13">
                  <c:v>0.34819022009838679</c:v>
                </c:pt>
                <c:pt idx="14">
                  <c:v>0.31437561376991946</c:v>
                </c:pt>
                <c:pt idx="15">
                  <c:v>0.3713931314106852</c:v>
                </c:pt>
                <c:pt idx="16">
                  <c:v>0.38303995524357987</c:v>
                </c:pt>
                <c:pt idx="17">
                  <c:v>0.24247802004855948</c:v>
                </c:pt>
                <c:pt idx="18">
                  <c:v>0.27781163532408804</c:v>
                </c:pt>
                <c:pt idx="19">
                  <c:v>0.25050942619474664</c:v>
                </c:pt>
                <c:pt idx="20">
                  <c:v>0.33591978667361999</c:v>
                </c:pt>
                <c:pt idx="21">
                  <c:v>8.111319152895205E-2</c:v>
                </c:pt>
                <c:pt idx="22">
                  <c:v>0.14813454895292155</c:v>
                </c:pt>
                <c:pt idx="23">
                  <c:v>0.1233653406712247</c:v>
                </c:pt>
                <c:pt idx="24">
                  <c:v>0.17796578139236663</c:v>
                </c:pt>
                <c:pt idx="25">
                  <c:v>0.14262804045150004</c:v>
                </c:pt>
                <c:pt idx="26">
                  <c:v>0.22099187878453652</c:v>
                </c:pt>
                <c:pt idx="27">
                  <c:v>0.2265640629615602</c:v>
                </c:pt>
                <c:pt idx="28">
                  <c:v>0.18850865065441116</c:v>
                </c:pt>
                <c:pt idx="29">
                  <c:v>0.19608258733281614</c:v>
                </c:pt>
                <c:pt idx="30">
                  <c:v>0.20158231822899467</c:v>
                </c:pt>
                <c:pt idx="31">
                  <c:v>0.18313523282380656</c:v>
                </c:pt>
                <c:pt idx="32">
                  <c:v>0.23638942520647932</c:v>
                </c:pt>
                <c:pt idx="33">
                  <c:v>0.23611957195971181</c:v>
                </c:pt>
                <c:pt idx="34">
                  <c:v>0.1931719458824003</c:v>
                </c:pt>
                <c:pt idx="35">
                  <c:v>0.200411575911072</c:v>
                </c:pt>
                <c:pt idx="36">
                  <c:v>0.18246473512315081</c:v>
                </c:pt>
                <c:pt idx="37">
                  <c:v>0.19710257915679816</c:v>
                </c:pt>
                <c:pt idx="38">
                  <c:v>0.20559924038891902</c:v>
                </c:pt>
                <c:pt idx="39">
                  <c:v>0.13909148657985929</c:v>
                </c:pt>
                <c:pt idx="40">
                  <c:v>0.15207843686915737</c:v>
                </c:pt>
                <c:pt idx="41">
                  <c:v>0.1687497721510301</c:v>
                </c:pt>
                <c:pt idx="42">
                  <c:v>0.14044179798916454</c:v>
                </c:pt>
                <c:pt idx="43">
                  <c:v>6.8626417956256167E-2</c:v>
                </c:pt>
                <c:pt idx="44">
                  <c:v>0.16689922008339803</c:v>
                </c:pt>
                <c:pt idx="45">
                  <c:v>0.16958231107735211</c:v>
                </c:pt>
                <c:pt idx="46">
                  <c:v>0.13935687721838289</c:v>
                </c:pt>
                <c:pt idx="47">
                  <c:v>0.16406077832064084</c:v>
                </c:pt>
                <c:pt idx="48">
                  <c:v>0.16610623704627839</c:v>
                </c:pt>
                <c:pt idx="49">
                  <c:v>0.19074595318499168</c:v>
                </c:pt>
                <c:pt idx="50">
                  <c:v>0.14446872536190905</c:v>
                </c:pt>
                <c:pt idx="51">
                  <c:v>0.16892051902367408</c:v>
                </c:pt>
                <c:pt idx="52">
                  <c:v>0.16997367402381072</c:v>
                </c:pt>
                <c:pt idx="53">
                  <c:v>0.16500162317585951</c:v>
                </c:pt>
                <c:pt idx="54">
                  <c:v>0.50634509036064879</c:v>
                </c:pt>
                <c:pt idx="55">
                  <c:v>0.5263588657262529</c:v>
                </c:pt>
                <c:pt idx="56">
                  <c:v>0.57631119158804278</c:v>
                </c:pt>
                <c:pt idx="57">
                  <c:v>0.54984053232662589</c:v>
                </c:pt>
                <c:pt idx="58">
                  <c:v>0.55680948181456968</c:v>
                </c:pt>
                <c:pt idx="59">
                  <c:v>0.42843210968974998</c:v>
                </c:pt>
                <c:pt idx="60">
                  <c:v>0.11873036410455687</c:v>
                </c:pt>
                <c:pt idx="61">
                  <c:v>7.8830343150626744E-2</c:v>
                </c:pt>
                <c:pt idx="62">
                  <c:v>0.11890616918579124</c:v>
                </c:pt>
                <c:pt idx="63">
                  <c:v>0.11197843142477486</c:v>
                </c:pt>
                <c:pt idx="64">
                  <c:v>0.10989519015392965</c:v>
                </c:pt>
                <c:pt idx="65">
                  <c:v>0.11280348314384837</c:v>
                </c:pt>
                <c:pt idx="66">
                  <c:v>7.6039475484953392E-2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12-4C78-8FF6-26B5C6B1F158}"/>
            </c:ext>
          </c:extLst>
        </c:ser>
        <c:ser>
          <c:idx val="1"/>
          <c:order val="1"/>
          <c:tx>
            <c:v>NOM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'Data summary'!$O$75:$O$91</c:f>
              <c:numCache>
                <c:formatCode>General</c:formatCode>
                <c:ptCount val="17"/>
                <c:pt idx="0">
                  <c:v>12</c:v>
                </c:pt>
                <c:pt idx="1">
                  <c:v>25</c:v>
                </c:pt>
                <c:pt idx="2">
                  <c:v>25</c:v>
                </c:pt>
                <c:pt idx="3">
                  <c:v>8</c:v>
                </c:pt>
                <c:pt idx="4">
                  <c:v>23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9</c:v>
                </c:pt>
                <c:pt idx="11">
                  <c:v>18</c:v>
                </c:pt>
                <c:pt idx="12">
                  <c:v>18</c:v>
                </c:pt>
                <c:pt idx="13">
                  <c:v>10</c:v>
                </c:pt>
                <c:pt idx="14">
                  <c:v>18</c:v>
                </c:pt>
                <c:pt idx="15">
                  <c:v>9</c:v>
                </c:pt>
                <c:pt idx="16">
                  <c:v>18</c:v>
                </c:pt>
              </c:numCache>
            </c:numRef>
          </c:xVal>
          <c:yVal>
            <c:numRef>
              <c:f>'Data summary'!$K$75:$K$91</c:f>
              <c:numCache>
                <c:formatCode>0.000000</c:formatCode>
                <c:ptCount val="17"/>
                <c:pt idx="0">
                  <c:v>0.16904397064190901</c:v>
                </c:pt>
                <c:pt idx="1">
                  <c:v>0.31316980470819999</c:v>
                </c:pt>
                <c:pt idx="2">
                  <c:v>0.2910325585199427</c:v>
                </c:pt>
                <c:pt idx="3">
                  <c:v>0.13911684489814624</c:v>
                </c:pt>
                <c:pt idx="4">
                  <c:v>0.25794841518894684</c:v>
                </c:pt>
                <c:pt idx="5">
                  <c:v>0.1787825516652071</c:v>
                </c:pt>
                <c:pt idx="6">
                  <c:v>0.17607855719357571</c:v>
                </c:pt>
                <c:pt idx="7">
                  <c:v>0.11539973907530238</c:v>
                </c:pt>
                <c:pt idx="8">
                  <c:v>0.10387605294472418</c:v>
                </c:pt>
                <c:pt idx="9">
                  <c:v>0.20104683714299409</c:v>
                </c:pt>
                <c:pt idx="10">
                  <c:v>0.10119719170157877</c:v>
                </c:pt>
                <c:pt idx="11">
                  <c:v>0.16925297917694529</c:v>
                </c:pt>
                <c:pt idx="12">
                  <c:v>0.26843904635280436</c:v>
                </c:pt>
                <c:pt idx="13">
                  <c:v>0.10255897188075749</c:v>
                </c:pt>
                <c:pt idx="14">
                  <c:v>0.15986487075756792</c:v>
                </c:pt>
                <c:pt idx="15">
                  <c:v>8.8410893311387101E-2</c:v>
                </c:pt>
                <c:pt idx="16">
                  <c:v>0.18207017293412509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12-4C78-8FF6-26B5C6B1F158}"/>
            </c:ext>
          </c:extLst>
        </c:ser>
        <c:ser>
          <c:idx val="2"/>
          <c:order val="2"/>
          <c:tx>
            <c:v>Anthropogenic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('Data summary'!$O$97:$O$142,'Data summary'!$O$147:$O$197)</c:f>
              <c:numCache>
                <c:formatCode>General</c:formatCode>
                <c:ptCount val="97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28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20</c:v>
                </c:pt>
                <c:pt idx="23">
                  <c:v>18</c:v>
                </c:pt>
                <c:pt idx="24">
                  <c:v>17</c:v>
                </c:pt>
                <c:pt idx="25">
                  <c:v>17</c:v>
                </c:pt>
                <c:pt idx="26">
                  <c:v>18</c:v>
                </c:pt>
                <c:pt idx="27">
                  <c:v>20</c:v>
                </c:pt>
                <c:pt idx="28">
                  <c:v>24</c:v>
                </c:pt>
                <c:pt idx="29">
                  <c:v>8</c:v>
                </c:pt>
                <c:pt idx="30">
                  <c:v>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9</c:v>
                </c:pt>
                <c:pt idx="36">
                  <c:v>12</c:v>
                </c:pt>
                <c:pt idx="37">
                  <c:v>9</c:v>
                </c:pt>
                <c:pt idx="38">
                  <c:v>2</c:v>
                </c:pt>
                <c:pt idx="39">
                  <c:v>9</c:v>
                </c:pt>
                <c:pt idx="40">
                  <c:v>15</c:v>
                </c:pt>
                <c:pt idx="41">
                  <c:v>10</c:v>
                </c:pt>
                <c:pt idx="42">
                  <c:v>9</c:v>
                </c:pt>
                <c:pt idx="43">
                  <c:v>9</c:v>
                </c:pt>
                <c:pt idx="44">
                  <c:v>7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8</c:v>
                </c:pt>
                <c:pt idx="49">
                  <c:v>11</c:v>
                </c:pt>
                <c:pt idx="50">
                  <c:v>10</c:v>
                </c:pt>
                <c:pt idx="51">
                  <c:v>8</c:v>
                </c:pt>
                <c:pt idx="52">
                  <c:v>8</c:v>
                </c:pt>
                <c:pt idx="53">
                  <c:v>10</c:v>
                </c:pt>
                <c:pt idx="54">
                  <c:v>12</c:v>
                </c:pt>
                <c:pt idx="55">
                  <c:v>9</c:v>
                </c:pt>
                <c:pt idx="56">
                  <c:v>8</c:v>
                </c:pt>
                <c:pt idx="57">
                  <c:v>11</c:v>
                </c:pt>
                <c:pt idx="58">
                  <c:v>10</c:v>
                </c:pt>
                <c:pt idx="59">
                  <c:v>12</c:v>
                </c:pt>
                <c:pt idx="60">
                  <c:v>8</c:v>
                </c:pt>
                <c:pt idx="61">
                  <c:v>13</c:v>
                </c:pt>
                <c:pt idx="62">
                  <c:v>11</c:v>
                </c:pt>
                <c:pt idx="63">
                  <c:v>9</c:v>
                </c:pt>
                <c:pt idx="64">
                  <c:v>8</c:v>
                </c:pt>
                <c:pt idx="65">
                  <c:v>9</c:v>
                </c:pt>
                <c:pt idx="66">
                  <c:v>9</c:v>
                </c:pt>
                <c:pt idx="67">
                  <c:v>12</c:v>
                </c:pt>
                <c:pt idx="68">
                  <c:v>9</c:v>
                </c:pt>
                <c:pt idx="69">
                  <c:v>9</c:v>
                </c:pt>
                <c:pt idx="70">
                  <c:v>24</c:v>
                </c:pt>
                <c:pt idx="71">
                  <c:v>9</c:v>
                </c:pt>
                <c:pt idx="72">
                  <c:v>12</c:v>
                </c:pt>
                <c:pt idx="73">
                  <c:v>9</c:v>
                </c:pt>
                <c:pt idx="74">
                  <c:v>13</c:v>
                </c:pt>
                <c:pt idx="75">
                  <c:v>9</c:v>
                </c:pt>
                <c:pt idx="76">
                  <c:v>8</c:v>
                </c:pt>
                <c:pt idx="77">
                  <c:v>12</c:v>
                </c:pt>
                <c:pt idx="78">
                  <c:v>13</c:v>
                </c:pt>
                <c:pt idx="79">
                  <c:v>8</c:v>
                </c:pt>
                <c:pt idx="80">
                  <c:v>10</c:v>
                </c:pt>
                <c:pt idx="81">
                  <c:v>13</c:v>
                </c:pt>
                <c:pt idx="82">
                  <c:v>13</c:v>
                </c:pt>
                <c:pt idx="83">
                  <c:v>11</c:v>
                </c:pt>
                <c:pt idx="84">
                  <c:v>10</c:v>
                </c:pt>
                <c:pt idx="85">
                  <c:v>9</c:v>
                </c:pt>
                <c:pt idx="86">
                  <c:v>13</c:v>
                </c:pt>
                <c:pt idx="87">
                  <c:v>13</c:v>
                </c:pt>
                <c:pt idx="88">
                  <c:v>10</c:v>
                </c:pt>
                <c:pt idx="89">
                  <c:v>9</c:v>
                </c:pt>
                <c:pt idx="90">
                  <c:v>13</c:v>
                </c:pt>
                <c:pt idx="91">
                  <c:v>13</c:v>
                </c:pt>
                <c:pt idx="92">
                  <c:v>10</c:v>
                </c:pt>
                <c:pt idx="93">
                  <c:v>13</c:v>
                </c:pt>
                <c:pt idx="94">
                  <c:v>13</c:v>
                </c:pt>
                <c:pt idx="95">
                  <c:v>11</c:v>
                </c:pt>
                <c:pt idx="96">
                  <c:v>8</c:v>
                </c:pt>
              </c:numCache>
            </c:numRef>
          </c:xVal>
          <c:yVal>
            <c:numRef>
              <c:f>('Data summary'!$K$97:$K$142,'Data summary'!$K$147:$K$197)</c:f>
              <c:numCache>
                <c:formatCode>0.000000</c:formatCode>
                <c:ptCount val="97"/>
                <c:pt idx="0">
                  <c:v>6.5005330914530327E-2</c:v>
                </c:pt>
                <c:pt idx="1">
                  <c:v>9.2101999093265358E-2</c:v>
                </c:pt>
                <c:pt idx="2">
                  <c:v>8.7005127500515242E-2</c:v>
                </c:pt>
                <c:pt idx="3">
                  <c:v>0.10493646045687503</c:v>
                </c:pt>
                <c:pt idx="4">
                  <c:v>0.1245414379434998</c:v>
                </c:pt>
                <c:pt idx="5">
                  <c:v>0.11399788473578652</c:v>
                </c:pt>
                <c:pt idx="6">
                  <c:v>0.12524427074080655</c:v>
                </c:pt>
                <c:pt idx="7">
                  <c:v>0.13448124840172718</c:v>
                </c:pt>
                <c:pt idx="8">
                  <c:v>0.16252673704547022</c:v>
                </c:pt>
                <c:pt idx="9">
                  <c:v>0.15039277634503637</c:v>
                </c:pt>
                <c:pt idx="10">
                  <c:v>0.16286142315357588</c:v>
                </c:pt>
                <c:pt idx="11">
                  <c:v>0.14557620669489849</c:v>
                </c:pt>
                <c:pt idx="12">
                  <c:v>8.3069573666234839E-2</c:v>
                </c:pt>
                <c:pt idx="13">
                  <c:v>0.14604358678409587</c:v>
                </c:pt>
                <c:pt idx="14">
                  <c:v>0.14873261984276917</c:v>
                </c:pt>
                <c:pt idx="15">
                  <c:v>9.037037757220151E-2</c:v>
                </c:pt>
                <c:pt idx="16">
                  <c:v>0.14655419540966008</c:v>
                </c:pt>
                <c:pt idx="17">
                  <c:v>0.10752633874662304</c:v>
                </c:pt>
                <c:pt idx="18">
                  <c:v>0.15062531049528047</c:v>
                </c:pt>
                <c:pt idx="19">
                  <c:v>0.12316587150476642</c:v>
                </c:pt>
                <c:pt idx="20">
                  <c:v>0.1648638047176145</c:v>
                </c:pt>
                <c:pt idx="21">
                  <c:v>0.13878533592581221</c:v>
                </c:pt>
                <c:pt idx="22">
                  <c:v>0.20375399437668532</c:v>
                </c:pt>
                <c:pt idx="23">
                  <c:v>0.19329922106704039</c:v>
                </c:pt>
                <c:pt idx="24">
                  <c:v>0.19497420970060111</c:v>
                </c:pt>
                <c:pt idx="25">
                  <c:v>0.21595381789556548</c:v>
                </c:pt>
                <c:pt idx="26">
                  <c:v>0.18481444012565892</c:v>
                </c:pt>
                <c:pt idx="27">
                  <c:v>0.23912343011086132</c:v>
                </c:pt>
                <c:pt idx="28">
                  <c:v>0.26737886033308994</c:v>
                </c:pt>
                <c:pt idx="29">
                  <c:v>0.10808546521033799</c:v>
                </c:pt>
                <c:pt idx="30">
                  <c:v>8.4712396086310732E-2</c:v>
                </c:pt>
                <c:pt idx="31">
                  <c:v>0.19420710992355117</c:v>
                </c:pt>
                <c:pt idx="32">
                  <c:v>0.12879937411231696</c:v>
                </c:pt>
                <c:pt idx="33">
                  <c:v>0.12378190485649022</c:v>
                </c:pt>
                <c:pt idx="34">
                  <c:v>0.1012571244667778</c:v>
                </c:pt>
                <c:pt idx="35">
                  <c:v>0.11053843907681554</c:v>
                </c:pt>
                <c:pt idx="36">
                  <c:v>0.15066517875321478</c:v>
                </c:pt>
                <c:pt idx="37">
                  <c:v>0.10996207910537417</c:v>
                </c:pt>
                <c:pt idx="38">
                  <c:v>2.177582229128663E-2</c:v>
                </c:pt>
                <c:pt idx="39">
                  <c:v>0.11352817544441102</c:v>
                </c:pt>
                <c:pt idx="40">
                  <c:v>0.1703790874851053</c:v>
                </c:pt>
                <c:pt idx="41">
                  <c:v>0.12089548743602666</c:v>
                </c:pt>
                <c:pt idx="42">
                  <c:v>0.11050750146557912</c:v>
                </c:pt>
                <c:pt idx="43">
                  <c:v>0.12022720309035989</c:v>
                </c:pt>
                <c:pt idx="44">
                  <c:v>9.7580308220079529E-2</c:v>
                </c:pt>
                <c:pt idx="45">
                  <c:v>0.12033710447845787</c:v>
                </c:pt>
                <c:pt idx="46">
                  <c:v>8.9973396135897776E-2</c:v>
                </c:pt>
                <c:pt idx="47">
                  <c:v>0.10748299319727891</c:v>
                </c:pt>
                <c:pt idx="48">
                  <c:v>8.8182143489984988E-2</c:v>
                </c:pt>
                <c:pt idx="49">
                  <c:v>0.10357649591467293</c:v>
                </c:pt>
                <c:pt idx="50">
                  <c:v>9.8547945205479451E-2</c:v>
                </c:pt>
                <c:pt idx="51">
                  <c:v>8.6175689368144126E-2</c:v>
                </c:pt>
                <c:pt idx="52">
                  <c:v>8.4756354773696627E-2</c:v>
                </c:pt>
                <c:pt idx="53">
                  <c:v>0.10816422370855272</c:v>
                </c:pt>
                <c:pt idx="54">
                  <c:v>0.1453858501588827</c:v>
                </c:pt>
                <c:pt idx="55">
                  <c:v>0.10815484308010447</c:v>
                </c:pt>
                <c:pt idx="56">
                  <c:v>9.6527315281715598E-2</c:v>
                </c:pt>
                <c:pt idx="57">
                  <c:v>0.1283983323199861</c:v>
                </c:pt>
                <c:pt idx="58">
                  <c:v>0.11376394514318199</c:v>
                </c:pt>
                <c:pt idx="59">
                  <c:v>7.2019471681455713E-2</c:v>
                </c:pt>
                <c:pt idx="60">
                  <c:v>7.3008840344952503E-2</c:v>
                </c:pt>
                <c:pt idx="61">
                  <c:v>0.13187243554596886</c:v>
                </c:pt>
                <c:pt idx="62">
                  <c:v>0.11657129650632782</c:v>
                </c:pt>
                <c:pt idx="63">
                  <c:v>9.69384160917489E-2</c:v>
                </c:pt>
                <c:pt idx="64">
                  <c:v>7.8258569357881863E-2</c:v>
                </c:pt>
                <c:pt idx="65">
                  <c:v>7.3509886790923004E-2</c:v>
                </c:pt>
                <c:pt idx="66">
                  <c:v>9.0282423683984037E-2</c:v>
                </c:pt>
                <c:pt idx="67">
                  <c:v>0.11705565167170601</c:v>
                </c:pt>
                <c:pt idx="68">
                  <c:v>9.0710806615639891E-2</c:v>
                </c:pt>
                <c:pt idx="69">
                  <c:v>9.7675378117501432E-2</c:v>
                </c:pt>
                <c:pt idx="70">
                  <c:v>0.27629693149994905</c:v>
                </c:pt>
                <c:pt idx="71">
                  <c:v>9.77644183211758E-2</c:v>
                </c:pt>
                <c:pt idx="72">
                  <c:v>0.11708235909410819</c:v>
                </c:pt>
                <c:pt idx="73">
                  <c:v>8.5592500764188437E-2</c:v>
                </c:pt>
                <c:pt idx="74">
                  <c:v>0.10986541085810612</c:v>
                </c:pt>
                <c:pt idx="75">
                  <c:v>8.4838138659263027E-2</c:v>
                </c:pt>
                <c:pt idx="76">
                  <c:v>6.2275920571018828E-2</c:v>
                </c:pt>
                <c:pt idx="77">
                  <c:v>0.11708235909410819</c:v>
                </c:pt>
                <c:pt idx="78">
                  <c:v>0.10178342166770912</c:v>
                </c:pt>
                <c:pt idx="79">
                  <c:v>5.9548232961167867E-2</c:v>
                </c:pt>
                <c:pt idx="80">
                  <c:v>7.5770037221851994E-2</c:v>
                </c:pt>
                <c:pt idx="81">
                  <c:v>0.12245167656335348</c:v>
                </c:pt>
                <c:pt idx="82">
                  <c:v>0.14741392008370538</c:v>
                </c:pt>
                <c:pt idx="83">
                  <c:v>0.11256400531007017</c:v>
                </c:pt>
                <c:pt idx="84">
                  <c:v>8.3603962745572691E-2</c:v>
                </c:pt>
                <c:pt idx="85">
                  <c:v>0.11260603264908639</c:v>
                </c:pt>
                <c:pt idx="86">
                  <c:v>0.1247703719231254</c:v>
                </c:pt>
                <c:pt idx="87">
                  <c:v>0.12813176730580453</c:v>
                </c:pt>
                <c:pt idx="88">
                  <c:v>9.7984675830174187E-2</c:v>
                </c:pt>
                <c:pt idx="89">
                  <c:v>9.5249666849572784E-2</c:v>
                </c:pt>
                <c:pt idx="90">
                  <c:v>0.12130157821002036</c:v>
                </c:pt>
                <c:pt idx="91">
                  <c:v>0.13791760806192971</c:v>
                </c:pt>
                <c:pt idx="92">
                  <c:v>9.808665219238305E-2</c:v>
                </c:pt>
                <c:pt idx="93">
                  <c:v>8.4965657593487662E-2</c:v>
                </c:pt>
                <c:pt idx="94">
                  <c:v>0.12419881938681258</c:v>
                </c:pt>
                <c:pt idx="95">
                  <c:v>0.12362865221489161</c:v>
                </c:pt>
                <c:pt idx="96">
                  <c:v>6.9087706889566003E-2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12-4C78-8FF6-26B5C6B1F158}"/>
            </c:ext>
          </c:extLst>
        </c:ser>
        <c:ser>
          <c:idx val="3"/>
          <c:order val="3"/>
          <c:tx>
            <c:v>Atmospheric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Graphs!$L$9:$L$10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Graphs!$M$9:$M$10</c:f>
              <c:numCache>
                <c:formatCode>General</c:formatCode>
                <c:ptCount val="2"/>
                <c:pt idx="0">
                  <c:v>1.1145054959999999E-2</c:v>
                </c:pt>
                <c:pt idx="1">
                  <c:v>0.66870329759999991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12-4C78-8FF6-26B5C6B1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464144"/>
        <c:axId val="453464472"/>
      </c:scatterChart>
      <c:valAx>
        <c:axId val="453464144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Molecular Carbon Number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464472"/>
        <c:crosses val="autoZero"/>
        <c:crossBetween val="midCat"/>
        <c:majorUnit val="20"/>
      </c:valAx>
      <c:valAx>
        <c:axId val="453464472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{</a:t>
                </a:r>
                <a:r>
                  <a:rPr lang="en-US" sz="1100" b="1" i="0" kern="1200" baseline="30000">
                    <a:solidFill>
                      <a:srgbClr val="000000"/>
                    </a:solidFill>
                    <a:effectLst/>
                  </a:rPr>
                  <a:t>13</a:t>
                </a: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C</a:t>
                </a:r>
                <a:r>
                  <a:rPr lang="en-US" sz="1100" b="1" i="0" kern="1200" baseline="-25000">
                    <a:solidFill>
                      <a:srgbClr val="000000"/>
                    </a:solidFill>
                    <a:effectLst/>
                  </a:rPr>
                  <a:t>1</a:t>
                </a:r>
                <a:r>
                  <a:rPr lang="en-US" sz="1100" b="1" i="0" kern="1200" baseline="30000">
                    <a:solidFill>
                      <a:srgbClr val="000000"/>
                    </a:solidFill>
                    <a:effectLst/>
                  </a:rPr>
                  <a:t>12</a:t>
                </a: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C</a:t>
                </a:r>
                <a:r>
                  <a:rPr lang="en-US" sz="1100" b="1" i="0" kern="1200" baseline="-25000">
                    <a:solidFill>
                      <a:srgbClr val="000000"/>
                    </a:solidFill>
                    <a:effectLst/>
                  </a:rPr>
                  <a:t>(n-1)</a:t>
                </a: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} /</a:t>
                </a:r>
                <a:r>
                  <a:rPr lang="en-US" sz="1100" b="1" i="0" kern="1200" baseline="30000">
                    <a:solidFill>
                      <a:srgbClr val="000000"/>
                    </a:solidFill>
                    <a:effectLst/>
                  </a:rPr>
                  <a:t>12</a:t>
                </a: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C</a:t>
                </a:r>
                <a:r>
                  <a:rPr lang="en-US" sz="1100" b="1" i="0" kern="1200" baseline="-25000">
                    <a:solidFill>
                      <a:srgbClr val="000000"/>
                    </a:solidFill>
                    <a:effectLst/>
                  </a:rPr>
                  <a:t>n</a:t>
                </a: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 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2.1314383236713103E-2"/>
              <c:y val="0.2391560927495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46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268761132709354"/>
          <c:y val="0.45774813180199608"/>
          <c:w val="0.22838408257523996"/>
          <c:h val="0.3277396057976829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Biotic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'Data summary'!$O$8:$O$74</c:f>
              <c:numCache>
                <c:formatCode>General</c:formatCode>
                <c:ptCount val="67"/>
                <c:pt idx="0">
                  <c:v>35</c:v>
                </c:pt>
                <c:pt idx="1">
                  <c:v>43</c:v>
                </c:pt>
                <c:pt idx="2">
                  <c:v>43</c:v>
                </c:pt>
                <c:pt idx="3">
                  <c:v>33</c:v>
                </c:pt>
                <c:pt idx="4">
                  <c:v>15</c:v>
                </c:pt>
                <c:pt idx="5">
                  <c:v>17</c:v>
                </c:pt>
                <c:pt idx="6">
                  <c:v>12</c:v>
                </c:pt>
                <c:pt idx="7">
                  <c:v>14</c:v>
                </c:pt>
                <c:pt idx="8">
                  <c:v>46</c:v>
                </c:pt>
                <c:pt idx="9">
                  <c:v>15</c:v>
                </c:pt>
                <c:pt idx="10">
                  <c:v>35</c:v>
                </c:pt>
                <c:pt idx="11">
                  <c:v>31</c:v>
                </c:pt>
                <c:pt idx="12">
                  <c:v>12</c:v>
                </c:pt>
                <c:pt idx="13">
                  <c:v>32</c:v>
                </c:pt>
                <c:pt idx="14">
                  <c:v>29</c:v>
                </c:pt>
                <c:pt idx="15">
                  <c:v>34</c:v>
                </c:pt>
                <c:pt idx="16">
                  <c:v>34</c:v>
                </c:pt>
                <c:pt idx="17">
                  <c:v>22</c:v>
                </c:pt>
                <c:pt idx="18">
                  <c:v>25</c:v>
                </c:pt>
                <c:pt idx="19">
                  <c:v>22</c:v>
                </c:pt>
                <c:pt idx="20">
                  <c:v>31</c:v>
                </c:pt>
                <c:pt idx="21">
                  <c:v>8</c:v>
                </c:pt>
                <c:pt idx="22">
                  <c:v>15</c:v>
                </c:pt>
                <c:pt idx="23">
                  <c:v>12</c:v>
                </c:pt>
                <c:pt idx="24">
                  <c:v>17</c:v>
                </c:pt>
                <c:pt idx="25">
                  <c:v>14</c:v>
                </c:pt>
                <c:pt idx="26">
                  <c:v>18</c:v>
                </c:pt>
                <c:pt idx="27">
                  <c:v>19</c:v>
                </c:pt>
                <c:pt idx="28">
                  <c:v>17</c:v>
                </c:pt>
                <c:pt idx="29">
                  <c:v>18</c:v>
                </c:pt>
                <c:pt idx="30">
                  <c:v>18</c:v>
                </c:pt>
                <c:pt idx="31">
                  <c:v>16</c:v>
                </c:pt>
                <c:pt idx="32">
                  <c:v>18</c:v>
                </c:pt>
                <c:pt idx="33">
                  <c:v>19</c:v>
                </c:pt>
                <c:pt idx="34">
                  <c:v>17</c:v>
                </c:pt>
                <c:pt idx="35">
                  <c:v>18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12</c:v>
                </c:pt>
                <c:pt idx="40">
                  <c:v>14</c:v>
                </c:pt>
                <c:pt idx="41">
                  <c:v>15</c:v>
                </c:pt>
                <c:pt idx="42">
                  <c:v>12</c:v>
                </c:pt>
                <c:pt idx="43">
                  <c:v>6</c:v>
                </c:pt>
                <c:pt idx="44">
                  <c:v>14</c:v>
                </c:pt>
                <c:pt idx="45">
                  <c:v>15</c:v>
                </c:pt>
                <c:pt idx="46">
                  <c:v>12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12</c:v>
                </c:pt>
                <c:pt idx="51">
                  <c:v>14</c:v>
                </c:pt>
                <c:pt idx="52">
                  <c:v>15</c:v>
                </c:pt>
                <c:pt idx="53">
                  <c:v>15</c:v>
                </c:pt>
                <c:pt idx="54">
                  <c:v>46</c:v>
                </c:pt>
                <c:pt idx="55">
                  <c:v>49</c:v>
                </c:pt>
                <c:pt idx="56">
                  <c:v>52</c:v>
                </c:pt>
                <c:pt idx="57">
                  <c:v>49</c:v>
                </c:pt>
                <c:pt idx="58">
                  <c:v>52</c:v>
                </c:pt>
                <c:pt idx="59">
                  <c:v>41</c:v>
                </c:pt>
                <c:pt idx="60">
                  <c:v>10</c:v>
                </c:pt>
                <c:pt idx="61">
                  <c:v>7</c:v>
                </c:pt>
                <c:pt idx="62">
                  <c:v>11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7</c:v>
                </c:pt>
              </c:numCache>
            </c:numRef>
          </c:xVal>
          <c:yVal>
            <c:numRef>
              <c:f>'Data summary'!$L$8:$L$74</c:f>
              <c:numCache>
                <c:formatCode>0.000000</c:formatCode>
                <c:ptCount val="67"/>
                <c:pt idx="0">
                  <c:v>1.1171643936354643E-2</c:v>
                </c:pt>
                <c:pt idx="1">
                  <c:v>1.1213041121154609E-2</c:v>
                </c:pt>
                <c:pt idx="2">
                  <c:v>1.1005884191692928E-2</c:v>
                </c:pt>
                <c:pt idx="3">
                  <c:v>1.1257126139623878E-2</c:v>
                </c:pt>
                <c:pt idx="4">
                  <c:v>1.2537388972216084E-2</c:v>
                </c:pt>
                <c:pt idx="5">
                  <c:v>1.0987618492285965E-2</c:v>
                </c:pt>
                <c:pt idx="6">
                  <c:v>1.1751037527277663E-2</c:v>
                </c:pt>
                <c:pt idx="7">
                  <c:v>1.1666401087442999E-2</c:v>
                </c:pt>
                <c:pt idx="8">
                  <c:v>1.133106953514226E-2</c:v>
                </c:pt>
                <c:pt idx="9">
                  <c:v>1.1320121098870338E-2</c:v>
                </c:pt>
                <c:pt idx="10">
                  <c:v>1.2117031215669333E-2</c:v>
                </c:pt>
                <c:pt idx="11">
                  <c:v>1.0511570107990914E-2</c:v>
                </c:pt>
                <c:pt idx="12">
                  <c:v>1.1413692350907013E-2</c:v>
                </c:pt>
                <c:pt idx="13">
                  <c:v>1.0880944378074587E-2</c:v>
                </c:pt>
                <c:pt idx="14">
                  <c:v>1.0840538405859291E-2</c:v>
                </c:pt>
                <c:pt idx="15">
                  <c:v>1.0923327394431918E-2</c:v>
                </c:pt>
                <c:pt idx="16">
                  <c:v>1.1265881036575878E-2</c:v>
                </c:pt>
                <c:pt idx="17">
                  <c:v>1.102172818402543E-2</c:v>
                </c:pt>
                <c:pt idx="18">
                  <c:v>1.1112465412963521E-2</c:v>
                </c:pt>
                <c:pt idx="19">
                  <c:v>1.1386792099761211E-2</c:v>
                </c:pt>
                <c:pt idx="20">
                  <c:v>1.0836122150761936E-2</c:v>
                </c:pt>
                <c:pt idx="21">
                  <c:v>1.0139148941119006E-2</c:v>
                </c:pt>
                <c:pt idx="22">
                  <c:v>9.8756365968614371E-3</c:v>
                </c:pt>
                <c:pt idx="23">
                  <c:v>1.0280445055935393E-2</c:v>
                </c:pt>
                <c:pt idx="24">
                  <c:v>1.0468575376021567E-2</c:v>
                </c:pt>
                <c:pt idx="25">
                  <c:v>1.0187717175107146E-2</c:v>
                </c:pt>
                <c:pt idx="26">
                  <c:v>1.2277326599140917E-2</c:v>
                </c:pt>
                <c:pt idx="27">
                  <c:v>1.1924424366397906E-2</c:v>
                </c:pt>
                <c:pt idx="28">
                  <c:v>1.1088744156141833E-2</c:v>
                </c:pt>
                <c:pt idx="29">
                  <c:v>1.0893477074045341E-2</c:v>
                </c:pt>
                <c:pt idx="30">
                  <c:v>1.1199017679388593E-2</c:v>
                </c:pt>
                <c:pt idx="31">
                  <c:v>1.144595205148791E-2</c:v>
                </c:pt>
                <c:pt idx="32">
                  <c:v>1.3132745844804406E-2</c:v>
                </c:pt>
                <c:pt idx="33">
                  <c:v>1.2427345892616411E-2</c:v>
                </c:pt>
                <c:pt idx="34">
                  <c:v>1.1363055640141194E-2</c:v>
                </c:pt>
                <c:pt idx="35">
                  <c:v>1.1133976439503999E-2</c:v>
                </c:pt>
                <c:pt idx="36">
                  <c:v>1.0733219713126518E-2</c:v>
                </c:pt>
                <c:pt idx="37">
                  <c:v>1.0950143286488787E-2</c:v>
                </c:pt>
                <c:pt idx="38">
                  <c:v>1.082101265204837E-2</c:v>
                </c:pt>
                <c:pt idx="39">
                  <c:v>1.1590957214988274E-2</c:v>
                </c:pt>
                <c:pt idx="40">
                  <c:v>1.0862745490654097E-2</c:v>
                </c:pt>
                <c:pt idx="41">
                  <c:v>1.1249984810068673E-2</c:v>
                </c:pt>
                <c:pt idx="42">
                  <c:v>1.1703483165763711E-2</c:v>
                </c:pt>
                <c:pt idx="43">
                  <c:v>1.1437736326042695E-2</c:v>
                </c:pt>
                <c:pt idx="44">
                  <c:v>1.1921372863099858E-2</c:v>
                </c:pt>
                <c:pt idx="45">
                  <c:v>1.1305487405156807E-2</c:v>
                </c:pt>
                <c:pt idx="46">
                  <c:v>1.1613073101531908E-2</c:v>
                </c:pt>
                <c:pt idx="47">
                  <c:v>1.1718627022902916E-2</c:v>
                </c:pt>
                <c:pt idx="48">
                  <c:v>1.107374913641856E-2</c:v>
                </c:pt>
                <c:pt idx="49">
                  <c:v>1.192162207406198E-2</c:v>
                </c:pt>
                <c:pt idx="50">
                  <c:v>1.2039060446825754E-2</c:v>
                </c:pt>
                <c:pt idx="51">
                  <c:v>1.2065751358833863E-2</c:v>
                </c:pt>
                <c:pt idx="52">
                  <c:v>1.1331578268254048E-2</c:v>
                </c:pt>
                <c:pt idx="53">
                  <c:v>1.1000108211723968E-2</c:v>
                </c:pt>
                <c:pt idx="54">
                  <c:v>1.100750196436193E-2</c:v>
                </c:pt>
                <c:pt idx="55">
                  <c:v>1.0742017667882712E-2</c:v>
                </c:pt>
                <c:pt idx="56">
                  <c:v>1.1082907530539284E-2</c:v>
                </c:pt>
                <c:pt idx="57">
                  <c:v>1.122123535360461E-2</c:v>
                </c:pt>
                <c:pt idx="58">
                  <c:v>1.0707874650280187E-2</c:v>
                </c:pt>
                <c:pt idx="59">
                  <c:v>1.0449563650969511E-2</c:v>
                </c:pt>
                <c:pt idx="60">
                  <c:v>1.1873036410455687E-2</c:v>
                </c:pt>
                <c:pt idx="61">
                  <c:v>1.1261477592946679E-2</c:v>
                </c:pt>
                <c:pt idx="62">
                  <c:v>1.0809651744162839E-2</c:v>
                </c:pt>
                <c:pt idx="63">
                  <c:v>1.1197843142477485E-2</c:v>
                </c:pt>
                <c:pt idx="64">
                  <c:v>1.0989519015392964E-2</c:v>
                </c:pt>
                <c:pt idx="65">
                  <c:v>1.1280348314384837E-2</c:v>
                </c:pt>
                <c:pt idx="66">
                  <c:v>1.0862782212136199E-2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99-4EA1-8304-E5EDAA9F7394}"/>
            </c:ext>
          </c:extLst>
        </c:ser>
        <c:ser>
          <c:idx val="1"/>
          <c:order val="1"/>
          <c:tx>
            <c:v>NOM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'Data summary'!$O$75:$O$91</c:f>
              <c:numCache>
                <c:formatCode>General</c:formatCode>
                <c:ptCount val="17"/>
                <c:pt idx="0">
                  <c:v>12</c:v>
                </c:pt>
                <c:pt idx="1">
                  <c:v>25</c:v>
                </c:pt>
                <c:pt idx="2">
                  <c:v>25</c:v>
                </c:pt>
                <c:pt idx="3">
                  <c:v>8</c:v>
                </c:pt>
                <c:pt idx="4">
                  <c:v>23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9</c:v>
                </c:pt>
                <c:pt idx="11">
                  <c:v>18</c:v>
                </c:pt>
                <c:pt idx="12">
                  <c:v>18</c:v>
                </c:pt>
                <c:pt idx="13">
                  <c:v>10</c:v>
                </c:pt>
                <c:pt idx="14">
                  <c:v>18</c:v>
                </c:pt>
                <c:pt idx="15">
                  <c:v>9</c:v>
                </c:pt>
                <c:pt idx="16">
                  <c:v>18</c:v>
                </c:pt>
              </c:numCache>
            </c:numRef>
          </c:xVal>
          <c:yVal>
            <c:numRef>
              <c:f>'Data summary'!$L$75:$L$91</c:f>
              <c:numCache>
                <c:formatCode>0.000000</c:formatCode>
                <c:ptCount val="17"/>
                <c:pt idx="0">
                  <c:v>1.4086997553492417E-2</c:v>
                </c:pt>
                <c:pt idx="1">
                  <c:v>1.2526792188327999E-2</c:v>
                </c:pt>
                <c:pt idx="2">
                  <c:v>1.1641302340797709E-2</c:v>
                </c:pt>
                <c:pt idx="3">
                  <c:v>1.738960561226828E-2</c:v>
                </c:pt>
                <c:pt idx="4">
                  <c:v>1.1215148486475949E-2</c:v>
                </c:pt>
                <c:pt idx="5">
                  <c:v>1.4898545972100592E-2</c:v>
                </c:pt>
                <c:pt idx="6">
                  <c:v>1.4673213099464642E-2</c:v>
                </c:pt>
                <c:pt idx="7">
                  <c:v>1.1539973907530237E-2</c:v>
                </c:pt>
                <c:pt idx="8">
                  <c:v>1.0387605294472418E-2</c:v>
                </c:pt>
                <c:pt idx="9">
                  <c:v>1.1169268730166338E-2</c:v>
                </c:pt>
                <c:pt idx="10">
                  <c:v>1.124413241128653E-2</c:v>
                </c:pt>
                <c:pt idx="11">
                  <c:v>9.4029432876080715E-3</c:v>
                </c:pt>
                <c:pt idx="12">
                  <c:v>1.4913280352933576E-2</c:v>
                </c:pt>
                <c:pt idx="13">
                  <c:v>1.0255897188075749E-2</c:v>
                </c:pt>
                <c:pt idx="14">
                  <c:v>8.8813817087537734E-3</c:v>
                </c:pt>
                <c:pt idx="15">
                  <c:v>9.8234325901541217E-3</c:v>
                </c:pt>
                <c:pt idx="16">
                  <c:v>1.0115009607451394E-2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99-4EA1-8304-E5EDAA9F7394}"/>
            </c:ext>
          </c:extLst>
        </c:ser>
        <c:ser>
          <c:idx val="2"/>
          <c:order val="2"/>
          <c:tx>
            <c:v>Anthropogenic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('Data summary'!$O$97:$O$142,'Data summary'!$O$147:$O$197)</c:f>
              <c:numCache>
                <c:formatCode>General</c:formatCode>
                <c:ptCount val="97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28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20</c:v>
                </c:pt>
                <c:pt idx="23">
                  <c:v>18</c:v>
                </c:pt>
                <c:pt idx="24">
                  <c:v>17</c:v>
                </c:pt>
                <c:pt idx="25">
                  <c:v>17</c:v>
                </c:pt>
                <c:pt idx="26">
                  <c:v>18</c:v>
                </c:pt>
                <c:pt idx="27">
                  <c:v>20</c:v>
                </c:pt>
                <c:pt idx="28">
                  <c:v>24</c:v>
                </c:pt>
                <c:pt idx="29">
                  <c:v>8</c:v>
                </c:pt>
                <c:pt idx="30">
                  <c:v>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9</c:v>
                </c:pt>
                <c:pt idx="36">
                  <c:v>12</c:v>
                </c:pt>
                <c:pt idx="37">
                  <c:v>9</c:v>
                </c:pt>
                <c:pt idx="38">
                  <c:v>2</c:v>
                </c:pt>
                <c:pt idx="39">
                  <c:v>9</c:v>
                </c:pt>
                <c:pt idx="40">
                  <c:v>15</c:v>
                </c:pt>
                <c:pt idx="41">
                  <c:v>10</c:v>
                </c:pt>
                <c:pt idx="42">
                  <c:v>9</c:v>
                </c:pt>
                <c:pt idx="43">
                  <c:v>9</c:v>
                </c:pt>
                <c:pt idx="44">
                  <c:v>7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8</c:v>
                </c:pt>
                <c:pt idx="49">
                  <c:v>11</c:v>
                </c:pt>
                <c:pt idx="50">
                  <c:v>10</c:v>
                </c:pt>
                <c:pt idx="51">
                  <c:v>8</c:v>
                </c:pt>
                <c:pt idx="52">
                  <c:v>8</c:v>
                </c:pt>
                <c:pt idx="53">
                  <c:v>10</c:v>
                </c:pt>
                <c:pt idx="54">
                  <c:v>12</c:v>
                </c:pt>
                <c:pt idx="55">
                  <c:v>9</c:v>
                </c:pt>
                <c:pt idx="56">
                  <c:v>8</c:v>
                </c:pt>
                <c:pt idx="57">
                  <c:v>11</c:v>
                </c:pt>
                <c:pt idx="58">
                  <c:v>10</c:v>
                </c:pt>
                <c:pt idx="59">
                  <c:v>12</c:v>
                </c:pt>
                <c:pt idx="60">
                  <c:v>8</c:v>
                </c:pt>
                <c:pt idx="61">
                  <c:v>13</c:v>
                </c:pt>
                <c:pt idx="62">
                  <c:v>11</c:v>
                </c:pt>
                <c:pt idx="63">
                  <c:v>9</c:v>
                </c:pt>
                <c:pt idx="64">
                  <c:v>8</c:v>
                </c:pt>
                <c:pt idx="65">
                  <c:v>9</c:v>
                </c:pt>
                <c:pt idx="66">
                  <c:v>9</c:v>
                </c:pt>
                <c:pt idx="67">
                  <c:v>12</c:v>
                </c:pt>
                <c:pt idx="68">
                  <c:v>9</c:v>
                </c:pt>
                <c:pt idx="69">
                  <c:v>9</c:v>
                </c:pt>
                <c:pt idx="70">
                  <c:v>24</c:v>
                </c:pt>
                <c:pt idx="71">
                  <c:v>9</c:v>
                </c:pt>
                <c:pt idx="72">
                  <c:v>12</c:v>
                </c:pt>
                <c:pt idx="73">
                  <c:v>9</c:v>
                </c:pt>
                <c:pt idx="74">
                  <c:v>13</c:v>
                </c:pt>
                <c:pt idx="75">
                  <c:v>9</c:v>
                </c:pt>
                <c:pt idx="76">
                  <c:v>8</c:v>
                </c:pt>
                <c:pt idx="77">
                  <c:v>12</c:v>
                </c:pt>
                <c:pt idx="78">
                  <c:v>13</c:v>
                </c:pt>
                <c:pt idx="79">
                  <c:v>8</c:v>
                </c:pt>
                <c:pt idx="80">
                  <c:v>10</c:v>
                </c:pt>
                <c:pt idx="81">
                  <c:v>13</c:v>
                </c:pt>
                <c:pt idx="82">
                  <c:v>13</c:v>
                </c:pt>
                <c:pt idx="83">
                  <c:v>11</c:v>
                </c:pt>
                <c:pt idx="84">
                  <c:v>10</c:v>
                </c:pt>
                <c:pt idx="85">
                  <c:v>9</c:v>
                </c:pt>
                <c:pt idx="86">
                  <c:v>13</c:v>
                </c:pt>
                <c:pt idx="87">
                  <c:v>13</c:v>
                </c:pt>
                <c:pt idx="88">
                  <c:v>10</c:v>
                </c:pt>
                <c:pt idx="89">
                  <c:v>9</c:v>
                </c:pt>
                <c:pt idx="90">
                  <c:v>13</c:v>
                </c:pt>
                <c:pt idx="91">
                  <c:v>13</c:v>
                </c:pt>
                <c:pt idx="92">
                  <c:v>10</c:v>
                </c:pt>
                <c:pt idx="93">
                  <c:v>13</c:v>
                </c:pt>
                <c:pt idx="94">
                  <c:v>13</c:v>
                </c:pt>
                <c:pt idx="95">
                  <c:v>11</c:v>
                </c:pt>
                <c:pt idx="96">
                  <c:v>8</c:v>
                </c:pt>
              </c:numCache>
            </c:numRef>
          </c:xVal>
          <c:yVal>
            <c:numRef>
              <c:f>('Data summary'!$L$97:$L$142,'Data summary'!$L$147:$L$197)</c:f>
              <c:numCache>
                <c:formatCode>0.000000</c:formatCode>
                <c:ptCount val="97"/>
                <c:pt idx="0">
                  <c:v>9.2864758449329038E-3</c:v>
                </c:pt>
                <c:pt idx="1">
                  <c:v>1.151274988665817E-2</c:v>
                </c:pt>
                <c:pt idx="2">
                  <c:v>9.6672363889461384E-3</c:v>
                </c:pt>
                <c:pt idx="3">
                  <c:v>1.0493646045687503E-2</c:v>
                </c:pt>
                <c:pt idx="4">
                  <c:v>1.1321948903954528E-2</c:v>
                </c:pt>
                <c:pt idx="5">
                  <c:v>9.4998237279822102E-3</c:v>
                </c:pt>
                <c:pt idx="6">
                  <c:v>9.6341746723697351E-3</c:v>
                </c:pt>
                <c:pt idx="7">
                  <c:v>9.6058034572662262E-3</c:v>
                </c:pt>
                <c:pt idx="8">
                  <c:v>1.0835115803031347E-2</c:v>
                </c:pt>
                <c:pt idx="9">
                  <c:v>5.3711705837512988E-3</c:v>
                </c:pt>
                <c:pt idx="10">
                  <c:v>1.1632958796683992E-2</c:v>
                </c:pt>
                <c:pt idx="11">
                  <c:v>1.1198169745761422E-2</c:v>
                </c:pt>
                <c:pt idx="12">
                  <c:v>1.0383696708279355E-2</c:v>
                </c:pt>
                <c:pt idx="13">
                  <c:v>1.1234122060315068E-2</c:v>
                </c:pt>
                <c:pt idx="14">
                  <c:v>1.144097075713609E-2</c:v>
                </c:pt>
                <c:pt idx="15">
                  <c:v>1.0041153063577946E-2</c:v>
                </c:pt>
                <c:pt idx="16">
                  <c:v>1.127339964689693E-2</c:v>
                </c:pt>
                <c:pt idx="17">
                  <c:v>1.0752633874662304E-2</c:v>
                </c:pt>
                <c:pt idx="18">
                  <c:v>1.1586562345790806E-2</c:v>
                </c:pt>
                <c:pt idx="19">
                  <c:v>1.1196897409524219E-2</c:v>
                </c:pt>
                <c:pt idx="20">
                  <c:v>1.1775986051258179E-2</c:v>
                </c:pt>
                <c:pt idx="21">
                  <c:v>9.9132382804151577E-3</c:v>
                </c:pt>
                <c:pt idx="22">
                  <c:v>1.0187699718834266E-2</c:v>
                </c:pt>
                <c:pt idx="23">
                  <c:v>1.0738845614835577E-2</c:v>
                </c:pt>
                <c:pt idx="24">
                  <c:v>1.1469071158858889E-2</c:v>
                </c:pt>
                <c:pt idx="25">
                  <c:v>1.2703165758562675E-2</c:v>
                </c:pt>
                <c:pt idx="26">
                  <c:v>1.0267468895869941E-2</c:v>
                </c:pt>
                <c:pt idx="27">
                  <c:v>1.1956171505543066E-2</c:v>
                </c:pt>
                <c:pt idx="28">
                  <c:v>1.114078584721208E-2</c:v>
                </c:pt>
                <c:pt idx="29">
                  <c:v>1.3510683151292249E-2</c:v>
                </c:pt>
                <c:pt idx="30">
                  <c:v>1.4118732681051788E-2</c:v>
                </c:pt>
                <c:pt idx="31">
                  <c:v>1.2137944370221948E-2</c:v>
                </c:pt>
                <c:pt idx="32">
                  <c:v>1.2879937411231696E-2</c:v>
                </c:pt>
                <c:pt idx="33">
                  <c:v>1.3753544984054469E-2</c:v>
                </c:pt>
                <c:pt idx="34">
                  <c:v>1.2657140558347225E-2</c:v>
                </c:pt>
                <c:pt idx="35">
                  <c:v>1.2282048786312838E-2</c:v>
                </c:pt>
                <c:pt idx="36">
                  <c:v>1.2555431562767899E-2</c:v>
                </c:pt>
                <c:pt idx="37">
                  <c:v>1.2218008789486019E-2</c:v>
                </c:pt>
                <c:pt idx="38">
                  <c:v>1.0887911145643315E-2</c:v>
                </c:pt>
                <c:pt idx="39">
                  <c:v>1.2614241716045669E-2</c:v>
                </c:pt>
                <c:pt idx="40">
                  <c:v>1.1358605832340354E-2</c:v>
                </c:pt>
                <c:pt idx="41">
                  <c:v>1.2089548743602666E-2</c:v>
                </c:pt>
                <c:pt idx="42">
                  <c:v>1.2278611273953237E-2</c:v>
                </c:pt>
                <c:pt idx="43">
                  <c:v>1.3358578121151099E-2</c:v>
                </c:pt>
                <c:pt idx="44">
                  <c:v>1.3940044031439933E-2</c:v>
                </c:pt>
                <c:pt idx="45">
                  <c:v>1.3370789386495319E-2</c:v>
                </c:pt>
                <c:pt idx="46">
                  <c:v>8.997339613589778E-3</c:v>
                </c:pt>
                <c:pt idx="47">
                  <c:v>1.1942554799697656E-2</c:v>
                </c:pt>
                <c:pt idx="48">
                  <c:v>1.1022767936248123E-2</c:v>
                </c:pt>
                <c:pt idx="49">
                  <c:v>9.4160450831520838E-3</c:v>
                </c:pt>
                <c:pt idx="50">
                  <c:v>9.8547945205479451E-3</c:v>
                </c:pt>
                <c:pt idx="51">
                  <c:v>1.0771961171018016E-2</c:v>
                </c:pt>
                <c:pt idx="52">
                  <c:v>1.0594544346712078E-2</c:v>
                </c:pt>
                <c:pt idx="53">
                  <c:v>1.0816422370855273E-2</c:v>
                </c:pt>
                <c:pt idx="54">
                  <c:v>1.2115487513240224E-2</c:v>
                </c:pt>
                <c:pt idx="55">
                  <c:v>1.2017204786678275E-2</c:v>
                </c:pt>
                <c:pt idx="56">
                  <c:v>1.206591441021445E-2</c:v>
                </c:pt>
                <c:pt idx="57">
                  <c:v>1.1672575665453282E-2</c:v>
                </c:pt>
                <c:pt idx="58">
                  <c:v>1.1376394514318199E-2</c:v>
                </c:pt>
                <c:pt idx="59">
                  <c:v>6.0016226401213091E-3</c:v>
                </c:pt>
                <c:pt idx="60">
                  <c:v>9.1261050431190628E-3</c:v>
                </c:pt>
                <c:pt idx="61">
                  <c:v>1.0144033503536067E-2</c:v>
                </c:pt>
                <c:pt idx="62">
                  <c:v>1.0597390591484348E-2</c:v>
                </c:pt>
                <c:pt idx="63">
                  <c:v>1.0770935121305433E-2</c:v>
                </c:pt>
                <c:pt idx="64">
                  <c:v>9.7823211697352329E-3</c:v>
                </c:pt>
                <c:pt idx="65">
                  <c:v>8.1677651989914453E-3</c:v>
                </c:pt>
                <c:pt idx="66">
                  <c:v>1.0031380409331559E-2</c:v>
                </c:pt>
                <c:pt idx="67">
                  <c:v>9.7546376393088333E-3</c:v>
                </c:pt>
                <c:pt idx="68">
                  <c:v>1.0078978512848877E-2</c:v>
                </c:pt>
                <c:pt idx="69">
                  <c:v>1.0852819790833492E-2</c:v>
                </c:pt>
                <c:pt idx="70">
                  <c:v>1.151237214583121E-2</c:v>
                </c:pt>
                <c:pt idx="71">
                  <c:v>1.0862713146797312E-2</c:v>
                </c:pt>
                <c:pt idx="72">
                  <c:v>9.7568632578423492E-3</c:v>
                </c:pt>
                <c:pt idx="73">
                  <c:v>9.5102778626876047E-3</c:v>
                </c:pt>
                <c:pt idx="74">
                  <c:v>8.4511854506235488E-3</c:v>
                </c:pt>
                <c:pt idx="75">
                  <c:v>9.4264598510292244E-3</c:v>
                </c:pt>
                <c:pt idx="76">
                  <c:v>7.7844900713773535E-3</c:v>
                </c:pt>
                <c:pt idx="77">
                  <c:v>9.7568632578423492E-3</c:v>
                </c:pt>
                <c:pt idx="78">
                  <c:v>7.8294939744391629E-3</c:v>
                </c:pt>
                <c:pt idx="79">
                  <c:v>7.4435291201459834E-3</c:v>
                </c:pt>
                <c:pt idx="80">
                  <c:v>7.5770037221851994E-3</c:v>
                </c:pt>
                <c:pt idx="81">
                  <c:v>9.419359735642575E-3</c:v>
                </c:pt>
                <c:pt idx="82">
                  <c:v>1.1339532314131182E-2</c:v>
                </c:pt>
                <c:pt idx="83">
                  <c:v>1.023309139182456E-2</c:v>
                </c:pt>
                <c:pt idx="84">
                  <c:v>8.3603962745572684E-3</c:v>
                </c:pt>
                <c:pt idx="85">
                  <c:v>1.2511781405454043E-2</c:v>
                </c:pt>
                <c:pt idx="86">
                  <c:v>9.5977209171634915E-3</c:v>
                </c:pt>
                <c:pt idx="87">
                  <c:v>9.8562897927541946E-3</c:v>
                </c:pt>
                <c:pt idx="88">
                  <c:v>9.798467583017419E-3</c:v>
                </c:pt>
                <c:pt idx="89">
                  <c:v>1.0583296316619199E-2</c:v>
                </c:pt>
                <c:pt idx="90">
                  <c:v>9.3308906315400265E-3</c:v>
                </c:pt>
                <c:pt idx="91">
                  <c:v>1.0609046773994593E-2</c:v>
                </c:pt>
                <c:pt idx="92">
                  <c:v>9.8086652192383057E-3</c:v>
                </c:pt>
                <c:pt idx="93">
                  <c:v>6.5358198148836666E-3</c:v>
                </c:pt>
                <c:pt idx="94">
                  <c:v>9.5537553374471212E-3</c:v>
                </c:pt>
                <c:pt idx="95">
                  <c:v>1.1238968383171965E-2</c:v>
                </c:pt>
                <c:pt idx="96">
                  <c:v>8.6359633611957504E-3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99-4EA1-8304-E5EDAA9F7394}"/>
            </c:ext>
          </c:extLst>
        </c:ser>
        <c:ser>
          <c:idx val="3"/>
          <c:order val="3"/>
          <c:tx>
            <c:v>Atmospheric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Graphs!$L$9:$L$10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Graphs!$N$9:$N$10</c:f>
              <c:numCache>
                <c:formatCode>General</c:formatCode>
                <c:ptCount val="2"/>
                <c:pt idx="0">
                  <c:v>1.1145054959999999E-2</c:v>
                </c:pt>
                <c:pt idx="1">
                  <c:v>1.1145054959999999E-2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99-4EA1-8304-E5EDAA9F7394}"/>
            </c:ext>
          </c:extLst>
        </c:ser>
        <c:ser>
          <c:idx val="4"/>
          <c:order val="4"/>
          <c:tx>
            <c:v>max</c:v>
          </c:tx>
          <c:spPr>
            <a:ln w="158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Graphs!$L$31:$L$32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Graphs!$M$31:$M$32</c:f>
              <c:numCache>
                <c:formatCode>General</c:formatCode>
                <c:ptCount val="2"/>
                <c:pt idx="0">
                  <c:v>1.3132745844804406E-2</c:v>
                </c:pt>
                <c:pt idx="1">
                  <c:v>1.3132745844804406E-2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99-4EA1-8304-E5EDAA9F7394}"/>
            </c:ext>
          </c:extLst>
        </c:ser>
        <c:ser>
          <c:idx val="5"/>
          <c:order val="5"/>
          <c:tx>
            <c:v>Min</c:v>
          </c:tx>
          <c:spPr>
            <a:ln w="158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5875" cap="rnd">
                <a:solidFill>
                  <a:srgbClr val="92D05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39F-4787-BAA0-5AB6E66E9955}"/>
              </c:ext>
            </c:extLst>
          </c:dPt>
          <c:xVal>
            <c:numRef>
              <c:f>Graphs!$L$31:$L$32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Graphs!$N$31:$N$32</c:f>
              <c:numCache>
                <c:formatCode>General</c:formatCode>
                <c:ptCount val="2"/>
                <c:pt idx="0">
                  <c:v>9.8756365968614371E-3</c:v>
                </c:pt>
                <c:pt idx="1">
                  <c:v>9.8756365968614371E-3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99-4EA1-8304-E5EDAA9F7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464144"/>
        <c:axId val="453464472"/>
      </c:scatterChart>
      <c:valAx>
        <c:axId val="453464144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Molecular Carbon Number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464472"/>
        <c:crosses val="autoZero"/>
        <c:crossBetween val="midCat"/>
        <c:majorUnit val="20"/>
      </c:valAx>
      <c:valAx>
        <c:axId val="45346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Reservoir </a:t>
                </a:r>
                <a:r>
                  <a:rPr lang="en-US" sz="1100" b="1" i="0" kern="1200" baseline="30000">
                    <a:solidFill>
                      <a:srgbClr val="000000"/>
                    </a:solidFill>
                    <a:effectLst/>
                  </a:rPr>
                  <a:t>13</a:t>
                </a: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C/</a:t>
                </a:r>
                <a:r>
                  <a:rPr lang="en-US" sz="1100" b="1" i="0" kern="1200" baseline="30000">
                    <a:solidFill>
                      <a:srgbClr val="000000"/>
                    </a:solidFill>
                    <a:effectLst/>
                  </a:rPr>
                  <a:t>12</a:t>
                </a:r>
                <a:r>
                  <a:rPr lang="en-US" sz="1100" b="1" i="0" kern="1200" baseline="0">
                    <a:solidFill>
                      <a:srgbClr val="000000"/>
                    </a:solidFill>
                    <a:effectLst/>
                  </a:rPr>
                  <a:t>C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1.8946118432633868E-2"/>
              <c:y val="0.230663523747429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46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50055474221501206"/>
          <c:y val="0.45774813180199608"/>
          <c:w val="0.22557940783717825"/>
          <c:h val="0.3277396057976829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33189579217793"/>
          <c:y val="4.5275514473734263E-2"/>
          <c:w val="0.81575526557413536"/>
          <c:h val="0.54560340826961851"/>
        </c:manualLayout>
      </c:layout>
      <c:stockChart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Graphs!$L$63:$L$76</c:f>
              <c:strCache>
                <c:ptCount val="14"/>
                <c:pt idx="0">
                  <c:v>C3 Plants(n=26)</c:v>
                </c:pt>
                <c:pt idx="1">
                  <c:v>C4 Plants(n=20)</c:v>
                </c:pt>
                <c:pt idx="2">
                  <c:v>CAM Plant(n=7)</c:v>
                </c:pt>
                <c:pt idx="3">
                  <c:v>Cyanobacteria(n=7)</c:v>
                </c:pt>
                <c:pt idx="4">
                  <c:v>Animal(n=7)</c:v>
                </c:pt>
                <c:pt idx="5">
                  <c:v>Soil NOM(n=7)</c:v>
                </c:pt>
                <c:pt idx="6">
                  <c:v>Dust NOM(n=10)</c:v>
                </c:pt>
                <c:pt idx="7">
                  <c:v>Dust anthros(n=18)</c:v>
                </c:pt>
                <c:pt idx="8">
                  <c:v>Pesticides(n=17)</c:v>
                </c:pt>
                <c:pt idx="9">
                  <c:v>PFAS Standards(n=8)</c:v>
                </c:pt>
                <c:pt idx="10">
                  <c:v>PFASs in Soil(n=17)</c:v>
                </c:pt>
                <c:pt idx="11">
                  <c:v>Sunscreen Products(n=21)</c:v>
                </c:pt>
                <c:pt idx="12">
                  <c:v>WW sunscreens(n=8)</c:v>
                </c:pt>
                <c:pt idx="13">
                  <c:v>WW preservatives (n=8)</c:v>
                </c:pt>
              </c:strCache>
            </c:strRef>
          </c:cat>
          <c:val>
            <c:numRef>
              <c:f>Graphs!$Q$63:$Q$76</c:f>
              <c:numCache>
                <c:formatCode>General</c:formatCode>
                <c:ptCount val="14"/>
                <c:pt idx="0">
                  <c:v>1.1660019035645465E-2</c:v>
                </c:pt>
                <c:pt idx="1">
                  <c:v>1.2087321345125303E-2</c:v>
                </c:pt>
                <c:pt idx="2">
                  <c:v>1.2052654197259639E-2</c:v>
                </c:pt>
                <c:pt idx="3">
                  <c:v>1.1152476801097847E-2</c:v>
                </c:pt>
                <c:pt idx="4">
                  <c:v>1.1540647519293267E-2</c:v>
                </c:pt>
                <c:pt idx="5">
                  <c:v>1.5932150945675436E-2</c:v>
                </c:pt>
                <c:pt idx="6">
                  <c:v>1.2450426085979431E-2</c:v>
                </c:pt>
                <c:pt idx="7">
                  <c:v>1.0660061932153525E-2</c:v>
                </c:pt>
                <c:pt idx="8">
                  <c:v>1.35946652210593E-2</c:v>
                </c:pt>
                <c:pt idx="9">
                  <c:v>1.0998558477251317E-2</c:v>
                </c:pt>
                <c:pt idx="10">
                  <c:v>1.2046141829655811E-2</c:v>
                </c:pt>
                <c:pt idx="11">
                  <c:v>1.223896625810895E-2</c:v>
                </c:pt>
                <c:pt idx="12">
                  <c:v>1.0922492617165066E-2</c:v>
                </c:pt>
                <c:pt idx="13">
                  <c:v>1.1492937100980571E-2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B-46CA-BF2B-5B14EC479C08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Graphs!$L$63:$L$76</c:f>
              <c:strCache>
                <c:ptCount val="14"/>
                <c:pt idx="0">
                  <c:v>C3 Plants(n=26)</c:v>
                </c:pt>
                <c:pt idx="1">
                  <c:v>C4 Plants(n=20)</c:v>
                </c:pt>
                <c:pt idx="2">
                  <c:v>CAM Plant(n=7)</c:v>
                </c:pt>
                <c:pt idx="3">
                  <c:v>Cyanobacteria(n=7)</c:v>
                </c:pt>
                <c:pt idx="4">
                  <c:v>Animal(n=7)</c:v>
                </c:pt>
                <c:pt idx="5">
                  <c:v>Soil NOM(n=7)</c:v>
                </c:pt>
                <c:pt idx="6">
                  <c:v>Dust NOM(n=10)</c:v>
                </c:pt>
                <c:pt idx="7">
                  <c:v>Dust anthros(n=18)</c:v>
                </c:pt>
                <c:pt idx="8">
                  <c:v>Pesticides(n=17)</c:v>
                </c:pt>
                <c:pt idx="9">
                  <c:v>PFAS Standards(n=8)</c:v>
                </c:pt>
                <c:pt idx="10">
                  <c:v>PFASs in Soil(n=17)</c:v>
                </c:pt>
                <c:pt idx="11">
                  <c:v>Sunscreen Products(n=21)</c:v>
                </c:pt>
                <c:pt idx="12">
                  <c:v>WW sunscreens(n=8)</c:v>
                </c:pt>
                <c:pt idx="13">
                  <c:v>WW preservatives (n=8)</c:v>
                </c:pt>
              </c:strCache>
            </c:strRef>
          </c:cat>
          <c:val>
            <c:numRef>
              <c:f>Graphs!$O$63:$O$76</c:f>
              <c:numCache>
                <c:formatCode>General</c:formatCode>
                <c:ptCount val="14"/>
                <c:pt idx="0">
                  <c:v>1.1057805691697191E-2</c:v>
                </c:pt>
                <c:pt idx="1">
                  <c:v>1.1473110433555315E-2</c:v>
                </c:pt>
                <c:pt idx="2">
                  <c:v>1.1680494486975576E-2</c:v>
                </c:pt>
                <c:pt idx="3">
                  <c:v>1.088731557562317E-2</c:v>
                </c:pt>
                <c:pt idx="4">
                  <c:v>1.1182094061708099E-2</c:v>
                </c:pt>
                <c:pt idx="5">
                  <c:v>1.3775943607561085E-2</c:v>
                </c:pt>
                <c:pt idx="6">
                  <c:v>1.0773292507843221E-2</c:v>
                </c:pt>
                <c:pt idx="7">
                  <c:v>9.4083383168420097E-3</c:v>
                </c:pt>
                <c:pt idx="8">
                  <c:v>1.2706576620319866E-2</c:v>
                </c:pt>
                <c:pt idx="9">
                  <c:v>1.0127732365974676E-2</c:v>
                </c:pt>
                <c:pt idx="10">
                  <c:v>1.0501950500587423E-2</c:v>
                </c:pt>
                <c:pt idx="11">
                  <c:v>1.0814251601276218E-2</c:v>
                </c:pt>
                <c:pt idx="12">
                  <c:v>9.5303019146946045E-3</c:v>
                </c:pt>
                <c:pt idx="13">
                  <c:v>1.0146328741884814E-2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B-46CA-BF2B-5B14EC479C08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Graphs!$L$63:$L$76</c:f>
              <c:strCache>
                <c:ptCount val="14"/>
                <c:pt idx="0">
                  <c:v>C3 Plants(n=26)</c:v>
                </c:pt>
                <c:pt idx="1">
                  <c:v>C4 Plants(n=20)</c:v>
                </c:pt>
                <c:pt idx="2">
                  <c:v>CAM Plant(n=7)</c:v>
                </c:pt>
                <c:pt idx="3">
                  <c:v>Cyanobacteria(n=7)</c:v>
                </c:pt>
                <c:pt idx="4">
                  <c:v>Animal(n=7)</c:v>
                </c:pt>
                <c:pt idx="5">
                  <c:v>Soil NOM(n=7)</c:v>
                </c:pt>
                <c:pt idx="6">
                  <c:v>Dust NOM(n=10)</c:v>
                </c:pt>
                <c:pt idx="7">
                  <c:v>Dust anthros(n=18)</c:v>
                </c:pt>
                <c:pt idx="8">
                  <c:v>Pesticides(n=17)</c:v>
                </c:pt>
                <c:pt idx="9">
                  <c:v>PFAS Standards(n=8)</c:v>
                </c:pt>
                <c:pt idx="10">
                  <c:v>PFASs in Soil(n=17)</c:v>
                </c:pt>
                <c:pt idx="11">
                  <c:v>Sunscreen Products(n=21)</c:v>
                </c:pt>
                <c:pt idx="12">
                  <c:v>WW sunscreens(n=8)</c:v>
                </c:pt>
                <c:pt idx="13">
                  <c:v>WW preservatives (n=8)</c:v>
                </c:pt>
              </c:strCache>
            </c:strRef>
          </c:cat>
          <c:val>
            <c:numRef>
              <c:f>Graphs!$R$63:$R$76</c:f>
              <c:numCache>
                <c:formatCode>General</c:formatCode>
                <c:ptCount val="14"/>
                <c:pt idx="0">
                  <c:v>1.0455592347748918E-2</c:v>
                </c:pt>
                <c:pt idx="1">
                  <c:v>1.0858899521985326E-2</c:v>
                </c:pt>
                <c:pt idx="2">
                  <c:v>1.1308334776691513E-2</c:v>
                </c:pt>
                <c:pt idx="3">
                  <c:v>1.0622154350148494E-2</c:v>
                </c:pt>
                <c:pt idx="4">
                  <c:v>1.082354060412293E-2</c:v>
                </c:pt>
                <c:pt idx="5">
                  <c:v>1.1619736269446734E-2</c:v>
                </c:pt>
                <c:pt idx="6">
                  <c:v>9.0961589297070111E-3</c:v>
                </c:pt>
                <c:pt idx="7">
                  <c:v>8.1566147015304947E-3</c:v>
                </c:pt>
                <c:pt idx="8">
                  <c:v>1.1818488019580431E-2</c:v>
                </c:pt>
                <c:pt idx="9">
                  <c:v>9.2569062546980357E-3</c:v>
                </c:pt>
                <c:pt idx="10">
                  <c:v>8.957759171519036E-3</c:v>
                </c:pt>
                <c:pt idx="11">
                  <c:v>9.3895369444434874E-3</c:v>
                </c:pt>
                <c:pt idx="12">
                  <c:v>8.1381112122241427E-3</c:v>
                </c:pt>
                <c:pt idx="13">
                  <c:v>8.7997203827890561E-3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FB-46CA-BF2B-5B14EC479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50485504"/>
        <c:axId val="50495488"/>
      </c:stockChart>
      <c:catAx>
        <c:axId val="5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495488"/>
        <c:crosses val="autoZero"/>
        <c:auto val="1"/>
        <c:lblAlgn val="ctr"/>
        <c:lblOffset val="100"/>
        <c:noMultiLvlLbl val="0"/>
      </c:catAx>
      <c:valAx>
        <c:axId val="50495488"/>
        <c:scaling>
          <c:orientation val="minMax"/>
          <c:max val="1.7000000000000005E-2"/>
          <c:min val="7.000000000000006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Reservoir </a:t>
                </a:r>
                <a:r>
                  <a:rPr lang="en-US" baseline="30000"/>
                  <a:t>13</a:t>
                </a:r>
                <a:r>
                  <a:rPr lang="en-US"/>
                  <a:t>C/</a:t>
                </a:r>
                <a:r>
                  <a:rPr lang="en-US" baseline="30000"/>
                  <a:t>12</a:t>
                </a:r>
                <a:r>
                  <a:rPr lang="en-US"/>
                  <a:t>C (Mean +/- 1SD)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485504"/>
        <c:crosses val="autoZero"/>
        <c:crossBetween val="between"/>
        <c:majorUnit val="2.0000000000000022E-3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26203129202486E-2"/>
          <c:y val="5.0925925925925923E-2"/>
          <c:w val="0.6546304591784684"/>
          <c:h val="0.77739416819472895"/>
        </c:manualLayout>
      </c:layout>
      <c:scatterChart>
        <c:scatterStyle val="lineMarker"/>
        <c:varyColors val="0"/>
        <c:ser>
          <c:idx val="3"/>
          <c:order val="0"/>
          <c:tx>
            <c:v>atmosphere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Graphs!$N$9:$N$10</c:f>
              <c:numCache>
                <c:formatCode>General</c:formatCode>
                <c:ptCount val="2"/>
                <c:pt idx="0">
                  <c:v>1.1145054959999999E-2</c:v>
                </c:pt>
                <c:pt idx="1">
                  <c:v>1.1145054959999999E-2</c:v>
                </c:pt>
              </c:numCache>
            </c:numRef>
          </c:xVal>
          <c:yVal>
            <c:numRef>
              <c:f>Graphs!$O$9:$O$10</c:f>
              <c:numCache>
                <c:formatCode>General</c:formatCode>
                <c:ptCount val="2"/>
                <c:pt idx="0">
                  <c:v>-0.6</c:v>
                </c:pt>
                <c:pt idx="1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D2-4A32-83B7-4C9DA9547BF4}"/>
            </c:ext>
          </c:extLst>
        </c:ser>
        <c:ser>
          <c:idx val="0"/>
          <c:order val="1"/>
          <c:tx>
            <c:v>Biotic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'Data summary'!$L$8:$L$74</c:f>
              <c:numCache>
                <c:formatCode>0.000000</c:formatCode>
                <c:ptCount val="67"/>
                <c:pt idx="0">
                  <c:v>1.1171643936354643E-2</c:v>
                </c:pt>
                <c:pt idx="1">
                  <c:v>1.1213041121154609E-2</c:v>
                </c:pt>
                <c:pt idx="2">
                  <c:v>1.1005884191692928E-2</c:v>
                </c:pt>
                <c:pt idx="3">
                  <c:v>1.1257126139623878E-2</c:v>
                </c:pt>
                <c:pt idx="4">
                  <c:v>1.2537388972216084E-2</c:v>
                </c:pt>
                <c:pt idx="5">
                  <c:v>1.0987618492285965E-2</c:v>
                </c:pt>
                <c:pt idx="6">
                  <c:v>1.1751037527277663E-2</c:v>
                </c:pt>
                <c:pt idx="7">
                  <c:v>1.1666401087442999E-2</c:v>
                </c:pt>
                <c:pt idx="8">
                  <c:v>1.133106953514226E-2</c:v>
                </c:pt>
                <c:pt idx="9">
                  <c:v>1.1320121098870338E-2</c:v>
                </c:pt>
                <c:pt idx="10">
                  <c:v>1.2117031215669333E-2</c:v>
                </c:pt>
                <c:pt idx="11">
                  <c:v>1.0511570107990914E-2</c:v>
                </c:pt>
                <c:pt idx="12">
                  <c:v>1.1413692350907013E-2</c:v>
                </c:pt>
                <c:pt idx="13">
                  <c:v>1.0880944378074587E-2</c:v>
                </c:pt>
                <c:pt idx="14">
                  <c:v>1.0840538405859291E-2</c:v>
                </c:pt>
                <c:pt idx="15">
                  <c:v>1.0923327394431918E-2</c:v>
                </c:pt>
                <c:pt idx="16">
                  <c:v>1.1265881036575878E-2</c:v>
                </c:pt>
                <c:pt idx="17">
                  <c:v>1.102172818402543E-2</c:v>
                </c:pt>
                <c:pt idx="18">
                  <c:v>1.1112465412963521E-2</c:v>
                </c:pt>
                <c:pt idx="19">
                  <c:v>1.1386792099761211E-2</c:v>
                </c:pt>
                <c:pt idx="20">
                  <c:v>1.0836122150761936E-2</c:v>
                </c:pt>
                <c:pt idx="21">
                  <c:v>1.0139148941119006E-2</c:v>
                </c:pt>
                <c:pt idx="22">
                  <c:v>9.8756365968614371E-3</c:v>
                </c:pt>
                <c:pt idx="23">
                  <c:v>1.0280445055935393E-2</c:v>
                </c:pt>
                <c:pt idx="24">
                  <c:v>1.0468575376021567E-2</c:v>
                </c:pt>
                <c:pt idx="25">
                  <c:v>1.0187717175107146E-2</c:v>
                </c:pt>
                <c:pt idx="26">
                  <c:v>1.2277326599140917E-2</c:v>
                </c:pt>
                <c:pt idx="27">
                  <c:v>1.1924424366397906E-2</c:v>
                </c:pt>
                <c:pt idx="28">
                  <c:v>1.1088744156141833E-2</c:v>
                </c:pt>
                <c:pt idx="29">
                  <c:v>1.0893477074045341E-2</c:v>
                </c:pt>
                <c:pt idx="30">
                  <c:v>1.1199017679388593E-2</c:v>
                </c:pt>
                <c:pt idx="31">
                  <c:v>1.144595205148791E-2</c:v>
                </c:pt>
                <c:pt idx="32">
                  <c:v>1.3132745844804406E-2</c:v>
                </c:pt>
                <c:pt idx="33">
                  <c:v>1.2427345892616411E-2</c:v>
                </c:pt>
                <c:pt idx="34">
                  <c:v>1.1363055640141194E-2</c:v>
                </c:pt>
                <c:pt idx="35">
                  <c:v>1.1133976439503999E-2</c:v>
                </c:pt>
                <c:pt idx="36">
                  <c:v>1.0733219713126518E-2</c:v>
                </c:pt>
                <c:pt idx="37">
                  <c:v>1.0950143286488787E-2</c:v>
                </c:pt>
                <c:pt idx="38">
                  <c:v>1.082101265204837E-2</c:v>
                </c:pt>
                <c:pt idx="39">
                  <c:v>1.1590957214988274E-2</c:v>
                </c:pt>
                <c:pt idx="40">
                  <c:v>1.0862745490654097E-2</c:v>
                </c:pt>
                <c:pt idx="41">
                  <c:v>1.1249984810068673E-2</c:v>
                </c:pt>
                <c:pt idx="42">
                  <c:v>1.1703483165763711E-2</c:v>
                </c:pt>
                <c:pt idx="43">
                  <c:v>1.1437736326042695E-2</c:v>
                </c:pt>
                <c:pt idx="44">
                  <c:v>1.1921372863099858E-2</c:v>
                </c:pt>
                <c:pt idx="45">
                  <c:v>1.1305487405156807E-2</c:v>
                </c:pt>
                <c:pt idx="46">
                  <c:v>1.1613073101531908E-2</c:v>
                </c:pt>
                <c:pt idx="47">
                  <c:v>1.1718627022902916E-2</c:v>
                </c:pt>
                <c:pt idx="48">
                  <c:v>1.107374913641856E-2</c:v>
                </c:pt>
                <c:pt idx="49">
                  <c:v>1.192162207406198E-2</c:v>
                </c:pt>
                <c:pt idx="50">
                  <c:v>1.2039060446825754E-2</c:v>
                </c:pt>
                <c:pt idx="51">
                  <c:v>1.2065751358833863E-2</c:v>
                </c:pt>
                <c:pt idx="52">
                  <c:v>1.1331578268254048E-2</c:v>
                </c:pt>
                <c:pt idx="53">
                  <c:v>1.1000108211723968E-2</c:v>
                </c:pt>
                <c:pt idx="54">
                  <c:v>1.100750196436193E-2</c:v>
                </c:pt>
                <c:pt idx="55">
                  <c:v>1.0742017667882712E-2</c:v>
                </c:pt>
                <c:pt idx="56">
                  <c:v>1.1082907530539284E-2</c:v>
                </c:pt>
                <c:pt idx="57">
                  <c:v>1.122123535360461E-2</c:v>
                </c:pt>
                <c:pt idx="58">
                  <c:v>1.0707874650280187E-2</c:v>
                </c:pt>
                <c:pt idx="59">
                  <c:v>1.0449563650969511E-2</c:v>
                </c:pt>
                <c:pt idx="60">
                  <c:v>1.1873036410455687E-2</c:v>
                </c:pt>
                <c:pt idx="61">
                  <c:v>1.1261477592946679E-2</c:v>
                </c:pt>
                <c:pt idx="62">
                  <c:v>1.0809651744162839E-2</c:v>
                </c:pt>
                <c:pt idx="63">
                  <c:v>1.1197843142477485E-2</c:v>
                </c:pt>
                <c:pt idx="64">
                  <c:v>1.0989519015392964E-2</c:v>
                </c:pt>
                <c:pt idx="65">
                  <c:v>1.1280348314384837E-2</c:v>
                </c:pt>
                <c:pt idx="66">
                  <c:v>1.0862782212136199E-2</c:v>
                </c:pt>
              </c:numCache>
            </c:numRef>
          </c:xVal>
          <c:yVal>
            <c:numRef>
              <c:f>'Data summary'!$D$8:$D$74</c:f>
              <c:numCache>
                <c:formatCode>0.0000</c:formatCode>
                <c:ptCount val="67"/>
                <c:pt idx="0">
                  <c:v>0.26949999999999363</c:v>
                </c:pt>
                <c:pt idx="1">
                  <c:v>0.49289999999996326</c:v>
                </c:pt>
                <c:pt idx="2">
                  <c:v>0.4738999999999578</c:v>
                </c:pt>
                <c:pt idx="3">
                  <c:v>0.25329999999996744</c:v>
                </c:pt>
                <c:pt idx="4">
                  <c:v>0.16310000000001423</c:v>
                </c:pt>
                <c:pt idx="5">
                  <c:v>0.17700000000002092</c:v>
                </c:pt>
                <c:pt idx="6">
                  <c:v>0.15629999999998745</c:v>
                </c:pt>
                <c:pt idx="7">
                  <c:v>0.1875</c:v>
                </c:pt>
                <c:pt idx="8">
                  <c:v>-0.43440000000009604</c:v>
                </c:pt>
                <c:pt idx="9">
                  <c:v>0.16290000000000759</c:v>
                </c:pt>
                <c:pt idx="10">
                  <c:v>0.39789999999993597</c:v>
                </c:pt>
                <c:pt idx="11">
                  <c:v>0.35789999999997235</c:v>
                </c:pt>
                <c:pt idx="12">
                  <c:v>0.15789999999998372</c:v>
                </c:pt>
                <c:pt idx="13">
                  <c:v>0.36789999999996326</c:v>
                </c:pt>
                <c:pt idx="14">
                  <c:v>0.32789999999999964</c:v>
                </c:pt>
                <c:pt idx="15">
                  <c:v>0.39789999999993597</c:v>
                </c:pt>
                <c:pt idx="16">
                  <c:v>0.39789999999993597</c:v>
                </c:pt>
                <c:pt idx="17">
                  <c:v>0.30790000000001783</c:v>
                </c:pt>
                <c:pt idx="18">
                  <c:v>0.34789999999998145</c:v>
                </c:pt>
                <c:pt idx="19">
                  <c:v>0.32789999999999964</c:v>
                </c:pt>
                <c:pt idx="20">
                  <c:v>0.34789999999998145</c:v>
                </c:pt>
                <c:pt idx="21">
                  <c:v>1.9900000000006912E-2</c:v>
                </c:pt>
                <c:pt idx="22">
                  <c:v>0.16300000000001091</c:v>
                </c:pt>
                <c:pt idx="23">
                  <c:v>0.15600000000000591</c:v>
                </c:pt>
                <c:pt idx="24">
                  <c:v>0.18389999999999418</c:v>
                </c:pt>
                <c:pt idx="25">
                  <c:v>0.18729999999999336</c:v>
                </c:pt>
                <c:pt idx="26">
                  <c:v>0.19220000000001392</c:v>
                </c:pt>
                <c:pt idx="27">
                  <c:v>0.20780000000002019</c:v>
                </c:pt>
                <c:pt idx="28">
                  <c:v>0.17660000000000764</c:v>
                </c:pt>
                <c:pt idx="29">
                  <c:v>0.23619999999999663</c:v>
                </c:pt>
                <c:pt idx="30">
                  <c:v>0.24090000000001055</c:v>
                </c:pt>
                <c:pt idx="31">
                  <c:v>0.16090000000002647</c:v>
                </c:pt>
                <c:pt idx="32">
                  <c:v>0.19310000000001537</c:v>
                </c:pt>
                <c:pt idx="33">
                  <c:v>0.20870000000002165</c:v>
                </c:pt>
                <c:pt idx="34">
                  <c:v>0.17660000000000764</c:v>
                </c:pt>
                <c:pt idx="35">
                  <c:v>0.19280000000003383</c:v>
                </c:pt>
                <c:pt idx="36">
                  <c:v>0.17720000000002756</c:v>
                </c:pt>
                <c:pt idx="37">
                  <c:v>0.19299999999998363</c:v>
                </c:pt>
                <c:pt idx="38">
                  <c:v>0.20839999999998327</c:v>
                </c:pt>
                <c:pt idx="39">
                  <c:v>0.15609999999998081</c:v>
                </c:pt>
                <c:pt idx="40">
                  <c:v>0.18799999999998818</c:v>
                </c:pt>
                <c:pt idx="41">
                  <c:v>0.16280000000000427</c:v>
                </c:pt>
                <c:pt idx="42">
                  <c:v>0.15629999999998745</c:v>
                </c:pt>
                <c:pt idx="43">
                  <c:v>8.0100000000015825E-2</c:v>
                </c:pt>
                <c:pt idx="44">
                  <c:v>0.1874000000000251</c:v>
                </c:pt>
                <c:pt idx="45">
                  <c:v>0.16280000000000427</c:v>
                </c:pt>
                <c:pt idx="46">
                  <c:v>0.15609999999998081</c:v>
                </c:pt>
                <c:pt idx="47">
                  <c:v>0.1875</c:v>
                </c:pt>
                <c:pt idx="48">
                  <c:v>0.16290000000000759</c:v>
                </c:pt>
                <c:pt idx="49">
                  <c:v>0.161200000000008</c:v>
                </c:pt>
                <c:pt idx="50">
                  <c:v>0.15609999999998081</c:v>
                </c:pt>
                <c:pt idx="51">
                  <c:v>0.18779999999998154</c:v>
                </c:pt>
                <c:pt idx="52">
                  <c:v>0.16310000000001423</c:v>
                </c:pt>
                <c:pt idx="53">
                  <c:v>0.11619999999999209</c:v>
                </c:pt>
                <c:pt idx="54">
                  <c:v>0.48469999999997526</c:v>
                </c:pt>
                <c:pt idx="55">
                  <c:v>-0.45123300000000199</c:v>
                </c:pt>
                <c:pt idx="56">
                  <c:v>-0.48900000000003274</c:v>
                </c:pt>
                <c:pt idx="57">
                  <c:v>-0.43419999999991887</c:v>
                </c:pt>
                <c:pt idx="58">
                  <c:v>-0.47190000000000509</c:v>
                </c:pt>
                <c:pt idx="59">
                  <c:v>0.44320000000004711</c:v>
                </c:pt>
                <c:pt idx="60">
                  <c:v>0.21574400000000082</c:v>
                </c:pt>
                <c:pt idx="61">
                  <c:v>0.10479700000000491</c:v>
                </c:pt>
                <c:pt idx="62">
                  <c:v>6.3323999999994385E-2</c:v>
                </c:pt>
                <c:pt idx="63">
                  <c:v>0.21574400000000082</c:v>
                </c:pt>
                <c:pt idx="64">
                  <c:v>0.21574400000000082</c:v>
                </c:pt>
                <c:pt idx="65">
                  <c:v>0.21574400000000082</c:v>
                </c:pt>
                <c:pt idx="66">
                  <c:v>0.10479700000000491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D2-4A32-83B7-4C9DA9547BF4}"/>
            </c:ext>
          </c:extLst>
        </c:ser>
        <c:ser>
          <c:idx val="1"/>
          <c:order val="2"/>
          <c:tx>
            <c:v>NOM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'Data summary'!$L$75:$L$91</c:f>
              <c:numCache>
                <c:formatCode>0.000000</c:formatCode>
                <c:ptCount val="17"/>
                <c:pt idx="0">
                  <c:v>1.4086997553492417E-2</c:v>
                </c:pt>
                <c:pt idx="1">
                  <c:v>1.2526792188327999E-2</c:v>
                </c:pt>
                <c:pt idx="2">
                  <c:v>1.1641302340797709E-2</c:v>
                </c:pt>
                <c:pt idx="3">
                  <c:v>1.738960561226828E-2</c:v>
                </c:pt>
                <c:pt idx="4">
                  <c:v>1.1215148486475949E-2</c:v>
                </c:pt>
                <c:pt idx="5">
                  <c:v>1.4898545972100592E-2</c:v>
                </c:pt>
                <c:pt idx="6">
                  <c:v>1.4673213099464642E-2</c:v>
                </c:pt>
                <c:pt idx="7">
                  <c:v>1.1539973907530237E-2</c:v>
                </c:pt>
                <c:pt idx="8">
                  <c:v>1.0387605294472418E-2</c:v>
                </c:pt>
                <c:pt idx="9">
                  <c:v>1.1169268730166338E-2</c:v>
                </c:pt>
                <c:pt idx="10">
                  <c:v>1.124413241128653E-2</c:v>
                </c:pt>
                <c:pt idx="11">
                  <c:v>9.4029432876080715E-3</c:v>
                </c:pt>
                <c:pt idx="12">
                  <c:v>1.4913280352933576E-2</c:v>
                </c:pt>
                <c:pt idx="13">
                  <c:v>1.0255897188075749E-2</c:v>
                </c:pt>
                <c:pt idx="14">
                  <c:v>8.8813817087537734E-3</c:v>
                </c:pt>
                <c:pt idx="15">
                  <c:v>9.8234325901541217E-3</c:v>
                </c:pt>
                <c:pt idx="16">
                  <c:v>1.0115009607451394E-2</c:v>
                </c:pt>
              </c:numCache>
            </c:numRef>
          </c:xVal>
          <c:yVal>
            <c:numRef>
              <c:f>'Data summary'!$D$75:$D$91</c:f>
              <c:numCache>
                <c:formatCode>0.0000</c:formatCode>
                <c:ptCount val="17"/>
                <c:pt idx="0">
                  <c:v>0.1623000000000161</c:v>
                </c:pt>
                <c:pt idx="1">
                  <c:v>0.28649999999998954</c:v>
                </c:pt>
                <c:pt idx="2">
                  <c:v>0.34390000000001919</c:v>
                </c:pt>
                <c:pt idx="3">
                  <c:v>0.15219999999999345</c:v>
                </c:pt>
                <c:pt idx="4">
                  <c:v>0.3124000000000251</c:v>
                </c:pt>
                <c:pt idx="5">
                  <c:v>0.23220000000003438</c:v>
                </c:pt>
                <c:pt idx="6">
                  <c:v>0.17950000000001864</c:v>
                </c:pt>
                <c:pt idx="7">
                  <c:v>6.8079563600008441E-2</c:v>
                </c:pt>
                <c:pt idx="8">
                  <c:v>0.11569846140000095</c:v>
                </c:pt>
                <c:pt idx="9">
                  <c:v>0.25589999999999691</c:v>
                </c:pt>
                <c:pt idx="10">
                  <c:v>5.2429499800012991E-2</c:v>
                </c:pt>
                <c:pt idx="11">
                  <c:v>0.25589999999999691</c:v>
                </c:pt>
                <c:pt idx="12">
                  <c:v>0.25589999999999691</c:v>
                </c:pt>
                <c:pt idx="13">
                  <c:v>6.8079563600008441E-2</c:v>
                </c:pt>
                <c:pt idx="14">
                  <c:v>0.25589999999999691</c:v>
                </c:pt>
                <c:pt idx="15">
                  <c:v>5.2429499800012991E-2</c:v>
                </c:pt>
                <c:pt idx="16">
                  <c:v>0.25589999999999691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D2-4A32-83B7-4C9DA9547BF4}"/>
            </c:ext>
          </c:extLst>
        </c:ser>
        <c:ser>
          <c:idx val="2"/>
          <c:order val="3"/>
          <c:tx>
            <c:v>Anthropogenic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('Data summary'!$L$97:$L$142,'Data summary'!$L$147:$L$197)</c:f>
              <c:numCache>
                <c:formatCode>0.000000</c:formatCode>
                <c:ptCount val="97"/>
                <c:pt idx="0">
                  <c:v>9.2864758449329038E-3</c:v>
                </c:pt>
                <c:pt idx="1">
                  <c:v>1.151274988665817E-2</c:v>
                </c:pt>
                <c:pt idx="2">
                  <c:v>9.6672363889461384E-3</c:v>
                </c:pt>
                <c:pt idx="3">
                  <c:v>1.0493646045687503E-2</c:v>
                </c:pt>
                <c:pt idx="4">
                  <c:v>1.1321948903954528E-2</c:v>
                </c:pt>
                <c:pt idx="5">
                  <c:v>9.4998237279822102E-3</c:v>
                </c:pt>
                <c:pt idx="6">
                  <c:v>9.6341746723697351E-3</c:v>
                </c:pt>
                <c:pt idx="7">
                  <c:v>9.6058034572662262E-3</c:v>
                </c:pt>
                <c:pt idx="8">
                  <c:v>1.0835115803031347E-2</c:v>
                </c:pt>
                <c:pt idx="9">
                  <c:v>5.3711705837512988E-3</c:v>
                </c:pt>
                <c:pt idx="10">
                  <c:v>1.1632958796683992E-2</c:v>
                </c:pt>
                <c:pt idx="11">
                  <c:v>1.1198169745761422E-2</c:v>
                </c:pt>
                <c:pt idx="12">
                  <c:v>1.0383696708279355E-2</c:v>
                </c:pt>
                <c:pt idx="13">
                  <c:v>1.1234122060315068E-2</c:v>
                </c:pt>
                <c:pt idx="14">
                  <c:v>1.144097075713609E-2</c:v>
                </c:pt>
                <c:pt idx="15">
                  <c:v>1.0041153063577946E-2</c:v>
                </c:pt>
                <c:pt idx="16">
                  <c:v>1.127339964689693E-2</c:v>
                </c:pt>
                <c:pt idx="17">
                  <c:v>1.0752633874662304E-2</c:v>
                </c:pt>
                <c:pt idx="18">
                  <c:v>1.1586562345790806E-2</c:v>
                </c:pt>
                <c:pt idx="19">
                  <c:v>1.1196897409524219E-2</c:v>
                </c:pt>
                <c:pt idx="20">
                  <c:v>1.1775986051258179E-2</c:v>
                </c:pt>
                <c:pt idx="21">
                  <c:v>9.9132382804151577E-3</c:v>
                </c:pt>
                <c:pt idx="22">
                  <c:v>1.0187699718834266E-2</c:v>
                </c:pt>
                <c:pt idx="23">
                  <c:v>1.0738845614835577E-2</c:v>
                </c:pt>
                <c:pt idx="24">
                  <c:v>1.1469071158858889E-2</c:v>
                </c:pt>
                <c:pt idx="25">
                  <c:v>1.2703165758562675E-2</c:v>
                </c:pt>
                <c:pt idx="26">
                  <c:v>1.0267468895869941E-2</c:v>
                </c:pt>
                <c:pt idx="27">
                  <c:v>1.1956171505543066E-2</c:v>
                </c:pt>
                <c:pt idx="28">
                  <c:v>1.114078584721208E-2</c:v>
                </c:pt>
                <c:pt idx="29">
                  <c:v>1.3510683151292249E-2</c:v>
                </c:pt>
                <c:pt idx="30">
                  <c:v>1.4118732681051788E-2</c:v>
                </c:pt>
                <c:pt idx="31">
                  <c:v>1.2137944370221948E-2</c:v>
                </c:pt>
                <c:pt idx="32">
                  <c:v>1.2879937411231696E-2</c:v>
                </c:pt>
                <c:pt idx="33">
                  <c:v>1.3753544984054469E-2</c:v>
                </c:pt>
                <c:pt idx="34">
                  <c:v>1.2657140558347225E-2</c:v>
                </c:pt>
                <c:pt idx="35">
                  <c:v>1.2282048786312838E-2</c:v>
                </c:pt>
                <c:pt idx="36">
                  <c:v>1.2555431562767899E-2</c:v>
                </c:pt>
                <c:pt idx="37">
                  <c:v>1.2218008789486019E-2</c:v>
                </c:pt>
                <c:pt idx="38">
                  <c:v>1.0887911145643315E-2</c:v>
                </c:pt>
                <c:pt idx="39">
                  <c:v>1.2614241716045669E-2</c:v>
                </c:pt>
                <c:pt idx="40">
                  <c:v>1.1358605832340354E-2</c:v>
                </c:pt>
                <c:pt idx="41">
                  <c:v>1.2089548743602666E-2</c:v>
                </c:pt>
                <c:pt idx="42">
                  <c:v>1.2278611273953237E-2</c:v>
                </c:pt>
                <c:pt idx="43">
                  <c:v>1.3358578121151099E-2</c:v>
                </c:pt>
                <c:pt idx="44">
                  <c:v>1.3940044031439933E-2</c:v>
                </c:pt>
                <c:pt idx="45">
                  <c:v>1.3370789386495319E-2</c:v>
                </c:pt>
                <c:pt idx="46">
                  <c:v>8.997339613589778E-3</c:v>
                </c:pt>
                <c:pt idx="47">
                  <c:v>1.1942554799697656E-2</c:v>
                </c:pt>
                <c:pt idx="48">
                  <c:v>1.1022767936248123E-2</c:v>
                </c:pt>
                <c:pt idx="49">
                  <c:v>9.4160450831520838E-3</c:v>
                </c:pt>
                <c:pt idx="50">
                  <c:v>9.8547945205479451E-3</c:v>
                </c:pt>
                <c:pt idx="51">
                  <c:v>1.0771961171018016E-2</c:v>
                </c:pt>
                <c:pt idx="52">
                  <c:v>1.0594544346712078E-2</c:v>
                </c:pt>
                <c:pt idx="53">
                  <c:v>1.0816422370855273E-2</c:v>
                </c:pt>
                <c:pt idx="54">
                  <c:v>1.2115487513240224E-2</c:v>
                </c:pt>
                <c:pt idx="55">
                  <c:v>1.2017204786678275E-2</c:v>
                </c:pt>
                <c:pt idx="56">
                  <c:v>1.206591441021445E-2</c:v>
                </c:pt>
                <c:pt idx="57">
                  <c:v>1.1672575665453282E-2</c:v>
                </c:pt>
                <c:pt idx="58">
                  <c:v>1.1376394514318199E-2</c:v>
                </c:pt>
                <c:pt idx="59">
                  <c:v>6.0016226401213091E-3</c:v>
                </c:pt>
                <c:pt idx="60">
                  <c:v>9.1261050431190628E-3</c:v>
                </c:pt>
                <c:pt idx="61">
                  <c:v>1.0144033503536067E-2</c:v>
                </c:pt>
                <c:pt idx="62">
                  <c:v>1.0597390591484348E-2</c:v>
                </c:pt>
                <c:pt idx="63">
                  <c:v>1.0770935121305433E-2</c:v>
                </c:pt>
                <c:pt idx="64">
                  <c:v>9.7823211697352329E-3</c:v>
                </c:pt>
                <c:pt idx="65">
                  <c:v>8.1677651989914453E-3</c:v>
                </c:pt>
                <c:pt idx="66">
                  <c:v>1.0031380409331559E-2</c:v>
                </c:pt>
                <c:pt idx="67">
                  <c:v>9.7546376393088333E-3</c:v>
                </c:pt>
                <c:pt idx="68">
                  <c:v>1.0078978512848877E-2</c:v>
                </c:pt>
                <c:pt idx="69">
                  <c:v>1.0852819790833492E-2</c:v>
                </c:pt>
                <c:pt idx="70">
                  <c:v>1.151237214583121E-2</c:v>
                </c:pt>
                <c:pt idx="71">
                  <c:v>1.0862713146797312E-2</c:v>
                </c:pt>
                <c:pt idx="72">
                  <c:v>9.7568632578423492E-3</c:v>
                </c:pt>
                <c:pt idx="73">
                  <c:v>9.5102778626876047E-3</c:v>
                </c:pt>
                <c:pt idx="74">
                  <c:v>8.4511854506235488E-3</c:v>
                </c:pt>
                <c:pt idx="75">
                  <c:v>9.4264598510292244E-3</c:v>
                </c:pt>
                <c:pt idx="76">
                  <c:v>7.7844900713773535E-3</c:v>
                </c:pt>
                <c:pt idx="77">
                  <c:v>9.7568632578423492E-3</c:v>
                </c:pt>
                <c:pt idx="78">
                  <c:v>7.8294939744391629E-3</c:v>
                </c:pt>
                <c:pt idx="79">
                  <c:v>7.4435291201459834E-3</c:v>
                </c:pt>
                <c:pt idx="80">
                  <c:v>7.5770037221851994E-3</c:v>
                </c:pt>
                <c:pt idx="81">
                  <c:v>9.419359735642575E-3</c:v>
                </c:pt>
                <c:pt idx="82">
                  <c:v>1.1339532314131182E-2</c:v>
                </c:pt>
                <c:pt idx="83">
                  <c:v>1.023309139182456E-2</c:v>
                </c:pt>
                <c:pt idx="84">
                  <c:v>8.3603962745572684E-3</c:v>
                </c:pt>
                <c:pt idx="85">
                  <c:v>1.2511781405454043E-2</c:v>
                </c:pt>
                <c:pt idx="86">
                  <c:v>9.5977209171634915E-3</c:v>
                </c:pt>
                <c:pt idx="87">
                  <c:v>9.8562897927541946E-3</c:v>
                </c:pt>
                <c:pt idx="88">
                  <c:v>9.798467583017419E-3</c:v>
                </c:pt>
                <c:pt idx="89">
                  <c:v>1.0583296316619199E-2</c:v>
                </c:pt>
                <c:pt idx="90">
                  <c:v>9.3308906315400265E-3</c:v>
                </c:pt>
                <c:pt idx="91">
                  <c:v>1.0609046773994593E-2</c:v>
                </c:pt>
                <c:pt idx="92">
                  <c:v>9.8086652192383057E-3</c:v>
                </c:pt>
                <c:pt idx="93">
                  <c:v>6.5358198148836666E-3</c:v>
                </c:pt>
                <c:pt idx="94">
                  <c:v>9.5537553374471212E-3</c:v>
                </c:pt>
                <c:pt idx="95">
                  <c:v>1.1238968383171965E-2</c:v>
                </c:pt>
                <c:pt idx="96">
                  <c:v>8.6359633611957504E-3</c:v>
                </c:pt>
              </c:numCache>
            </c:numRef>
          </c:xVal>
          <c:yVal>
            <c:numRef>
              <c:f>('Data summary'!$D$97:$D$142,'Data summary'!$D$147:$D$197)</c:f>
              <c:numCache>
                <c:formatCode>0.0000</c:formatCode>
                <c:ptCount val="97"/>
                <c:pt idx="0">
                  <c:v>-2.3131999999975505E-2</c:v>
                </c:pt>
                <c:pt idx="1">
                  <c:v>-2.6305999999976848E-2</c:v>
                </c:pt>
                <c:pt idx="2">
                  <c:v>-2.947999999997819E-2</c:v>
                </c:pt>
                <c:pt idx="3">
                  <c:v>-3.2715000000052896E-2</c:v>
                </c:pt>
                <c:pt idx="4">
                  <c:v>-3.5950000000184446E-2</c:v>
                </c:pt>
                <c:pt idx="5">
                  <c:v>-3.9061999999944419E-2</c:v>
                </c:pt>
                <c:pt idx="6">
                  <c:v>-4.2173999999704392E-2</c:v>
                </c:pt>
                <c:pt idx="7">
                  <c:v>-4.5285999999464366E-2</c:v>
                </c:pt>
                <c:pt idx="8">
                  <c:v>-3.835799190102307E-2</c:v>
                </c:pt>
                <c:pt idx="9">
                  <c:v>0.16950952299998789</c:v>
                </c:pt>
                <c:pt idx="10">
                  <c:v>3.5458846598999116E-2</c:v>
                </c:pt>
                <c:pt idx="11">
                  <c:v>6.2994185900009825E-2</c:v>
                </c:pt>
                <c:pt idx="12">
                  <c:v>4.7344122099985952E-2</c:v>
                </c:pt>
                <c:pt idx="13">
                  <c:v>5.282343049898941E-2</c:v>
                </c:pt>
                <c:pt idx="14">
                  <c:v>5.7908808200011208E-2</c:v>
                </c:pt>
                <c:pt idx="15">
                  <c:v>6.2994185900009825E-2</c:v>
                </c:pt>
                <c:pt idx="16">
                  <c:v>6.8079563600008441E-2</c:v>
                </c:pt>
                <c:pt idx="17">
                  <c:v>7.8644249700005275E-2</c:v>
                </c:pt>
                <c:pt idx="18">
                  <c:v>6.2994185900009825E-2</c:v>
                </c:pt>
                <c:pt idx="19">
                  <c:v>9.4294313500000726E-2</c:v>
                </c:pt>
                <c:pt idx="20">
                  <c:v>7.8644249700005275E-2</c:v>
                </c:pt>
                <c:pt idx="21">
                  <c:v>7.8644249700005275E-2</c:v>
                </c:pt>
                <c:pt idx="22">
                  <c:v>0.15689456869898777</c:v>
                </c:pt>
                <c:pt idx="23">
                  <c:v>0.16706532410000818</c:v>
                </c:pt>
                <c:pt idx="24">
                  <c:v>0.20417911329997196</c:v>
                </c:pt>
                <c:pt idx="25">
                  <c:v>0.18852904949898175</c:v>
                </c:pt>
                <c:pt idx="26">
                  <c:v>0.18819469630000185</c:v>
                </c:pt>
                <c:pt idx="27">
                  <c:v>0.15689456869898777</c:v>
                </c:pt>
                <c:pt idx="28">
                  <c:v>0.20417911329997196</c:v>
                </c:pt>
                <c:pt idx="29">
                  <c:v>9.3799999999987449E-2</c:v>
                </c:pt>
                <c:pt idx="30">
                  <c:v>6.25E-2</c:v>
                </c:pt>
                <c:pt idx="31">
                  <c:v>0.15620000000001255</c:v>
                </c:pt>
                <c:pt idx="32">
                  <c:v>7.159999999998945E-2</c:v>
                </c:pt>
                <c:pt idx="33">
                  <c:v>8.8999999999998636E-2</c:v>
                </c:pt>
                <c:pt idx="34">
                  <c:v>7.6600000000013324E-2</c:v>
                </c:pt>
                <c:pt idx="35">
                  <c:v>1.6999999999995907E-2</c:v>
                </c:pt>
                <c:pt idx="36">
                  <c:v>0.15860000000000696</c:v>
                </c:pt>
                <c:pt idx="37">
                  <c:v>1.1899999999997135E-2</c:v>
                </c:pt>
                <c:pt idx="38">
                  <c:v>1.2999999999863121E-3</c:v>
                </c:pt>
                <c:pt idx="39">
                  <c:v>4.0000000001327862E-4</c:v>
                </c:pt>
                <c:pt idx="40">
                  <c:v>0.13389999999998281</c:v>
                </c:pt>
                <c:pt idx="41">
                  <c:v>6.6599999999993997E-2</c:v>
                </c:pt>
                <c:pt idx="42">
                  <c:v>5.0900000000012824E-2</c:v>
                </c:pt>
                <c:pt idx="43">
                  <c:v>0.10939999999999372</c:v>
                </c:pt>
                <c:pt idx="44">
                  <c:v>7.8100000000006276E-2</c:v>
                </c:pt>
                <c:pt idx="45">
                  <c:v>0.10939999999999372</c:v>
                </c:pt>
                <c:pt idx="46">
                  <c:v>-3.3000000000015461E-2</c:v>
                </c:pt>
                <c:pt idx="47">
                  <c:v>-2.9400000000009641E-2</c:v>
                </c:pt>
                <c:pt idx="48">
                  <c:v>-5.4599999999993543E-2</c:v>
                </c:pt>
                <c:pt idx="49">
                  <c:v>-3.5950000000184446E-2</c:v>
                </c:pt>
                <c:pt idx="50">
                  <c:v>-3.2600000000002183E-2</c:v>
                </c:pt>
                <c:pt idx="51">
                  <c:v>-6.2599999999974898E-2</c:v>
                </c:pt>
                <c:pt idx="52">
                  <c:v>-2.7400000000000091E-2</c:v>
                </c:pt>
                <c:pt idx="53">
                  <c:v>-3.2400000000052387E-2</c:v>
                </c:pt>
                <c:pt idx="54">
                  <c:v>-3.8900000000012369E-2</c:v>
                </c:pt>
                <c:pt idx="55">
                  <c:v>-2.580000000000382E-2</c:v>
                </c:pt>
                <c:pt idx="56">
                  <c:v>-2.5599999999997181E-2</c:v>
                </c:pt>
                <c:pt idx="57">
                  <c:v>-3.5100000000056752E-2</c:v>
                </c:pt>
                <c:pt idx="58">
                  <c:v>-3.2000000000039108E-2</c:v>
                </c:pt>
                <c:pt idx="59">
                  <c:v>-3.8400000000024193E-2</c:v>
                </c:pt>
                <c:pt idx="60">
                  <c:v>-2.6200000000017099E-2</c:v>
                </c:pt>
                <c:pt idx="61">
                  <c:v>-4.1100000000028558E-2</c:v>
                </c:pt>
                <c:pt idx="62">
                  <c:v>-3.5700000000019827E-2</c:v>
                </c:pt>
                <c:pt idx="63">
                  <c:v>0.1521449999999902</c:v>
                </c:pt>
                <c:pt idx="64">
                  <c:v>7.3559999999986303E-2</c:v>
                </c:pt>
                <c:pt idx="65">
                  <c:v>5.2763852999987648E-2</c:v>
                </c:pt>
                <c:pt idx="66">
                  <c:v>-0.11608999999998559</c:v>
                </c:pt>
                <c:pt idx="67">
                  <c:v>0.13101417199999332</c:v>
                </c:pt>
                <c:pt idx="68">
                  <c:v>-0.11608999999998559</c:v>
                </c:pt>
                <c:pt idx="69">
                  <c:v>5.1877178383989531E-2</c:v>
                </c:pt>
                <c:pt idx="70">
                  <c:v>0.20417911329997196</c:v>
                </c:pt>
                <c:pt idx="71">
                  <c:v>0.1521449999999902</c:v>
                </c:pt>
                <c:pt idx="72">
                  <c:v>0.13101417199999332</c:v>
                </c:pt>
                <c:pt idx="73">
                  <c:v>0.1521449999999902</c:v>
                </c:pt>
                <c:pt idx="74">
                  <c:v>5.2799999999990632E-2</c:v>
                </c:pt>
                <c:pt idx="75">
                  <c:v>-0.11608999999998559</c:v>
                </c:pt>
                <c:pt idx="76">
                  <c:v>4.7300000000007003E-2</c:v>
                </c:pt>
                <c:pt idx="77">
                  <c:v>0.13101417199999332</c:v>
                </c:pt>
                <c:pt idx="78">
                  <c:v>6.2994000000003325E-2</c:v>
                </c:pt>
                <c:pt idx="79">
                  <c:v>4.7300000000007003E-2</c:v>
                </c:pt>
                <c:pt idx="80">
                  <c:v>7.8599999999994452E-2</c:v>
                </c:pt>
                <c:pt idx="81">
                  <c:v>6.278520106999963E-2</c:v>
                </c:pt>
                <c:pt idx="82">
                  <c:v>3.5791964398015352E-2</c:v>
                </c:pt>
                <c:pt idx="83">
                  <c:v>9.3808703304006258E-2</c:v>
                </c:pt>
                <c:pt idx="84">
                  <c:v>7.853559984698677E-2</c:v>
                </c:pt>
                <c:pt idx="85">
                  <c:v>6.2441183544990508E-2</c:v>
                </c:pt>
                <c:pt idx="86">
                  <c:v>6.2309853221989897E-2</c:v>
                </c:pt>
                <c:pt idx="87">
                  <c:v>3.5348052586982703E-2</c:v>
                </c:pt>
                <c:pt idx="88">
                  <c:v>7.8344483519998676E-2</c:v>
                </c:pt>
                <c:pt idx="89">
                  <c:v>6.2331280746008133E-2</c:v>
                </c:pt>
                <c:pt idx="90">
                  <c:v>6.2293397764989322E-2</c:v>
                </c:pt>
                <c:pt idx="91">
                  <c:v>3.5316747304023011E-2</c:v>
                </c:pt>
                <c:pt idx="92">
                  <c:v>7.7800733099991248E-2</c:v>
                </c:pt>
                <c:pt idx="93">
                  <c:v>6.2007253641013449E-2</c:v>
                </c:pt>
                <c:pt idx="94">
                  <c:v>3.4739270004024547E-2</c:v>
                </c:pt>
                <c:pt idx="95">
                  <c:v>9.3455142504012656E-2</c:v>
                </c:pt>
                <c:pt idx="96">
                  <c:v>4.6736603390002074E-2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D2-4A32-83B7-4C9DA9547BF4}"/>
            </c:ext>
          </c:extLst>
        </c:ser>
        <c:ser>
          <c:idx val="4"/>
          <c:order val="4"/>
          <c:tx>
            <c:v>No defect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Graphs!$M$45:$M$46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1.7999999999999999E-2</c:v>
                </c:pt>
              </c:numCache>
            </c:numRef>
          </c:xVal>
          <c:yVal>
            <c:numRef>
              <c:f>Graphs!$L$45:$L$46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D2-4A32-83B7-4C9DA9547BF4}"/>
            </c:ext>
          </c:extLst>
        </c:ser>
        <c:ser>
          <c:idx val="5"/>
          <c:order val="5"/>
          <c:tx>
            <c:v>Max 13C</c:v>
          </c:tx>
          <c:spPr>
            <a:ln w="158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Graphs!$M$31:$M$32</c:f>
              <c:numCache>
                <c:formatCode>General</c:formatCode>
                <c:ptCount val="2"/>
                <c:pt idx="0">
                  <c:v>1.3132745844804406E-2</c:v>
                </c:pt>
                <c:pt idx="1">
                  <c:v>1.3132745844804406E-2</c:v>
                </c:pt>
              </c:numCache>
            </c:numRef>
          </c:xVal>
          <c:yVal>
            <c:numRef>
              <c:f>Graphs!$O$31:$O$32</c:f>
              <c:numCache>
                <c:formatCode>General</c:formatCode>
                <c:ptCount val="2"/>
                <c:pt idx="0">
                  <c:v>-0.6</c:v>
                </c:pt>
                <c:pt idx="1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D2-4A32-83B7-4C9DA9547BF4}"/>
            </c:ext>
          </c:extLst>
        </c:ser>
        <c:ser>
          <c:idx val="6"/>
          <c:order val="6"/>
          <c:tx>
            <c:v>Min 13C</c:v>
          </c:tx>
          <c:spPr>
            <a:ln w="158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Graphs!$N$31:$N$32</c:f>
              <c:numCache>
                <c:formatCode>General</c:formatCode>
                <c:ptCount val="2"/>
                <c:pt idx="0">
                  <c:v>9.8756365968614371E-3</c:v>
                </c:pt>
                <c:pt idx="1">
                  <c:v>9.8756365968614371E-3</c:v>
                </c:pt>
              </c:numCache>
            </c:numRef>
          </c:xVal>
          <c:yVal>
            <c:numRef>
              <c:f>Graphs!$O$31:$O$32</c:f>
              <c:numCache>
                <c:formatCode>General</c:formatCode>
                <c:ptCount val="2"/>
                <c:pt idx="0">
                  <c:v>-0.6</c:v>
                </c:pt>
                <c:pt idx="1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D2-4A32-83B7-4C9DA9547BF4}"/>
            </c:ext>
          </c:extLst>
        </c:ser>
        <c:ser>
          <c:idx val="7"/>
          <c:order val="7"/>
          <c:tx>
            <c:v>Max MD</c:v>
          </c:tx>
          <c:spPr>
            <a:ln w="158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Graphs!$L$50:$L$51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1.7999999999999999E-2</c:v>
                </c:pt>
              </c:numCache>
            </c:numRef>
          </c:xVal>
          <c:yVal>
            <c:numRef>
              <c:f>Graphs!$M$50:$M$51</c:f>
              <c:numCache>
                <c:formatCode>General</c:formatCode>
                <c:ptCount val="2"/>
                <c:pt idx="0">
                  <c:v>0.49289999999996326</c:v>
                </c:pt>
                <c:pt idx="1">
                  <c:v>0.49289999999996326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D2-4A32-83B7-4C9DA9547BF4}"/>
            </c:ext>
          </c:extLst>
        </c:ser>
        <c:ser>
          <c:idx val="8"/>
          <c:order val="8"/>
          <c:tx>
            <c:v>Min MD</c:v>
          </c:tx>
          <c:spPr>
            <a:ln w="158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Graphs!$L$50:$L$51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1.7999999999999999E-2</c:v>
                </c:pt>
              </c:numCache>
            </c:numRef>
          </c:xVal>
          <c:yVal>
            <c:numRef>
              <c:f>Graphs!$N$50:$N$51</c:f>
              <c:numCache>
                <c:formatCode>General</c:formatCode>
                <c:ptCount val="2"/>
                <c:pt idx="0">
                  <c:v>1.9900000000006912E-2</c:v>
                </c:pt>
                <c:pt idx="1">
                  <c:v>1.9900000000006912E-2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D2-4A32-83B7-4C9DA9547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672000"/>
        <c:axId val="528665440"/>
      </c:scatterChart>
      <c:valAx>
        <c:axId val="528672000"/>
        <c:scaling>
          <c:orientation val="minMax"/>
          <c:max val="1.8000000000000002E-2"/>
          <c:min val="4.000000000000001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Reservoir </a:t>
                </a:r>
                <a:r>
                  <a:rPr lang="en-US" baseline="30000"/>
                  <a:t>13</a:t>
                </a:r>
                <a:r>
                  <a:rPr lang="en-US"/>
                  <a:t>C/</a:t>
                </a:r>
                <a:r>
                  <a:rPr lang="en-US" baseline="30000"/>
                  <a:t>12</a:t>
                </a:r>
                <a:r>
                  <a:rPr lang="en-US"/>
                  <a:t>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665440"/>
        <c:crossesAt val="-0.60000000000000009"/>
        <c:crossBetween val="midCat"/>
        <c:majorUnit val="2.0000000000000005E-3"/>
      </c:valAx>
      <c:valAx>
        <c:axId val="528665440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</a:t>
                </a:r>
                <a:r>
                  <a:rPr lang="en-US" baseline="0"/>
                  <a:t> Defect (Da)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672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5436175502846741"/>
          <c:y val="0.58547435572089779"/>
          <c:w val="0.19667757821520876"/>
          <c:h val="0.2283510449452406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13</xdr:row>
      <xdr:rowOff>85725</xdr:rowOff>
    </xdr:from>
    <xdr:to>
      <xdr:col>13</xdr:col>
      <xdr:colOff>409575</xdr:colOff>
      <xdr:row>27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0.17673</cdr:x>
      <cdr:y>0.06818</cdr:y>
    </cdr:from>
    <cdr:to>
      <cdr:x>0.80841</cdr:x>
      <cdr:y>0.57251</cdr:y>
    </cdr:to>
    <cdr:grpSp>
      <cdr:nvGrpSpPr>
        <cdr:cNvPr id="6" name="Group 5"/>
        <cdr:cNvGrpSpPr/>
      </cdr:nvGrpSpPr>
      <cdr:grpSpPr>
        <a:xfrm xmlns:a="http://schemas.openxmlformats.org/drawingml/2006/main">
          <a:off x="809693" y="200020"/>
          <a:ext cx="2894057" cy="1479553"/>
          <a:chOff x="809686" y="200025"/>
          <a:chExt cx="2894063" cy="1479550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809686" y="200025"/>
            <a:ext cx="702598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US" sz="1200" b="1"/>
              <a:t>P(</a:t>
            </a:r>
            <a:r>
              <a:rPr lang="en-US" sz="1200" b="1" baseline="30000"/>
              <a:t>12</a:t>
            </a:r>
            <a:r>
              <a:rPr lang="en-US" sz="1200" b="1"/>
              <a:t>C</a:t>
            </a:r>
            <a:r>
              <a:rPr lang="en-US" sz="1200" b="1" baseline="-25000"/>
              <a:t>n</a:t>
            </a:r>
            <a:r>
              <a:rPr lang="en-US" sz="1200" b="1"/>
              <a:t>)</a:t>
            </a:r>
          </a:p>
        </cdr:txBody>
      </cdr:sp>
      <cdr:sp macro="" textlink="">
        <cdr:nvSpPr>
          <cdr:cNvPr id="3" name="TextBox 1"/>
          <cdr:cNvSpPr txBox="1"/>
        </cdr:nvSpPr>
        <cdr:spPr>
          <a:xfrm xmlns:a="http://schemas.openxmlformats.org/drawingml/2006/main">
            <a:off x="1517143" y="603250"/>
            <a:ext cx="702597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="1"/>
              <a:t>P(m≥1 </a:t>
            </a:r>
            <a:r>
              <a:rPr lang="en-US" sz="1200" b="1" baseline="30000"/>
              <a:t>13</a:t>
            </a:r>
            <a:r>
              <a:rPr lang="en-US" sz="1200" b="1"/>
              <a:t>C</a:t>
            </a:r>
            <a:r>
              <a:rPr lang="en-US" sz="1200" b="1" baseline="-25000"/>
              <a:t>m</a:t>
            </a:r>
            <a:r>
              <a:rPr lang="en-US" sz="1200" b="1"/>
              <a:t>)</a:t>
            </a:r>
          </a:p>
        </cdr:txBody>
      </cdr:sp>
      <cdr:sp macro="" textlink="">
        <cdr:nvSpPr>
          <cdr:cNvPr id="4" name="TextBox 1"/>
          <cdr:cNvSpPr txBox="1"/>
        </cdr:nvSpPr>
        <cdr:spPr>
          <a:xfrm xmlns:a="http://schemas.openxmlformats.org/drawingml/2006/main">
            <a:off x="3157283" y="1412875"/>
            <a:ext cx="546466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="1"/>
              <a:t>P(</a:t>
            </a:r>
            <a:r>
              <a:rPr lang="en-US" sz="1200" b="1" baseline="30000"/>
              <a:t>13</a:t>
            </a:r>
            <a:r>
              <a:rPr lang="en-US" sz="1200" b="1"/>
              <a:t>C</a:t>
            </a:r>
            <a:r>
              <a:rPr lang="en-US" sz="1200" b="1" baseline="-25000"/>
              <a:t>1</a:t>
            </a:r>
            <a:r>
              <a:rPr lang="en-US" sz="1200" b="1"/>
              <a:t>)</a:t>
            </a:r>
          </a:p>
        </cdr:txBody>
      </cdr:sp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2438221" y="850900"/>
            <a:ext cx="890446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="1" i="0" u="none" strike="noStrike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{</a:t>
            </a:r>
            <a:r>
              <a:rPr lang="en-US" sz="1200" b="1" i="0" u="none" strike="noStrike" baseline="3000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13</a:t>
            </a:r>
            <a:r>
              <a:rPr lang="en-US" sz="1200" b="1" i="0" u="none" strike="noStrike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C</a:t>
            </a:r>
            <a:r>
              <a:rPr lang="en-US" sz="1200" b="1" i="0" u="none" strike="noStrike" baseline="-2500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1</a:t>
            </a:r>
            <a:r>
              <a:rPr lang="en-US" sz="1200" b="1" i="0" u="none" strike="noStrike" baseline="3000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12</a:t>
            </a:r>
            <a:r>
              <a:rPr lang="en-US" sz="1200" b="1" i="0" u="none" strike="noStrike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C</a:t>
            </a:r>
            <a:r>
              <a:rPr lang="en-US" sz="1200" b="1" i="0" u="none" strike="noStrike" baseline="-2500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(n-1)</a:t>
            </a:r>
            <a:r>
              <a:rPr lang="en-US" sz="1200" b="1" i="0" u="none" strike="noStrike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}/</a:t>
            </a:r>
            <a:r>
              <a:rPr lang="en-US" sz="1200" b="1" i="0" u="none" strike="noStrike" baseline="3000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12</a:t>
            </a:r>
            <a:r>
              <a:rPr lang="en-US" sz="1200" b="1" i="0" u="none" strike="noStrike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C</a:t>
            </a:r>
            <a:r>
              <a:rPr lang="en-US" sz="1200" b="1" i="0" u="none" strike="noStrike" baseline="-2500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n</a:t>
            </a:r>
            <a:r>
              <a:rPr lang="en-US" sz="1200" b="1"/>
              <a:t> 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85725</xdr:rowOff>
    </xdr:from>
    <xdr:to>
      <xdr:col>9</xdr:col>
      <xdr:colOff>600076</xdr:colOff>
      <xdr:row>21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23</xdr:row>
      <xdr:rowOff>0</xdr:rowOff>
    </xdr:from>
    <xdr:to>
      <xdr:col>10</xdr:col>
      <xdr:colOff>200024</xdr:colOff>
      <xdr:row>38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8</xdr:col>
      <xdr:colOff>514350</xdr:colOff>
      <xdr:row>77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40</xdr:row>
      <xdr:rowOff>47624</xdr:rowOff>
    </xdr:from>
    <xdr:to>
      <xdr:col>10</xdr:col>
      <xdr:colOff>19051</xdr:colOff>
      <xdr:row>57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0.15901</cdr:x>
      <cdr:y>0.36715</cdr:y>
    </cdr:from>
    <cdr:to>
      <cdr:x>0.97409</cdr:x>
      <cdr:y>0.36715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857250" y="1206500"/>
          <a:ext cx="4394200" cy="0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0804%20Stable%20Isotopes%20on%20QTo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 Table"/>
      <sheetName val="TofData"/>
      <sheetName val="UnknownPeakSelectionCriteria"/>
      <sheetName val="AtmosphericC"/>
      <sheetName val="SynthesisSources"/>
      <sheetName val="Graphs"/>
      <sheetName val="TallyIsotope&amp;Defect"/>
      <sheetName val="TallyDefect"/>
      <sheetName val="WithinRepUncertaintyTest"/>
      <sheetName val="BetweenRepUncertaintyTest"/>
      <sheetName val="C IsotopeLitValues"/>
      <sheetName val="KineticIsotopicEffect"/>
    </sheetNames>
    <sheetDataSet>
      <sheetData sheetId="0" refreshError="1"/>
      <sheetData sheetId="1" refreshError="1"/>
      <sheetData sheetId="2" refreshError="1"/>
      <sheetData sheetId="3">
        <row r="14">
          <cell r="A14">
            <v>1</v>
          </cell>
          <cell r="B14">
            <v>0.98897778819633253</v>
          </cell>
          <cell r="C14">
            <v>1.102221180366747E-2</v>
          </cell>
          <cell r="D14">
            <v>1.102221180366747E-2</v>
          </cell>
          <cell r="E14">
            <v>1.1145054960000105E-2</v>
          </cell>
        </row>
        <row r="15">
          <cell r="A15">
            <v>2</v>
          </cell>
          <cell r="B15">
            <v>0.97807706554570994</v>
          </cell>
          <cell r="C15">
            <v>2.1922934454290055E-2</v>
          </cell>
          <cell r="D15">
            <v>2.180144530124517E-2</v>
          </cell>
          <cell r="E15">
            <v>2.2290109920000255E-2</v>
          </cell>
        </row>
        <row r="16">
          <cell r="A16">
            <v>3</v>
          </cell>
          <cell r="B16">
            <v>0.96729649296895559</v>
          </cell>
          <cell r="C16">
            <v>3.270350703104441E-2</v>
          </cell>
          <cell r="D16">
            <v>3.2341717730263064E-2</v>
          </cell>
          <cell r="E16">
            <v>3.3435164880000284E-2</v>
          </cell>
        </row>
        <row r="17">
          <cell r="A17">
            <v>4</v>
          </cell>
          <cell r="B17">
            <v>0.95663474614650701</v>
          </cell>
          <cell r="C17">
            <v>4.3365253853492991E-2</v>
          </cell>
          <cell r="D17">
            <v>4.2646987289794325E-2</v>
          </cell>
          <cell r="E17">
            <v>4.4580219840000469E-2</v>
          </cell>
        </row>
        <row r="18">
          <cell r="A18">
            <v>5</v>
          </cell>
          <cell r="B18">
            <v>0.94609051535573252</v>
          </cell>
          <cell r="C18">
            <v>5.390948464426748E-2</v>
          </cell>
          <cell r="D18">
            <v>5.2721153953872446E-2</v>
          </cell>
          <cell r="E18">
            <v>5.5725274800000668E-2</v>
          </cell>
        </row>
        <row r="19">
          <cell r="A19">
            <v>6</v>
          </cell>
          <cell r="B19">
            <v>0.93566250531004069</v>
          </cell>
          <cell r="C19">
            <v>6.4337494689959307E-2</v>
          </cell>
          <cell r="D19">
            <v>6.2568060274150961E-2</v>
          </cell>
          <cell r="E19">
            <v>6.6870329760000846E-2</v>
          </cell>
        </row>
        <row r="20">
          <cell r="A20">
            <v>7</v>
          </cell>
          <cell r="B20">
            <v>0.9253494349997633</v>
          </cell>
          <cell r="C20">
            <v>7.4650565000236702E-2</v>
          </cell>
          <cell r="D20">
            <v>7.2191492171941762E-2</v>
          </cell>
          <cell r="E20">
            <v>7.8015384720000649E-2</v>
          </cell>
          <cell r="Q20" t="str">
            <v>P(m≥1 13Cm)</v>
          </cell>
        </row>
        <row r="21">
          <cell r="A21">
            <v>8</v>
          </cell>
          <cell r="B21">
            <v>0.91515003753479196</v>
          </cell>
          <cell r="C21">
            <v>8.484996246520804E-2</v>
          </cell>
          <cell r="D21">
            <v>8.1595179719770705E-2</v>
          </cell>
          <cell r="E21">
            <v>8.9160439680000161E-2</v>
          </cell>
          <cell r="Q21" t="str">
            <v>P(13C1)</v>
          </cell>
        </row>
        <row r="22">
          <cell r="A22">
            <v>9</v>
          </cell>
          <cell r="B22">
            <v>0.9050630599889492</v>
          </cell>
          <cell r="C22">
            <v>9.4936940011050797E-2</v>
          </cell>
          <cell r="D22">
            <v>9.0782797912584812E-2</v>
          </cell>
          <cell r="E22">
            <v>0.10030549464000141</v>
          </cell>
          <cell r="Q22" t="str">
            <v>{13C112C(n-1)}/12Cn</v>
          </cell>
        </row>
        <row r="23">
          <cell r="A23">
            <v>10</v>
          </cell>
          <cell r="B23">
            <v>0.89508726324607568</v>
          </cell>
          <cell r="C23">
            <v>0.10491273675392432</v>
          </cell>
          <cell r="D23">
            <v>9.9757967428735217E-2</v>
          </cell>
          <cell r="E23">
            <v>0.11145054960000023</v>
          </cell>
        </row>
        <row r="24">
          <cell r="A24">
            <v>11</v>
          </cell>
          <cell r="B24">
            <v>0.88522142184781238</v>
          </cell>
          <cell r="C24">
            <v>0.11477857815218762</v>
          </cell>
          <cell r="D24">
            <v>0.10852425538089627</v>
          </cell>
          <cell r="E24">
            <v>0.12259560456000104</v>
          </cell>
        </row>
        <row r="25">
          <cell r="A25">
            <v>12</v>
          </cell>
          <cell r="B25">
            <v>0.87546432384306205</v>
          </cell>
          <cell r="C25">
            <v>0.12453567615693795</v>
          </cell>
          <cell r="D25">
            <v>0.11708517605700397</v>
          </cell>
          <cell r="E25">
            <v>0.13374065952000228</v>
          </cell>
        </row>
        <row r="26">
          <cell r="A26">
            <v>13</v>
          </cell>
          <cell r="B26">
            <v>0.86581477063910928</v>
          </cell>
          <cell r="C26">
            <v>0.13418522936089072</v>
          </cell>
          <cell r="D26">
            <v>0.12544419165138609</v>
          </cell>
          <cell r="E26">
            <v>0.14488571448000165</v>
          </cell>
        </row>
        <row r="27">
          <cell r="A27">
            <v>14</v>
          </cell>
          <cell r="B27">
            <v>0.85627157685438127</v>
          </cell>
          <cell r="C27">
            <v>0.14372842314561873</v>
          </cell>
          <cell r="D27">
            <v>0.13360471298619214</v>
          </cell>
          <cell r="E27">
            <v>0.1560307694400011</v>
          </cell>
        </row>
        <row r="28">
          <cell r="A28">
            <v>15</v>
          </cell>
          <cell r="B28">
            <v>0.8468335701728319</v>
          </cell>
          <cell r="C28">
            <v>0.1531664298271681</v>
          </cell>
          <cell r="D28">
            <v>0.14157010022324057</v>
          </cell>
          <cell r="E28">
            <v>0.16717582440000253</v>
          </cell>
        </row>
        <row r="29">
          <cell r="A29">
            <v>16</v>
          </cell>
          <cell r="B29">
            <v>0.83749959119993111</v>
          </cell>
          <cell r="C29">
            <v>0.16250040880006889</v>
          </cell>
          <cell r="D29">
            <v>0.14934366356641249</v>
          </cell>
          <cell r="E29">
            <v>0.1783208793600003</v>
          </cell>
        </row>
        <row r="30">
          <cell r="A30">
            <v>17</v>
          </cell>
          <cell r="B30">
            <v>0.82826849332024055</v>
          </cell>
          <cell r="C30">
            <v>0.17173150667975945</v>
          </cell>
          <cell r="D30">
            <v>0.15692866395473959</v>
          </cell>
          <cell r="E30">
            <v>0.18946593432000186</v>
          </cell>
        </row>
        <row r="31">
          <cell r="A31">
            <v>18</v>
          </cell>
          <cell r="B31">
            <v>0.81913914255656028</v>
          </cell>
          <cell r="C31">
            <v>0.18086085744343972</v>
          </cell>
          <cell r="D31">
            <v>0.16432831374624479</v>
          </cell>
          <cell r="E31">
            <v>0.20061098928000279</v>
          </cell>
        </row>
        <row r="32">
          <cell r="A32">
            <v>19</v>
          </cell>
          <cell r="B32">
            <v>0.81011041743062739</v>
          </cell>
          <cell r="C32">
            <v>0.18988958256937261</v>
          </cell>
          <cell r="D32">
            <v>0.17154577739272492</v>
          </cell>
          <cell r="E32">
            <v>0.21175604424000014</v>
          </cell>
        </row>
        <row r="33">
          <cell r="A33">
            <v>20</v>
          </cell>
          <cell r="B33">
            <v>0.80118120882534949</v>
          </cell>
          <cell r="C33">
            <v>0.19881879117465051</v>
          </cell>
          <cell r="D33">
            <v>0.1785841721055581</v>
          </cell>
          <cell r="E33">
            <v>0.2229010992000037</v>
          </cell>
        </row>
        <row r="34">
          <cell r="A34">
            <v>21</v>
          </cell>
          <cell r="B34">
            <v>0.79235041984855814</v>
          </cell>
          <cell r="C34">
            <v>0.20764958015144186</v>
          </cell>
          <cell r="D34">
            <v>0.18544656851261831</v>
          </cell>
          <cell r="E34">
            <v>0.23404615416000246</v>
          </cell>
        </row>
        <row r="35">
          <cell r="A35">
            <v>22</v>
          </cell>
          <cell r="B35">
            <v>0.78361696569826245</v>
          </cell>
          <cell r="C35">
            <v>0.21638303430173755</v>
          </cell>
          <cell r="D35">
            <v>0.19213599130650527</v>
          </cell>
          <cell r="E35">
            <v>0.2451912091200035</v>
          </cell>
        </row>
        <row r="36">
          <cell r="A36">
            <v>23</v>
          </cell>
          <cell r="B36">
            <v>0.77497977352938896</v>
          </cell>
          <cell r="C36">
            <v>0.22502022647061104</v>
          </cell>
          <cell r="D36">
            <v>0.19865541988409019</v>
          </cell>
          <cell r="E36">
            <v>0.25633626408000276</v>
          </cell>
        </row>
        <row r="37">
          <cell r="A37">
            <v>24</v>
          </cell>
          <cell r="B37">
            <v>0.76643778232198989</v>
          </cell>
          <cell r="C37">
            <v>0.23356221767801011</v>
          </cell>
          <cell r="D37">
            <v>0.20500778897757765</v>
          </cell>
          <cell r="E37">
            <v>0.26748131903999922</v>
          </cell>
        </row>
        <row r="38">
          <cell r="A38">
            <v>25</v>
          </cell>
          <cell r="B38">
            <v>0.7579899427509037</v>
          </cell>
          <cell r="C38">
            <v>0.2420100572490963</v>
          </cell>
          <cell r="D38">
            <v>0.21119598927715477</v>
          </cell>
          <cell r="E38">
            <v>0.27862637400000378</v>
          </cell>
        </row>
        <row r="39">
          <cell r="A39">
            <v>26</v>
          </cell>
          <cell r="B39">
            <v>0.74963521705685354</v>
          </cell>
          <cell r="C39">
            <v>0.25036478294314646</v>
          </cell>
          <cell r="D39">
            <v>0.21722286804530411</v>
          </cell>
          <cell r="E39">
            <v>0.28977142895999985</v>
          </cell>
        </row>
        <row r="40">
          <cell r="A40">
            <v>27</v>
          </cell>
          <cell r="B40">
            <v>0.74137257891896469</v>
          </cell>
          <cell r="C40">
            <v>0.25862742108103531</v>
          </cell>
          <cell r="D40">
            <v>0.22309122972299911</v>
          </cell>
          <cell r="E40">
            <v>0.30091648392000209</v>
          </cell>
        </row>
        <row r="41">
          <cell r="A41">
            <v>28</v>
          </cell>
          <cell r="B41">
            <v>0.73320101332868859</v>
          </cell>
          <cell r="C41">
            <v>0.26679898667131141</v>
          </cell>
          <cell r="D41">
            <v>0.22880383652773073</v>
          </cell>
          <cell r="E41">
            <v>0.31206153888000654</v>
          </cell>
        </row>
        <row r="42">
          <cell r="A42">
            <v>29</v>
          </cell>
          <cell r="B42">
            <v>0.72511951646511619</v>
          </cell>
          <cell r="C42">
            <v>0.27488048353488381</v>
          </cell>
          <cell r="D42">
            <v>0.23436340904359965</v>
          </cell>
          <cell r="E42">
            <v>0.32320659384000228</v>
          </cell>
        </row>
        <row r="43">
          <cell r="A43">
            <v>30</v>
          </cell>
          <cell r="B43">
            <v>0.71712709557166476</v>
          </cell>
          <cell r="C43">
            <v>0.28287290442833524</v>
          </cell>
          <cell r="D43">
            <v>0.23977262680354272</v>
          </cell>
          <cell r="E43">
            <v>0.33435164880000201</v>
          </cell>
        </row>
        <row r="44">
          <cell r="A44">
            <v>31</v>
          </cell>
          <cell r="B44">
            <v>0.70922276883412494</v>
          </cell>
          <cell r="C44">
            <v>0.29077723116587506</v>
          </cell>
          <cell r="D44">
            <v>0.24503412886373455</v>
          </cell>
          <cell r="E44">
            <v>0.34549670376000552</v>
          </cell>
        </row>
        <row r="45">
          <cell r="A45">
            <v>32</v>
          </cell>
          <cell r="B45">
            <v>0.70140556526005171</v>
          </cell>
          <cell r="C45">
            <v>0.29859443473994829</v>
          </cell>
          <cell r="D45">
            <v>0.2501505143703433</v>
          </cell>
          <cell r="E45">
            <v>0.35664175872000387</v>
          </cell>
        </row>
        <row r="46">
          <cell r="A46">
            <v>33</v>
          </cell>
          <cell r="B46">
            <v>0.69367452455948431</v>
          </cell>
          <cell r="C46">
            <v>0.30632547544051569</v>
          </cell>
          <cell r="D46">
            <v>0.25512434311872434</v>
          </cell>
          <cell r="E46">
            <v>0.36778681368000388</v>
          </cell>
        </row>
        <row r="47">
          <cell r="A47">
            <v>34</v>
          </cell>
          <cell r="B47">
            <v>0.68602869702698133</v>
          </cell>
          <cell r="C47">
            <v>0.31397130297301867</v>
          </cell>
          <cell r="D47">
            <v>0.25995813610510132</v>
          </cell>
          <cell r="E47">
            <v>0.37893186864000417</v>
          </cell>
        </row>
        <row r="48">
          <cell r="A48">
            <v>35</v>
          </cell>
          <cell r="B48">
            <v>0.67846714342495595</v>
          </cell>
          <cell r="C48">
            <v>0.32153285657504405</v>
          </cell>
          <cell r="D48">
            <v>0.26465437607088804</v>
          </cell>
          <cell r="E48">
            <v>0.39007692360000185</v>
          </cell>
        </row>
        <row r="49">
          <cell r="A49">
            <v>36</v>
          </cell>
          <cell r="B49">
            <v>0.6709889348682968</v>
          </cell>
          <cell r="C49">
            <v>0.3290110651317032</v>
          </cell>
          <cell r="D49">
            <v>0.26921550803972938</v>
          </cell>
          <cell r="E49">
            <v>0.40122197856000652</v>
          </cell>
        </row>
        <row r="50">
          <cell r="A50">
            <v>37</v>
          </cell>
          <cell r="B50">
            <v>0.6635931527102612</v>
          </cell>
          <cell r="C50">
            <v>0.3364068472897388</v>
          </cell>
          <cell r="D50">
            <v>0.27364393984731727</v>
          </cell>
          <cell r="E50">
            <v>0.41236703352000381</v>
          </cell>
        </row>
        <row r="51">
          <cell r="A51">
            <v>38</v>
          </cell>
          <cell r="B51">
            <v>0.65627888842962523</v>
          </cell>
          <cell r="C51">
            <v>0.34372111157037477</v>
          </cell>
          <cell r="D51">
            <v>0.277942042664167</v>
          </cell>
          <cell r="E51">
            <v>0.42351208848000538</v>
          </cell>
        </row>
        <row r="52">
          <cell r="A52">
            <v>39</v>
          </cell>
          <cell r="B52">
            <v>0.64904524351907844</v>
          </cell>
          <cell r="C52">
            <v>0.35095475648092156</v>
          </cell>
          <cell r="D52">
            <v>0.28211215151132474</v>
          </cell>
          <cell r="E52">
            <v>0.4346571434400045</v>
          </cell>
        </row>
        <row r="53">
          <cell r="A53">
            <v>40</v>
          </cell>
          <cell r="B53">
            <v>0.64189132937484827</v>
          </cell>
          <cell r="C53">
            <v>0.35810867062515173</v>
          </cell>
          <cell r="D53">
            <v>0.28615656576920667</v>
          </cell>
          <cell r="E53">
            <v>0.44580219840000129</v>
          </cell>
        </row>
        <row r="54">
          <cell r="A54">
            <v>41</v>
          </cell>
          <cell r="B54">
            <v>0.63481626718754103</v>
          </cell>
          <cell r="C54">
            <v>0.36518373281245897</v>
          </cell>
          <cell r="D54">
            <v>0.29007754967959709</v>
          </cell>
          <cell r="E54">
            <v>0.45694725336000369</v>
          </cell>
        </row>
        <row r="55">
          <cell r="A55">
            <v>42</v>
          </cell>
          <cell r="B55">
            <v>0.62781918783418644</v>
          </cell>
          <cell r="C55">
            <v>0.37218081216581356</v>
          </cell>
          <cell r="D55">
            <v>0.29387733284089257</v>
          </cell>
          <cell r="E55">
            <v>0.46809230832000093</v>
          </cell>
        </row>
        <row r="56">
          <cell r="A56">
            <v>43</v>
          </cell>
          <cell r="B56">
            <v>0.62089923177147155</v>
          </cell>
          <cell r="C56">
            <v>0.37910076822852845</v>
          </cell>
          <cell r="D56">
            <v>0.29755811069674043</v>
          </cell>
          <cell r="E56">
            <v>0.47923736328000449</v>
          </cell>
        </row>
        <row r="57">
          <cell r="A57">
            <v>44</v>
          </cell>
          <cell r="B57">
            <v>0.61405554893015191</v>
          </cell>
          <cell r="C57">
            <v>0.38594445106984809</v>
          </cell>
          <cell r="D57">
            <v>0.30112204501806428</v>
          </cell>
          <cell r="E57">
            <v>0.49038241824000933</v>
          </cell>
        </row>
        <row r="58">
          <cell r="A58">
            <v>45</v>
          </cell>
          <cell r="B58">
            <v>0.60728729861062647</v>
          </cell>
          <cell r="C58">
            <v>0.39271270138937353</v>
          </cell>
          <cell r="D58">
            <v>0.30457126437864468</v>
          </cell>
          <cell r="E58">
            <v>0.50152747320000546</v>
          </cell>
        </row>
        <row r="59">
          <cell r="A59">
            <v>46</v>
          </cell>
          <cell r="B59">
            <v>0.60059364937966309</v>
          </cell>
          <cell r="C59">
            <v>0.39940635062033691</v>
          </cell>
          <cell r="D59">
            <v>0.30790786462431563</v>
          </cell>
          <cell r="E59">
            <v>0.51267252816000519</v>
          </cell>
        </row>
        <row r="60">
          <cell r="A60">
            <v>47</v>
          </cell>
          <cell r="B60">
            <v>0.59397377896826287</v>
          </cell>
          <cell r="C60">
            <v>0.40602622103173713</v>
          </cell>
          <cell r="D60">
            <v>0.31113390933581031</v>
          </cell>
          <cell r="E60">
            <v>0.52381758312000293</v>
          </cell>
        </row>
        <row r="61">
          <cell r="A61">
            <v>48</v>
          </cell>
          <cell r="B61">
            <v>0.58742687417064987</v>
          </cell>
          <cell r="C61">
            <v>0.41257312582935013</v>
          </cell>
          <cell r="D61">
            <v>0.31425143028542379</v>
          </cell>
          <cell r="E61">
            <v>0.5349626380800081</v>
          </cell>
        </row>
        <row r="62">
          <cell r="A62">
            <v>49</v>
          </cell>
          <cell r="B62">
            <v>0.58095213074437468</v>
          </cell>
          <cell r="C62">
            <v>0.41904786925562532</v>
          </cell>
          <cell r="D62">
            <v>0.31726242788748416</v>
          </cell>
          <cell r="E62">
            <v>0.54610769304000217</v>
          </cell>
        </row>
        <row r="63">
          <cell r="A63">
            <v>50</v>
          </cell>
          <cell r="B63">
            <v>0.57454875331151822</v>
          </cell>
          <cell r="C63">
            <v>0.42545124668848178</v>
          </cell>
          <cell r="D63">
            <v>0.32016887164282304</v>
          </cell>
          <cell r="E63">
            <v>0.55725274800000946</v>
          </cell>
        </row>
        <row r="64">
          <cell r="A64">
            <v>51</v>
          </cell>
          <cell r="B64">
            <v>0.56821595526098567</v>
          </cell>
          <cell r="C64">
            <v>0.43178404473901433</v>
          </cell>
          <cell r="D64">
            <v>0.3229727005771601</v>
          </cell>
          <cell r="E64">
            <v>0.56839780295999687</v>
          </cell>
        </row>
        <row r="65">
          <cell r="A65">
            <v>52</v>
          </cell>
          <cell r="B65">
            <v>0.56195295865187578</v>
          </cell>
          <cell r="C65">
            <v>0.43804704134812422</v>
          </cell>
          <cell r="D65">
            <v>0.3256758236737145</v>
          </cell>
          <cell r="E65">
            <v>0.57954285792001214</v>
          </cell>
        </row>
        <row r="66">
          <cell r="A66">
            <v>53</v>
          </cell>
          <cell r="B66">
            <v>0.55575899411791718</v>
          </cell>
          <cell r="C66">
            <v>0.44424100588208282</v>
          </cell>
          <cell r="D66">
            <v>0.32828012029980558</v>
          </cell>
          <cell r="E66">
            <v>0.59068791288000877</v>
          </cell>
        </row>
        <row r="67">
          <cell r="A67">
            <v>54</v>
          </cell>
          <cell r="B67">
            <v>0.54963330077295636</v>
          </cell>
          <cell r="C67">
            <v>0.45036669922704364</v>
          </cell>
          <cell r="D67">
            <v>0.33078744062788457</v>
          </cell>
          <cell r="E67">
            <v>0.60183296784000162</v>
          </cell>
        </row>
        <row r="68">
          <cell r="A68">
            <v>55</v>
          </cell>
          <cell r="B68">
            <v>0.54357512611748793</v>
          </cell>
          <cell r="C68">
            <v>0.45642487388251207</v>
          </cell>
          <cell r="D68">
            <v>0.3331996060507636</v>
          </cell>
          <cell r="E68">
            <v>0.61297802280000957</v>
          </cell>
        </row>
        <row r="69">
          <cell r="A69">
            <v>56</v>
          </cell>
          <cell r="B69">
            <v>0.53758372594621584</v>
          </cell>
          <cell r="C69">
            <v>0.46241627405378416</v>
          </cell>
          <cell r="D69">
            <v>0.33551840959123691</v>
          </cell>
          <cell r="E69">
            <v>0.62412307775999309</v>
          </cell>
        </row>
        <row r="70">
          <cell r="A70">
            <v>57</v>
          </cell>
          <cell r="B70">
            <v>0.53165836425663182</v>
          </cell>
          <cell r="C70">
            <v>0.46834163574336818</v>
          </cell>
          <cell r="D70">
            <v>0.33774561630628908</v>
          </cell>
          <cell r="E70">
            <v>0.63526813272001692</v>
          </cell>
        </row>
        <row r="71">
          <cell r="A71">
            <v>58</v>
          </cell>
          <cell r="B71">
            <v>0.52579831315860392</v>
          </cell>
          <cell r="C71">
            <v>0.47420168684139608</v>
          </cell>
          <cell r="D71">
            <v>0.33988296368561799</v>
          </cell>
          <cell r="E71">
            <v>0.64641318767999612</v>
          </cell>
        </row>
        <row r="72">
          <cell r="A72">
            <v>59</v>
          </cell>
          <cell r="B72">
            <v>0.52000285278495872</v>
          </cell>
          <cell r="C72">
            <v>0.47999714721504128</v>
          </cell>
          <cell r="D72">
            <v>0.34193216204506682</v>
          </cell>
          <cell r="E72">
            <v>0.65755824264000529</v>
          </cell>
        </row>
        <row r="73">
          <cell r="A73">
            <v>60</v>
          </cell>
          <cell r="B73">
            <v>0.51427127120305149</v>
          </cell>
          <cell r="C73">
            <v>0.48572872879694851</v>
          </cell>
          <cell r="D73">
            <v>0.34389489491443381</v>
          </cell>
          <cell r="E73">
            <v>0.66870329760001823</v>
          </cell>
        </row>
        <row r="74">
          <cell r="A74">
            <v>61</v>
          </cell>
          <cell r="B74">
            <v>0.50860286432731017</v>
          </cell>
          <cell r="C74">
            <v>0.49139713567268983</v>
          </cell>
          <cell r="D74">
            <v>0.34577281942022098</v>
          </cell>
          <cell r="E74">
            <v>0.67984835256000387</v>
          </cell>
        </row>
        <row r="75">
          <cell r="A75">
            <v>62</v>
          </cell>
          <cell r="B75">
            <v>0.50299693583274263</v>
          </cell>
          <cell r="C75">
            <v>0.49700306416725737</v>
          </cell>
          <cell r="D75">
            <v>0.34756756666318722</v>
          </cell>
          <cell r="E75">
            <v>0.69099340752000316</v>
          </cell>
        </row>
        <row r="76">
          <cell r="A76">
            <v>63</v>
          </cell>
          <cell r="B76">
            <v>0.49745279706939838</v>
          </cell>
          <cell r="C76">
            <v>0.50254720293060162</v>
          </cell>
          <cell r="D76">
            <v>0.34928074209068793</v>
          </cell>
          <cell r="E76">
            <v>0.70213846248001022</v>
          </cell>
        </row>
        <row r="77">
          <cell r="A77">
            <v>64</v>
          </cell>
          <cell r="B77">
            <v>0.49196976697777267</v>
          </cell>
          <cell r="C77">
            <v>0.50803023302222727</v>
          </cell>
          <cell r="D77">
            <v>0.35091392586404169</v>
          </cell>
          <cell r="E77">
            <v>0.71328351743999763</v>
          </cell>
        </row>
        <row r="78">
          <cell r="A78">
            <v>65</v>
          </cell>
          <cell r="B78">
            <v>0.48654717200514275</v>
          </cell>
          <cell r="C78">
            <v>0.51345282799485725</v>
          </cell>
          <cell r="D78">
            <v>0.35246867322094866</v>
          </cell>
          <cell r="E78">
            <v>0.72442857240001202</v>
          </cell>
        </row>
        <row r="79">
          <cell r="A79">
            <v>66</v>
          </cell>
          <cell r="B79">
            <v>0.48118434602282661</v>
          </cell>
          <cell r="C79">
            <v>0.51881565397717333</v>
          </cell>
          <cell r="D79">
            <v>0.3539465148328611</v>
          </cell>
          <cell r="E79">
            <v>0.73557362736000242</v>
          </cell>
        </row>
        <row r="80">
          <cell r="A80">
            <v>67</v>
          </cell>
          <cell r="B80">
            <v>0.47588063024435379</v>
          </cell>
          <cell r="C80">
            <v>0.52411936975564621</v>
          </cell>
          <cell r="D80">
            <v>0.35534895715768322</v>
          </cell>
          <cell r="E80">
            <v>0.74671868232001726</v>
          </cell>
        </row>
        <row r="81">
          <cell r="A81">
            <v>68</v>
          </cell>
          <cell r="B81">
            <v>0.47063537314453774</v>
          </cell>
          <cell r="C81">
            <v>0.52936462685546226</v>
          </cell>
          <cell r="D81">
            <v>0.35667748278749123</v>
          </cell>
          <cell r="E81">
            <v>0.75786373728000955</v>
          </cell>
        </row>
        <row r="82">
          <cell r="A82">
            <v>69</v>
          </cell>
          <cell r="B82">
            <v>0.4654479303794406</v>
          </cell>
          <cell r="C82">
            <v>0.53455206962055946</v>
          </cell>
          <cell r="D82">
            <v>0.35793355079170641</v>
          </cell>
          <cell r="E82">
            <v>0.76900879224001117</v>
          </cell>
        </row>
        <row r="83">
          <cell r="A83">
            <v>70</v>
          </cell>
          <cell r="B83">
            <v>0.46031766470721969</v>
          </cell>
          <cell r="C83">
            <v>0.53968233529278031</v>
          </cell>
          <cell r="D83">
            <v>0.35911859705546001</v>
          </cell>
          <cell r="E83">
            <v>0.78015384720000636</v>
          </cell>
        </row>
        <row r="84">
          <cell r="A84">
            <v>71</v>
          </cell>
          <cell r="B84">
            <v>0.45524394590984713</v>
          </cell>
          <cell r="C84">
            <v>0.54475605409015282</v>
          </cell>
          <cell r="D84">
            <v>0.36023403461344794</v>
          </cell>
          <cell r="E84">
            <v>0.79129890215999887</v>
          </cell>
        </row>
        <row r="85">
          <cell r="A85">
            <v>72</v>
          </cell>
          <cell r="B85">
            <v>0.4502261507156915</v>
          </cell>
          <cell r="C85">
            <v>0.5497738492843085</v>
          </cell>
          <cell r="D85">
            <v>0.36128125397920918</v>
          </cell>
          <cell r="E85">
            <v>0.80244395712000927</v>
          </cell>
        </row>
        <row r="86">
          <cell r="A86">
            <v>73</v>
          </cell>
          <cell r="B86">
            <v>0.4452636627229532</v>
          </cell>
          <cell r="C86">
            <v>0.55473633727704685</v>
          </cell>
          <cell r="D86">
            <v>0.36226162346989965</v>
          </cell>
          <cell r="E86">
            <v>0.8135890120800221</v>
          </cell>
        </row>
        <row r="87">
          <cell r="A87">
            <v>74</v>
          </cell>
          <cell r="B87">
            <v>0.44035587232394413</v>
          </cell>
          <cell r="C87">
            <v>0.55964412767605587</v>
          </cell>
          <cell r="D87">
            <v>0.36317648952666715</v>
          </cell>
          <cell r="E87">
            <v>0.82473406703998575</v>
          </cell>
        </row>
        <row r="88">
          <cell r="A88">
            <v>75</v>
          </cell>
          <cell r="B88">
            <v>0.43550217663020085</v>
          </cell>
          <cell r="C88">
            <v>0.56449782336979915</v>
          </cell>
          <cell r="D88">
            <v>0.36402717703074572</v>
          </cell>
          <cell r="E88">
            <v>0.83587912200001036</v>
          </cell>
        </row>
        <row r="89">
          <cell r="A89">
            <v>76</v>
          </cell>
          <cell r="B89">
            <v>0.43070197939842453</v>
          </cell>
          <cell r="C89">
            <v>0.56929802060157542</v>
          </cell>
          <cell r="D89">
            <v>0.36481498961499659</v>
          </cell>
          <cell r="E89">
            <v>0.84702417696000742</v>
          </cell>
        </row>
        <row r="90">
          <cell r="A90">
            <v>77</v>
          </cell>
          <cell r="B90">
            <v>0.42595469095723626</v>
          </cell>
          <cell r="C90">
            <v>0.57404530904276374</v>
          </cell>
          <cell r="D90">
            <v>0.36554120997150097</v>
          </cell>
          <cell r="E90">
            <v>0.85816923192002015</v>
          </cell>
        </row>
        <row r="91">
          <cell r="A91">
            <v>78</v>
          </cell>
          <cell r="B91">
            <v>0.42125972813473994</v>
          </cell>
          <cell r="C91">
            <v>0.57874027186526011</v>
          </cell>
          <cell r="D91">
            <v>0.36620710015471714</v>
          </cell>
          <cell r="E91">
            <v>0.86931428688000711</v>
          </cell>
        </row>
        <row r="92">
          <cell r="A92">
            <v>79</v>
          </cell>
          <cell r="B92">
            <v>0.41661651418688339</v>
          </cell>
          <cell r="C92">
            <v>0.58338348581311661</v>
          </cell>
          <cell r="D92">
            <v>0.3668139018806631</v>
          </cell>
          <cell r="E92">
            <v>0.88045934184001129</v>
          </cell>
        </row>
        <row r="93">
          <cell r="A93">
            <v>80</v>
          </cell>
          <cell r="B93">
            <v>0.41202447872660997</v>
          </cell>
          <cell r="C93">
            <v>0.58797552127339003</v>
          </cell>
          <cell r="D93">
            <v>0.36736283682187398</v>
          </cell>
          <cell r="E93">
            <v>0.89160439680000114</v>
          </cell>
        </row>
        <row r="94">
          <cell r="A94">
            <v>81</v>
          </cell>
          <cell r="B94">
            <v>0.40748305765378962</v>
          </cell>
          <cell r="C94">
            <v>0.59251694234621044</v>
          </cell>
          <cell r="D94">
            <v>0.36785510689845291</v>
          </cell>
          <cell r="E94">
            <v>0.90274945176001442</v>
          </cell>
        </row>
        <row r="95">
          <cell r="A95">
            <v>82</v>
          </cell>
          <cell r="B95">
            <v>0.40299169308592347</v>
          </cell>
          <cell r="C95">
            <v>0.59700830691407658</v>
          </cell>
          <cell r="D95">
            <v>0.36829189456502354</v>
          </cell>
          <cell r="E95">
            <v>0.9138945067200146</v>
          </cell>
        </row>
        <row r="96">
          <cell r="A96">
            <v>83</v>
          </cell>
          <cell r="B96">
            <v>0.39854983328961191</v>
          </cell>
          <cell r="C96">
            <v>0.60145016671038809</v>
          </cell>
          <cell r="D96">
            <v>0.36867436309385526</v>
          </cell>
          <cell r="E96">
            <v>0.92503956167998891</v>
          </cell>
        </row>
        <row r="97">
          <cell r="A97">
            <v>84</v>
          </cell>
          <cell r="B97">
            <v>0.3941569326127774</v>
          </cell>
          <cell r="C97">
            <v>0.6058430673872226</v>
          </cell>
          <cell r="D97">
            <v>0.36900365685409886</v>
          </cell>
          <cell r="E97">
            <v>0.93618461664001917</v>
          </cell>
        </row>
        <row r="98">
          <cell r="A98">
            <v>85</v>
          </cell>
          <cell r="B98">
            <v>0.38981245141763549</v>
          </cell>
          <cell r="C98">
            <v>0.61018754858236446</v>
          </cell>
          <cell r="D98">
            <v>0.36928090158705795</v>
          </cell>
          <cell r="E98">
            <v>0.94732967159999582</v>
          </cell>
        </row>
        <row r="99">
          <cell r="A99">
            <v>86</v>
          </cell>
          <cell r="B99">
            <v>0.38551585601440347</v>
          </cell>
          <cell r="C99">
            <v>0.61448414398559659</v>
          </cell>
          <cell r="D99">
            <v>0.36950720467796305</v>
          </cell>
          <cell r="E99">
            <v>0.95847472656003463</v>
          </cell>
        </row>
        <row r="100">
          <cell r="A100">
            <v>87</v>
          </cell>
          <cell r="B100">
            <v>0.38126661859574051</v>
          </cell>
          <cell r="C100">
            <v>0.61873338140425949</v>
          </cell>
          <cell r="D100">
            <v>0.36968365542367221</v>
          </cell>
          <cell r="E100">
            <v>0.96961978152000294</v>
          </cell>
        </row>
        <row r="101">
          <cell r="A101">
            <v>88</v>
          </cell>
          <cell r="B101">
            <v>0.37706421717191024</v>
          </cell>
          <cell r="C101">
            <v>0.6229357828280897</v>
          </cell>
          <cell r="D101">
            <v>0.36981132529705896</v>
          </cell>
          <cell r="E101">
            <v>0.9807648364799767</v>
          </cell>
        </row>
        <row r="102">
          <cell r="A102">
            <v>89</v>
          </cell>
          <cell r="B102">
            <v>0.37290813550665736</v>
          </cell>
          <cell r="C102">
            <v>0.62709186449334264</v>
          </cell>
          <cell r="D102">
            <v>0.36989126820751184</v>
          </cell>
          <cell r="E102">
            <v>0.99190989144002828</v>
          </cell>
        </row>
        <row r="103">
          <cell r="A103">
            <v>90</v>
          </cell>
          <cell r="B103">
            <v>0.36879786305379225</v>
          </cell>
          <cell r="C103">
            <v>0.63120213694620775</v>
          </cell>
          <cell r="D103">
            <v>0.36992452075785942</v>
          </cell>
          <cell r="E103">
            <v>1.0030549464000089</v>
          </cell>
        </row>
        <row r="104">
          <cell r="A104">
            <v>91</v>
          </cell>
          <cell r="B104">
            <v>0.36473289489447341</v>
          </cell>
          <cell r="C104">
            <v>0.63526710510552653</v>
          </cell>
          <cell r="D104">
            <v>0.36991210249800921</v>
          </cell>
          <cell r="E104">
            <v>1.0142000013599932</v>
          </cell>
        </row>
        <row r="105">
          <cell r="A105">
            <v>92</v>
          </cell>
          <cell r="B105">
            <v>0.3607127316751817</v>
          </cell>
          <cell r="C105">
            <v>0.6392872683248183</v>
          </cell>
          <cell r="D105">
            <v>0.36985501617484307</v>
          </cell>
          <cell r="E105">
            <v>1.0253450563200357</v>
          </cell>
        </row>
        <row r="106">
          <cell r="A106">
            <v>93</v>
          </cell>
          <cell r="B106">
            <v>0.35673687954637839</v>
          </cell>
          <cell r="C106">
            <v>0.64326312045362166</v>
          </cell>
          <cell r="D106">
            <v>0.36975424797871237</v>
          </cell>
          <cell r="E106">
            <v>1.0364901112800187</v>
          </cell>
        </row>
        <row r="107">
          <cell r="A107">
            <v>94</v>
          </cell>
          <cell r="B107">
            <v>0.35280485010183882</v>
          </cell>
          <cell r="C107">
            <v>0.64719514989816118</v>
          </cell>
          <cell r="D107">
            <v>0.36961076778671487</v>
          </cell>
          <cell r="E107">
            <v>1.0476351662399905</v>
          </cell>
        </row>
        <row r="108">
          <cell r="A108">
            <v>95</v>
          </cell>
          <cell r="B108">
            <v>0.34891616031865519</v>
          </cell>
          <cell r="C108">
            <v>0.65108383968134476</v>
          </cell>
          <cell r="D108">
            <v>0.36942552940243956</v>
          </cell>
          <cell r="E108">
            <v>1.0587802211999975</v>
          </cell>
        </row>
        <row r="109">
          <cell r="A109">
            <v>96</v>
          </cell>
          <cell r="B109">
            <v>0.34507033249790059</v>
          </cell>
          <cell r="C109">
            <v>0.65492966750209947</v>
          </cell>
          <cell r="D109">
            <v>0.36919947079245219</v>
          </cell>
          <cell r="E109">
            <v>1.0699252761600373</v>
          </cell>
        </row>
        <row r="110">
          <cell r="A110">
            <v>97</v>
          </cell>
          <cell r="B110">
            <v>0.34126689420594675</v>
          </cell>
          <cell r="C110">
            <v>0.65873310579405331</v>
          </cell>
          <cell r="D110">
            <v>0.3689335143195227</v>
          </cell>
          <cell r="E110">
            <v>1.0810703311200172</v>
          </cell>
        </row>
        <row r="111">
          <cell r="A111">
            <v>98</v>
          </cell>
          <cell r="B111">
            <v>0.33750537821642901</v>
          </cell>
          <cell r="C111">
            <v>0.66249462178357099</v>
          </cell>
          <cell r="D111">
            <v>0.36862856697273294</v>
          </cell>
          <cell r="E111">
            <v>1.0922153860799986</v>
          </cell>
        </row>
        <row r="112">
          <cell r="A112">
            <v>99</v>
          </cell>
          <cell r="B112">
            <v>0.33378532245285064</v>
          </cell>
          <cell r="C112">
            <v>0.66621467754714936</v>
          </cell>
          <cell r="D112">
            <v>0.36828552059425834</v>
          </cell>
          <cell r="E112">
            <v>1.1033604410400073</v>
          </cell>
        </row>
        <row r="113">
          <cell r="A113">
            <v>100</v>
          </cell>
          <cell r="B113">
            <v>0.33010626993181985</v>
          </cell>
          <cell r="C113">
            <v>0.6698937300681802</v>
          </cell>
          <cell r="D113">
            <v>0.36790525210308456</v>
          </cell>
          <cell r="E113">
            <v>1.1145054960000358</v>
          </cell>
        </row>
        <row r="114">
          <cell r="A114">
            <v>101</v>
          </cell>
          <cell r="B114">
            <v>0.32646776870691274</v>
          </cell>
          <cell r="C114">
            <v>0.67353223129308726</v>
          </cell>
          <cell r="D114">
            <v>0.36748862371561242</v>
          </cell>
          <cell r="E114">
            <v>1.1256505509599823</v>
          </cell>
        </row>
        <row r="115">
          <cell r="A115">
            <v>102</v>
          </cell>
          <cell r="B115">
            <v>0.32286937181315439</v>
          </cell>
          <cell r="C115">
            <v>0.67713062818684566</v>
          </cell>
          <cell r="D115">
            <v>0.36703648316335724</v>
          </cell>
          <cell r="E115">
            <v>1.136795605920039</v>
          </cell>
        </row>
        <row r="116">
          <cell r="A116">
            <v>103</v>
          </cell>
          <cell r="B116">
            <v>0.31931063721211272</v>
          </cell>
          <cell r="C116">
            <v>0.68068936278788728</v>
          </cell>
          <cell r="D116">
            <v>0.36654966390728616</v>
          </cell>
          <cell r="E116">
            <v>1.1479406608799987</v>
          </cell>
        </row>
        <row r="117">
          <cell r="A117">
            <v>104</v>
          </cell>
          <cell r="B117">
            <v>0.31579112773759682</v>
          </cell>
          <cell r="C117">
            <v>0.68420887226240312</v>
          </cell>
          <cell r="D117">
            <v>0.36602898534964812</v>
          </cell>
          <cell r="E117">
            <v>1.1590857158399837</v>
          </cell>
        </row>
        <row r="118">
          <cell r="A118">
            <v>105</v>
          </cell>
          <cell r="B118">
            <v>0.31231041104195406</v>
          </cell>
          <cell r="C118">
            <v>0.68768958895804588</v>
          </cell>
          <cell r="D118">
            <v>0.36547525304248984</v>
          </cell>
          <cell r="E118">
            <v>1.1702307707999973</v>
          </cell>
        </row>
        <row r="119">
          <cell r="A119">
            <v>106</v>
          </cell>
          <cell r="B119">
            <v>0.30886805954295921</v>
          </cell>
          <cell r="C119">
            <v>0.69113194045704085</v>
          </cell>
          <cell r="D119">
            <v>0.36488925889346646</v>
          </cell>
          <cell r="E119">
            <v>1.181375825760046</v>
          </cell>
        </row>
        <row r="120">
          <cell r="A120">
            <v>107</v>
          </cell>
          <cell r="B120">
            <v>0.30546365037128892</v>
          </cell>
          <cell r="C120">
            <v>0.69453634962871114</v>
          </cell>
          <cell r="D120">
            <v>0.36427178136872063</v>
          </cell>
          <cell r="E120">
            <v>1.1925208807200165</v>
          </cell>
        </row>
        <row r="121">
          <cell r="A121">
            <v>108</v>
          </cell>
          <cell r="B121">
            <v>0.3020967653185751</v>
          </cell>
          <cell r="C121">
            <v>0.6979032346814249</v>
          </cell>
          <cell r="D121">
            <v>0.3636235856930865</v>
          </cell>
          <cell r="E121">
            <v>1.2036659356800081</v>
          </cell>
        </row>
        <row r="122">
          <cell r="A122">
            <v>109</v>
          </cell>
          <cell r="B122">
            <v>0.29876699078603097</v>
          </cell>
          <cell r="C122">
            <v>0.70123300921396903</v>
          </cell>
          <cell r="D122">
            <v>0.36294542404730989</v>
          </cell>
          <cell r="E122">
            <v>1.2148109906399995</v>
          </cell>
        </row>
        <row r="123">
          <cell r="A123">
            <v>110</v>
          </cell>
          <cell r="B123">
            <v>0.29547391773364295</v>
          </cell>
          <cell r="C123">
            <v>0.70452608226635705</v>
          </cell>
          <cell r="D123">
            <v>0.36223803576268199</v>
          </cell>
          <cell r="E123">
            <v>1.225956045600018</v>
          </cell>
        </row>
        <row r="124">
          <cell r="A124">
            <v>111</v>
          </cell>
          <cell r="B124">
            <v>0.29221714162992335</v>
          </cell>
          <cell r="C124">
            <v>0.70778285837007671</v>
          </cell>
          <cell r="D124">
            <v>0.36150214751288234</v>
          </cell>
          <cell r="E124">
            <v>1.2371011005600232</v>
          </cell>
        </row>
        <row r="125">
          <cell r="A125">
            <v>112</v>
          </cell>
          <cell r="B125">
            <v>0.28899626240221599</v>
          </cell>
          <cell r="C125">
            <v>0.71100373759778401</v>
          </cell>
          <cell r="D125">
            <v>0.36073847350321842</v>
          </cell>
          <cell r="E125">
            <v>1.2482461555200111</v>
          </cell>
        </row>
        <row r="126">
          <cell r="A126">
            <v>113</v>
          </cell>
          <cell r="B126">
            <v>0.28581088438755053</v>
          </cell>
          <cell r="C126">
            <v>0.71418911561244947</v>
          </cell>
          <cell r="D126">
            <v>0.35994771565719608</v>
          </cell>
          <cell r="E126">
            <v>1.2593912104799982</v>
          </cell>
        </row>
        <row r="127">
          <cell r="A127">
            <v>114</v>
          </cell>
          <cell r="B127">
            <v>0.28266061628403744</v>
          </cell>
          <cell r="C127">
            <v>0.71733938371596251</v>
          </cell>
          <cell r="D127">
            <v>0.35913056380048691</v>
          </cell>
          <cell r="E127">
            <v>1.2705362654399899</v>
          </cell>
        </row>
        <row r="128">
          <cell r="A128">
            <v>115</v>
          </cell>
          <cell r="B128">
            <v>0.27954507110279964</v>
          </cell>
          <cell r="C128">
            <v>0.72045492889720042</v>
          </cell>
          <cell r="D128">
            <v>0.35828769584235975</v>
          </cell>
          <cell r="E128">
            <v>1.2816813204000417</v>
          </cell>
        </row>
        <row r="129">
          <cell r="A129">
            <v>116</v>
          </cell>
          <cell r="B129">
            <v>0.27646386612043322</v>
          </cell>
          <cell r="C129">
            <v>0.72353613387956672</v>
          </cell>
          <cell r="D129">
            <v>0.3574197779544912</v>
          </cell>
          <cell r="E129">
            <v>1.2928263753599971</v>
          </cell>
        </row>
        <row r="130">
          <cell r="A130">
            <v>117</v>
          </cell>
          <cell r="B130">
            <v>0.27341662283199303</v>
          </cell>
          <cell r="C130">
            <v>0.72658337716800703</v>
          </cell>
          <cell r="D130">
            <v>0.35652746474751562</v>
          </cell>
          <cell r="E130">
            <v>1.3039714303200647</v>
          </cell>
        </row>
        <row r="131">
          <cell r="A131">
            <v>118</v>
          </cell>
          <cell r="B131">
            <v>0.27040296690449539</v>
          </cell>
          <cell r="C131">
            <v>0.72959703309550461</v>
          </cell>
          <cell r="D131">
            <v>0.35561139944471476</v>
          </cell>
          <cell r="E131">
            <v>1.3151164852799653</v>
          </cell>
        </row>
        <row r="132">
          <cell r="A132">
            <v>119</v>
          </cell>
          <cell r="B132">
            <v>0.26742252813093392</v>
          </cell>
          <cell r="C132">
            <v>0.73257747186906608</v>
          </cell>
          <cell r="D132">
            <v>0.35467221405381455</v>
          </cell>
          <cell r="E132">
            <v>1.3262615402400277</v>
          </cell>
        </row>
        <row r="133">
          <cell r="A133">
            <v>120</v>
          </cell>
          <cell r="B133">
            <v>0.26447494038480263</v>
          </cell>
          <cell r="C133">
            <v>0.73552505961519743</v>
          </cell>
          <cell r="D133">
            <v>0.35371052953576232</v>
          </cell>
          <cell r="E133">
            <v>1.3374065952000018</v>
          </cell>
        </row>
        <row r="134">
          <cell r="A134">
            <v>121</v>
          </cell>
          <cell r="B134">
            <v>0.26155984157511897</v>
          </cell>
          <cell r="C134">
            <v>0.73844015842488098</v>
          </cell>
          <cell r="D134">
            <v>0.35272695597170922</v>
          </cell>
          <cell r="E134">
            <v>1.3485516501599784</v>
          </cell>
        </row>
        <row r="135">
          <cell r="A135">
            <v>122</v>
          </cell>
          <cell r="B135">
            <v>0.2586768736019443</v>
          </cell>
          <cell r="C135">
            <v>0.74132312639805575</v>
          </cell>
          <cell r="D135">
            <v>0.3517220927273228</v>
          </cell>
          <cell r="E135">
            <v>1.3596967051200635</v>
          </cell>
        </row>
        <row r="136">
          <cell r="A136">
            <v>123</v>
          </cell>
          <cell r="B136">
            <v>0.25582568231239317</v>
          </cell>
          <cell r="C136">
            <v>0.74417431768760678</v>
          </cell>
          <cell r="D136">
            <v>0.35069652861477607</v>
          </cell>
          <cell r="E136">
            <v>1.3708417600799534</v>
          </cell>
        </row>
        <row r="137">
          <cell r="A137">
            <v>124</v>
          </cell>
          <cell r="B137">
            <v>0.25300591745712819</v>
          </cell>
          <cell r="C137">
            <v>0.74699408254287181</v>
          </cell>
          <cell r="D137">
            <v>0.34965084205286345</v>
          </cell>
          <cell r="E137">
            <v>1.3819868150400543</v>
          </cell>
        </row>
        <row r="138">
          <cell r="A138">
            <v>125</v>
          </cell>
          <cell r="B138">
            <v>0.25021723264733453</v>
          </cell>
          <cell r="C138">
            <v>0.74978276735266547</v>
          </cell>
          <cell r="D138">
            <v>0.34858560122420779</v>
          </cell>
          <cell r="E138">
            <v>1.3931318700000064</v>
          </cell>
        </row>
        <row r="139">
          <cell r="A139">
            <v>126</v>
          </cell>
          <cell r="B139">
            <v>0.24745928531216807</v>
          </cell>
          <cell r="C139">
            <v>0.7525407146878319</v>
          </cell>
          <cell r="D139">
            <v>0.34750136423097056</v>
          </cell>
          <cell r="E139">
            <v>1.4042769249599996</v>
          </cell>
        </row>
        <row r="140">
          <cell r="A140">
            <v>127</v>
          </cell>
          <cell r="B140">
            <v>0.24473173665667317</v>
          </cell>
          <cell r="C140">
            <v>0.75526826334332686</v>
          </cell>
          <cell r="D140">
            <v>0.34639867924785994</v>
          </cell>
          <cell r="E140">
            <v>1.4154219799200474</v>
          </cell>
        </row>
        <row r="141">
          <cell r="A141">
            <v>128</v>
          </cell>
          <cell r="B141">
            <v>0.24203425162016395</v>
          </cell>
          <cell r="C141">
            <v>0.7579657483798361</v>
          </cell>
          <cell r="D141">
            <v>0.34527808467318266</v>
          </cell>
          <cell r="E141">
            <v>1.4265670348800228</v>
          </cell>
        </row>
        <row r="142">
          <cell r="A142">
            <v>129</v>
          </cell>
          <cell r="B142">
            <v>0.23936649883506436</v>
          </cell>
          <cell r="C142">
            <v>0.76063350116493567</v>
          </cell>
          <cell r="D142">
            <v>0.34414010927784378</v>
          </cell>
          <cell r="E142">
            <v>1.4377120898399978</v>
          </cell>
        </row>
        <row r="143">
          <cell r="A143">
            <v>130</v>
          </cell>
          <cell r="B143">
            <v>0.23672815058620195</v>
          </cell>
          <cell r="C143">
            <v>0.763271849413798</v>
          </cell>
          <cell r="D143">
            <v>0.34298527235210319</v>
          </cell>
          <cell r="E143">
            <v>1.4488571447999754</v>
          </cell>
        </row>
        <row r="144">
          <cell r="A144">
            <v>131</v>
          </cell>
          <cell r="B144">
            <v>0.23411888277055035</v>
          </cell>
          <cell r="C144">
            <v>0.76588111722944963</v>
          </cell>
          <cell r="D144">
            <v>0.34181408385036327</v>
          </cell>
          <cell r="E144">
            <v>1.4600021997600265</v>
          </cell>
        </row>
        <row r="145">
          <cell r="A145">
            <v>132</v>
          </cell>
          <cell r="B145">
            <v>0.23153837485741535</v>
          </cell>
          <cell r="C145">
            <v>0.76846162514258465</v>
          </cell>
          <cell r="D145">
            <v>0.34062704453382286</v>
          </cell>
          <cell r="E145">
            <v>1.4711472547200259</v>
          </cell>
        </row>
        <row r="146">
          <cell r="A146">
            <v>133</v>
          </cell>
          <cell r="B146">
            <v>0.22898630984905996</v>
          </cell>
          <cell r="C146">
            <v>0.77101369015094001</v>
          </cell>
          <cell r="D146">
            <v>0.33942464611126344</v>
          </cell>
          <cell r="E146">
            <v>1.4822923096800009</v>
          </cell>
        </row>
        <row r="147">
          <cell r="A147">
            <v>134</v>
          </cell>
          <cell r="B147">
            <v>0.22646237424176338</v>
          </cell>
          <cell r="C147">
            <v>0.77353762575823659</v>
          </cell>
          <cell r="D147">
            <v>0.33820737137774159</v>
          </cell>
          <cell r="E147">
            <v>1.4934373646400223</v>
          </cell>
        </row>
        <row r="148">
          <cell r="A148">
            <v>135</v>
          </cell>
          <cell r="B148">
            <v>0.22396625798730926</v>
          </cell>
          <cell r="C148">
            <v>0.77603374201269071</v>
          </cell>
          <cell r="D148">
            <v>0.33697569435130581</v>
          </cell>
          <cell r="E148">
            <v>1.5045824196000099</v>
          </cell>
        </row>
        <row r="149">
          <cell r="A149">
            <v>136</v>
          </cell>
          <cell r="B149">
            <v>0.22149765445489833</v>
          </cell>
          <cell r="C149">
            <v>0.77850234554510167</v>
          </cell>
          <cell r="D149">
            <v>0.33573008040789087</v>
          </cell>
          <cell r="E149">
            <v>1.5157274745600193</v>
          </cell>
        </row>
        <row r="150">
          <cell r="A150">
            <v>137</v>
          </cell>
          <cell r="B150">
            <v>0.21905626039348086</v>
          </cell>
          <cell r="C150">
            <v>0.78094373960651908</v>
          </cell>
          <cell r="D150">
            <v>0.33447098641418549</v>
          </cell>
          <cell r="E150">
            <v>1.5268725295199981</v>
          </cell>
        </row>
        <row r="151">
          <cell r="A151">
            <v>138</v>
          </cell>
          <cell r="B151">
            <v>0.21664177589450462</v>
          </cell>
          <cell r="C151">
            <v>0.78335822410549538</v>
          </cell>
          <cell r="D151">
            <v>0.3331988608587293</v>
          </cell>
          <cell r="E151">
            <v>1.5380175844800268</v>
          </cell>
        </row>
        <row r="152">
          <cell r="A152">
            <v>139</v>
          </cell>
          <cell r="B152">
            <v>0.21425390435507272</v>
          </cell>
          <cell r="C152">
            <v>0.78574609564492726</v>
          </cell>
          <cell r="D152">
            <v>0.33191414398103047</v>
          </cell>
          <cell r="E152">
            <v>1.5491626394400033</v>
          </cell>
        </row>
        <row r="153">
          <cell r="A153">
            <v>140</v>
          </cell>
          <cell r="B153">
            <v>0.21189235244150839</v>
          </cell>
          <cell r="C153">
            <v>0.78810764755849161</v>
          </cell>
          <cell r="D153">
            <v>0.33061726789900936</v>
          </cell>
          <cell r="E153">
            <v>1.560307694400034</v>
          </cell>
        </row>
        <row r="154">
          <cell r="A154">
            <v>141</v>
          </cell>
          <cell r="B154">
            <v>0.20955683005332071</v>
          </cell>
          <cell r="C154">
            <v>0.79044316994667929</v>
          </cell>
          <cell r="D154">
            <v>0.3293086567344633</v>
          </cell>
          <cell r="E154">
            <v>1.5714527493600297</v>
          </cell>
        </row>
        <row r="155">
          <cell r="A155">
            <v>142</v>
          </cell>
          <cell r="B155">
            <v>0.20724705028756787</v>
          </cell>
          <cell r="C155">
            <v>0.79275294971243215</v>
          </cell>
          <cell r="D155">
            <v>0.32798872673690638</v>
          </cell>
          <cell r="E155">
            <v>1.5825978043200233</v>
          </cell>
        </row>
        <row r="156">
          <cell r="A156">
            <v>143</v>
          </cell>
          <cell r="B156">
            <v>0.20496272940361296</v>
          </cell>
          <cell r="C156">
            <v>0.79503727059638707</v>
          </cell>
          <cell r="D156">
            <v>0.32665788640555293</v>
          </cell>
          <cell r="E156">
            <v>1.5937428592800287</v>
          </cell>
        </row>
        <row r="157">
          <cell r="A157">
            <v>144</v>
          </cell>
          <cell r="B157">
            <v>0.20270358678826858</v>
          </cell>
          <cell r="C157">
            <v>0.79729641321173139</v>
          </cell>
          <cell r="D157">
            <v>0.32531653660958249</v>
          </cell>
          <cell r="E157">
            <v>1.604887914239957</v>
          </cell>
        </row>
        <row r="158">
          <cell r="A158">
            <v>145</v>
          </cell>
          <cell r="B158">
            <v>0.20046934492132518</v>
          </cell>
          <cell r="C158">
            <v>0.79953065507867482</v>
          </cell>
          <cell r="D158">
            <v>0.32396507070679759</v>
          </cell>
          <cell r="E158">
            <v>1.6160329692000475</v>
          </cell>
        </row>
        <row r="159">
          <cell r="A159">
            <v>146</v>
          </cell>
          <cell r="B159">
            <v>0.19825972934145986</v>
          </cell>
          <cell r="C159">
            <v>0.80174027065854014</v>
          </cell>
          <cell r="D159">
            <v>0.3226038746603368</v>
          </cell>
          <cell r="E159">
            <v>1.6271780241600191</v>
          </cell>
        </row>
        <row r="160">
          <cell r="A160">
            <v>147</v>
          </cell>
          <cell r="B160">
            <v>0.19607446861252054</v>
          </cell>
          <cell r="C160">
            <v>0.80392553138747946</v>
          </cell>
          <cell r="D160">
            <v>0.32123332715408004</v>
          </cell>
          <cell r="E160">
            <v>1.6383230791199879</v>
          </cell>
        </row>
        <row r="161">
          <cell r="A161">
            <v>148</v>
          </cell>
          <cell r="B161">
            <v>0.19391329429018175</v>
          </cell>
          <cell r="C161">
            <v>0.80608670570981822</v>
          </cell>
          <cell r="D161">
            <v>0.3198537997061357</v>
          </cell>
          <cell r="E161">
            <v>1.649468134080019</v>
          </cell>
        </row>
        <row r="162">
          <cell r="A162">
            <v>149</v>
          </cell>
          <cell r="B162">
            <v>0.19177594088896846</v>
          </cell>
          <cell r="C162">
            <v>0.80822405911103157</v>
          </cell>
          <cell r="D162">
            <v>0.31846565678078897</v>
          </cell>
          <cell r="E162">
            <v>1.6606131890400653</v>
          </cell>
        </row>
        <row r="163">
          <cell r="A163">
            <v>150</v>
          </cell>
          <cell r="B163">
            <v>0.18966214584964264</v>
          </cell>
          <cell r="C163">
            <v>0.81033785415035742</v>
          </cell>
          <cell r="D163">
            <v>0.31706925589887747</v>
          </cell>
          <cell r="E163">
            <v>1.6717582440000369</v>
          </cell>
        </row>
        <row r="164">
          <cell r="A164">
            <v>151</v>
          </cell>
          <cell r="B164">
            <v>0.18757164950694979</v>
          </cell>
          <cell r="C164">
            <v>0.81242835049305018</v>
          </cell>
          <cell r="D164">
            <v>0.31566494774660681</v>
          </cell>
          <cell r="E164">
            <v>1.6829032989599582</v>
          </cell>
        </row>
        <row r="165">
          <cell r="A165">
            <v>152</v>
          </cell>
          <cell r="B165">
            <v>0.18550419505772095</v>
          </cell>
          <cell r="C165">
            <v>0.81449580494227902</v>
          </cell>
          <cell r="D165">
            <v>0.31425307628278443</v>
          </cell>
          <cell r="E165">
            <v>1.6940483539199873</v>
          </cell>
        </row>
        <row r="166">
          <cell r="A166">
            <v>153</v>
          </cell>
          <cell r="B166">
            <v>0.1834595285293259</v>
          </cell>
          <cell r="C166">
            <v>0.8165404714706741</v>
          </cell>
          <cell r="D166">
            <v>0.31283397884444697</v>
          </cell>
          <cell r="E166">
            <v>1.7051934088800442</v>
          </cell>
        </row>
        <row r="167">
          <cell r="A167">
            <v>154</v>
          </cell>
          <cell r="B167">
            <v>0.1814373987484747</v>
          </cell>
          <cell r="C167">
            <v>0.81856260125152525</v>
          </cell>
          <cell r="D167">
            <v>0.31140798625107635</v>
          </cell>
          <cell r="E167">
            <v>1.7163384638399655</v>
          </cell>
        </row>
        <row r="168">
          <cell r="A168">
            <v>155</v>
          </cell>
          <cell r="B168">
            <v>0.17943755731036257</v>
          </cell>
          <cell r="C168">
            <v>0.82056244268963741</v>
          </cell>
          <cell r="D168">
            <v>0.30997542290738478</v>
          </cell>
          <cell r="E168">
            <v>1.7274835188000166</v>
          </cell>
        </row>
        <row r="169">
          <cell r="A169">
            <v>156</v>
          </cell>
          <cell r="B169">
            <v>0.17745975854815499</v>
          </cell>
          <cell r="C169">
            <v>0.82254024145184501</v>
          </cell>
          <cell r="D169">
            <v>0.30853660690438645</v>
          </cell>
          <cell r="E169">
            <v>1.7386285737600775</v>
          </cell>
        </row>
        <row r="170">
          <cell r="A170">
            <v>157</v>
          </cell>
          <cell r="B170">
            <v>0.17550375950280955</v>
          </cell>
          <cell r="C170">
            <v>0.8244962404971905</v>
          </cell>
          <cell r="D170">
            <v>0.30709185011924212</v>
          </cell>
          <cell r="E170">
            <v>1.7497736287200505</v>
          </cell>
        </row>
        <row r="171">
          <cell r="A171">
            <v>158</v>
          </cell>
          <cell r="B171">
            <v>0.17356931989322968</v>
          </cell>
          <cell r="C171">
            <v>0.82643068010677034</v>
          </cell>
          <cell r="D171">
            <v>0.30564145831361489</v>
          </cell>
          <cell r="E171">
            <v>1.7609186836799771</v>
          </cell>
        </row>
        <row r="172">
          <cell r="A172">
            <v>159</v>
          </cell>
          <cell r="B172">
            <v>0.17165620208674798</v>
          </cell>
          <cell r="C172">
            <v>0.82834379791325197</v>
          </cell>
          <cell r="D172">
            <v>0.30418573123057813</v>
          </cell>
          <cell r="E172">
            <v>1.7720637386399543</v>
          </cell>
        </row>
        <row r="173">
          <cell r="A173">
            <v>160</v>
          </cell>
          <cell r="B173">
            <v>0.16976417106993469</v>
          </cell>
          <cell r="C173">
            <v>0.83023582893006531</v>
          </cell>
          <cell r="D173">
            <v>0.30272496269013516</v>
          </cell>
          <cell r="E173">
            <v>1.783208793600076</v>
          </cell>
        </row>
        <row r="174">
          <cell r="A174">
            <v>161</v>
          </cell>
          <cell r="B174">
            <v>0.16789299441972783</v>
          </cell>
          <cell r="C174">
            <v>0.83210700558027217</v>
          </cell>
          <cell r="D174">
            <v>0.3012594406833049</v>
          </cell>
          <cell r="E174">
            <v>1.7943538485600219</v>
          </cell>
        </row>
        <row r="175">
          <cell r="A175">
            <v>162</v>
          </cell>
          <cell r="B175">
            <v>0.16604244227488163</v>
          </cell>
          <cell r="C175">
            <v>0.83395755772511837</v>
          </cell>
          <cell r="D175">
            <v>0.29978944746508374</v>
          </cell>
          <cell r="E175">
            <v>1.8054989035200124</v>
          </cell>
        </row>
        <row r="176">
          <cell r="A176">
            <v>163</v>
          </cell>
          <cell r="B176">
            <v>0.16421228730772966</v>
          </cell>
          <cell r="C176">
            <v>0.83578771269227037</v>
          </cell>
          <cell r="D176">
            <v>0.29831525964577565</v>
          </cell>
          <cell r="E176">
            <v>1.81664395848004</v>
          </cell>
        </row>
        <row r="177">
          <cell r="A177">
            <v>164</v>
          </cell>
          <cell r="B177">
            <v>0.16240230469625916</v>
          </cell>
          <cell r="C177">
            <v>0.83759769530374084</v>
          </cell>
          <cell r="D177">
            <v>0.29683714828115759</v>
          </cell>
          <cell r="E177">
            <v>1.8277890134399988</v>
          </cell>
        </row>
        <row r="178">
          <cell r="A178">
            <v>165</v>
          </cell>
          <cell r="B178">
            <v>0.16061227209649323</v>
          </cell>
          <cell r="C178">
            <v>0.8393877279035068</v>
          </cell>
          <cell r="D178">
            <v>0.29535537896138275</v>
          </cell>
          <cell r="E178">
            <v>1.8389340684000663</v>
          </cell>
        </row>
        <row r="179">
          <cell r="A179">
            <v>166</v>
          </cell>
          <cell r="B179">
            <v>0.15884196961517741</v>
          </cell>
          <cell r="C179">
            <v>0.84115803038482262</v>
          </cell>
          <cell r="D179">
            <v>0.29387021189842644</v>
          </cell>
          <cell r="E179">
            <v>1.8500791233600204</v>
          </cell>
        </row>
        <row r="180">
          <cell r="A180">
            <v>167</v>
          </cell>
          <cell r="B180">
            <v>0.15709117978276721</v>
          </cell>
          <cell r="C180">
            <v>0.84290882021723279</v>
          </cell>
          <cell r="D180">
            <v>0.29238190201249858</v>
          </cell>
          <cell r="E180">
            <v>1.8612241783199892</v>
          </cell>
        </row>
        <row r="181">
          <cell r="A181">
            <v>168</v>
          </cell>
          <cell r="B181">
            <v>0.15535968752671356</v>
          </cell>
          <cell r="C181">
            <v>0.84464031247328641</v>
          </cell>
          <cell r="D181">
            <v>0.29089069901700881</v>
          </cell>
          <cell r="E181">
            <v>1.8723692332799728</v>
          </cell>
        </row>
        <row r="182">
          <cell r="A182">
            <v>169</v>
          </cell>
          <cell r="B182">
            <v>0.15364728014504253</v>
          </cell>
          <cell r="C182">
            <v>0.84635271985495741</v>
          </cell>
          <cell r="D182">
            <v>0.28939684750239891</v>
          </cell>
          <cell r="E182">
            <v>1.883514288239982</v>
          </cell>
        </row>
        <row r="183">
          <cell r="A183">
            <v>170</v>
          </cell>
          <cell r="B183">
            <v>0.15195374728022645</v>
          </cell>
          <cell r="C183">
            <v>0.84804625271977352</v>
          </cell>
          <cell r="D183">
            <v>0.28790058701873789</v>
          </cell>
          <cell r="E183">
            <v>1.8946593432000345</v>
          </cell>
        </row>
        <row r="184">
          <cell r="A184">
            <v>171</v>
          </cell>
          <cell r="B184">
            <v>0.15027888089334285</v>
          </cell>
          <cell r="C184">
            <v>0.84972111910665715</v>
          </cell>
          <cell r="D184">
            <v>0.2864021521571013</v>
          </cell>
          <cell r="E184">
            <v>1.9058043981600379</v>
          </cell>
        </row>
        <row r="185">
          <cell r="A185">
            <v>172</v>
          </cell>
          <cell r="B185">
            <v>0.14862247523851829</v>
          </cell>
          <cell r="C185">
            <v>0.85137752476148165</v>
          </cell>
          <cell r="D185">
            <v>0.28490177262981398</v>
          </cell>
          <cell r="E185">
            <v>1.9169494531199704</v>
          </cell>
        </row>
        <row r="186">
          <cell r="A186">
            <v>173</v>
          </cell>
          <cell r="B186">
            <v>0.146984326837654</v>
          </cell>
          <cell r="C186">
            <v>0.85301567316234594</v>
          </cell>
          <cell r="D186">
            <v>0.28339967334952254</v>
          </cell>
          <cell r="E186">
            <v>1.9280945080800416</v>
          </cell>
        </row>
        <row r="187">
          <cell r="A187">
            <v>174</v>
          </cell>
          <cell r="B187">
            <v>0.1453642344554299</v>
          </cell>
          <cell r="C187">
            <v>0.8546357655445701</v>
          </cell>
          <cell r="D187">
            <v>0.2818960745070036</v>
          </cell>
          <cell r="E187">
            <v>1.9392395630400798</v>
          </cell>
        </row>
        <row r="188">
          <cell r="A188">
            <v>175</v>
          </cell>
          <cell r="B188">
            <v>0.14376199907458417</v>
          </cell>
          <cell r="C188">
            <v>0.8562380009254158</v>
          </cell>
          <cell r="D188">
            <v>0.28039119164799675</v>
          </cell>
          <cell r="E188">
            <v>1.9503846179999829</v>
          </cell>
        </row>
        <row r="189">
          <cell r="A189">
            <v>176</v>
          </cell>
          <cell r="B189">
            <v>0.14217742387146545</v>
          </cell>
          <cell r="C189">
            <v>0.85782257612853452</v>
          </cell>
          <cell r="D189">
            <v>0.2788852357488949</v>
          </cell>
          <cell r="E189">
            <v>1.961529672960028</v>
          </cell>
        </row>
        <row r="190">
          <cell r="A190">
            <v>177</v>
          </cell>
          <cell r="B190">
            <v>0.14061031419185438</v>
          </cell>
          <cell r="C190">
            <v>0.85938968580814556</v>
          </cell>
          <cell r="D190">
            <v>0.27737841329115498</v>
          </cell>
          <cell r="E190">
            <v>1.9726747279199497</v>
          </cell>
        </row>
        <row r="191">
          <cell r="A191">
            <v>178</v>
          </cell>
          <cell r="B191">
            <v>0.1390604775270515</v>
          </cell>
          <cell r="C191">
            <v>0.86093952247294847</v>
          </cell>
          <cell r="D191">
            <v>0.27587092633491728</v>
          </cell>
          <cell r="E191">
            <v>1.9838197828800923</v>
          </cell>
        </row>
        <row r="192">
          <cell r="A192">
            <v>179</v>
          </cell>
          <cell r="B192">
            <v>0.13752772349022924</v>
          </cell>
          <cell r="C192">
            <v>0.86247227650977076</v>
          </cell>
          <cell r="D192">
            <v>0.27436297259119036</v>
          </cell>
          <cell r="E192">
            <v>1.994964837840006</v>
          </cell>
        </row>
        <row r="193">
          <cell r="A193">
            <v>180</v>
          </cell>
          <cell r="B193">
            <v>0.1360118637930437</v>
          </cell>
          <cell r="C193">
            <v>0.86398813620695636</v>
          </cell>
          <cell r="D193">
            <v>0.27285474549340716</v>
          </cell>
          <cell r="E193">
            <v>2.0061098928001182</v>
          </cell>
        </row>
        <row r="194">
          <cell r="A194">
            <v>181</v>
          </cell>
          <cell r="B194">
            <v>0.13451271222250519</v>
          </cell>
          <cell r="C194">
            <v>0.86548728777749484</v>
          </cell>
          <cell r="D194">
            <v>0.27134643426746519</v>
          </cell>
          <cell r="E194">
            <v>2.017254947759997</v>
          </cell>
        </row>
        <row r="195">
          <cell r="A195">
            <v>182</v>
          </cell>
          <cell r="B195">
            <v>0.13303008461810298</v>
          </cell>
          <cell r="C195">
            <v>0.86696991538189705</v>
          </cell>
          <cell r="D195">
            <v>0.26983822400120205</v>
          </cell>
          <cell r="E195">
            <v>2.0284000027200011</v>
          </cell>
        </row>
        <row r="196">
          <cell r="A196">
            <v>183</v>
          </cell>
          <cell r="B196">
            <v>0.13156379884918243</v>
          </cell>
          <cell r="C196">
            <v>0.86843620115081754</v>
          </cell>
          <cell r="D196">
            <v>0.26833029571245048</v>
          </cell>
          <cell r="E196">
            <v>2.0395450576799603</v>
          </cell>
        </row>
        <row r="197">
          <cell r="A197">
            <v>184</v>
          </cell>
          <cell r="B197">
            <v>0.13011367479257166</v>
          </cell>
          <cell r="C197">
            <v>0.86988632520742837</v>
          </cell>
          <cell r="D197">
            <v>0.26682282641639166</v>
          </cell>
          <cell r="E197">
            <v>2.0506901126400656</v>
          </cell>
        </row>
        <row r="198">
          <cell r="A198">
            <v>185</v>
          </cell>
          <cell r="B198">
            <v>0.1286795343104544</v>
          </cell>
          <cell r="C198">
            <v>0.87132046568954558</v>
          </cell>
          <cell r="D198">
            <v>0.26531598919168342</v>
          </cell>
          <cell r="E198">
            <v>2.0618351675999822</v>
          </cell>
        </row>
        <row r="199">
          <cell r="A199">
            <v>186</v>
          </cell>
          <cell r="B199">
            <v>0.1272612012284873</v>
          </cell>
          <cell r="C199">
            <v>0.87273879877151272</v>
          </cell>
          <cell r="D199">
            <v>0.26380995324588974</v>
          </cell>
          <cell r="E199">
            <v>2.0729802225600564</v>
          </cell>
        </row>
        <row r="200">
          <cell r="A200">
            <v>187</v>
          </cell>
          <cell r="B200">
            <v>0.12585850131415777</v>
          </cell>
          <cell r="C200">
            <v>0.87414149868584223</v>
          </cell>
          <cell r="D200">
            <v>0.26230488397961804</v>
          </cell>
          <cell r="E200">
            <v>2.0841252775199819</v>
          </cell>
        </row>
        <row r="201">
          <cell r="A201">
            <v>188</v>
          </cell>
          <cell r="B201">
            <v>0.12447126225538094</v>
          </cell>
          <cell r="C201">
            <v>0.87552873774461903</v>
          </cell>
          <cell r="D201">
            <v>0.26080094305003865</v>
          </cell>
          <cell r="E201">
            <v>2.0952703324800108</v>
          </cell>
        </row>
        <row r="202">
          <cell r="A202">
            <v>189</v>
          </cell>
          <cell r="B202">
            <v>0.1230993136393323</v>
          </cell>
          <cell r="C202">
            <v>0.87690068636066765</v>
          </cell>
          <cell r="D202">
            <v>0.25929828843318781</v>
          </cell>
          <cell r="E202">
            <v>2.1064153874399643</v>
          </cell>
        </row>
        <row r="203">
          <cell r="A203">
            <v>190</v>
          </cell>
          <cell r="B203">
            <v>0.12174248693151349</v>
          </cell>
          <cell r="C203">
            <v>0.87825751306848654</v>
          </cell>
          <cell r="D203">
            <v>0.25779707448558953</v>
          </cell>
          <cell r="E203">
            <v>2.1175604424001446</v>
          </cell>
        </row>
        <row r="204">
          <cell r="A204">
            <v>191</v>
          </cell>
          <cell r="B204">
            <v>0.12040061545504913</v>
          </cell>
          <cell r="C204">
            <v>0.8795993845449509</v>
          </cell>
          <cell r="D204">
            <v>0.25629745200469323</v>
          </cell>
          <cell r="E204">
            <v>2.128705497360023</v>
          </cell>
        </row>
        <row r="205">
          <cell r="A205">
            <v>192</v>
          </cell>
          <cell r="B205">
            <v>0.11907353437021166</v>
          </cell>
          <cell r="C205">
            <v>0.88092646562978838</v>
          </cell>
          <cell r="D205">
            <v>0.2547995682887958</v>
          </cell>
          <cell r="E205">
            <v>2.1398505523200324</v>
          </cell>
        </row>
        <row r="206">
          <cell r="A206">
            <v>193</v>
          </cell>
          <cell r="B206">
            <v>0.11776108065417192</v>
          </cell>
          <cell r="C206">
            <v>0.8822389193458281</v>
          </cell>
          <cell r="D206">
            <v>0.25330356719566571</v>
          </cell>
          <cell r="E206">
            <v>2.1509956072799672</v>
          </cell>
        </row>
        <row r="207">
          <cell r="A207">
            <v>194</v>
          </cell>
          <cell r="B207">
            <v>0.11646309308097286</v>
          </cell>
          <cell r="C207">
            <v>0.88353690691902709</v>
          </cell>
          <cell r="D207">
            <v>0.25180958920060381</v>
          </cell>
          <cell r="E207">
            <v>2.1621406622399175</v>
          </cell>
        </row>
        <row r="208">
          <cell r="A208">
            <v>195</v>
          </cell>
          <cell r="B208">
            <v>0.11517941220172413</v>
          </cell>
          <cell r="C208">
            <v>0.88482058779827588</v>
          </cell>
          <cell r="D208">
            <v>0.25031777145351486</v>
          </cell>
          <cell r="E208">
            <v>2.1732857172001423</v>
          </cell>
        </row>
        <row r="209">
          <cell r="A209">
            <v>196</v>
          </cell>
          <cell r="B209">
            <v>0.1139098803250148</v>
          </cell>
          <cell r="C209">
            <v>0.88609011967498519</v>
          </cell>
          <cell r="D209">
            <v>0.24882824783502411</v>
          </cell>
          <cell r="E209">
            <v>2.18443077215999</v>
          </cell>
        </row>
        <row r="210">
          <cell r="A210">
            <v>197</v>
          </cell>
          <cell r="B210">
            <v>0.11265434149754208</v>
          </cell>
          <cell r="C210">
            <v>0.88734565850245795</v>
          </cell>
          <cell r="D210">
            <v>0.24734114901213322</v>
          </cell>
          <cell r="E210">
            <v>2.195575827120074</v>
          </cell>
        </row>
        <row r="211">
          <cell r="A211">
            <v>198</v>
          </cell>
          <cell r="B211">
            <v>0.11141264148495347</v>
          </cell>
          <cell r="C211">
            <v>0.88858735851504655</v>
          </cell>
          <cell r="D211">
            <v>0.2458566024925446</v>
          </cell>
          <cell r="E211">
            <v>2.2067208820800475</v>
          </cell>
        </row>
        <row r="212">
          <cell r="A212">
            <v>199</v>
          </cell>
          <cell r="B212">
            <v>0.11018462775290025</v>
          </cell>
          <cell r="C212">
            <v>0.88981537224709972</v>
          </cell>
          <cell r="D212">
            <v>0.24437473267858045</v>
          </cell>
          <cell r="E212">
            <v>2.2178659370399161</v>
          </cell>
        </row>
        <row r="213">
          <cell r="A213">
            <v>200</v>
          </cell>
          <cell r="B213">
            <v>0.10897014944829954</v>
          </cell>
          <cell r="C213">
            <v>0.89102985055170048</v>
          </cell>
          <cell r="D213">
            <v>0.24289566092015047</v>
          </cell>
          <cell r="E213">
            <v>2.2290109920000738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moteworkplacedr.epa.gov/gmd/outreach/isotopes/,DanaInfo=.awxyCixxsHwylmMu3.,SSL+c13tellsu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topLeftCell="A127" zoomScaleNormal="100" workbookViewId="0">
      <selection activeCell="A145" sqref="A145:L197"/>
    </sheetView>
  </sheetViews>
  <sheetFormatPr defaultRowHeight="15" x14ac:dyDescent="0.25"/>
  <cols>
    <col min="1" max="1" width="22.140625" customWidth="1"/>
    <col min="2" max="2" width="31.7109375" customWidth="1"/>
    <col min="3" max="3" width="13.5703125" customWidth="1"/>
    <col min="6" max="6" width="10" style="3" customWidth="1"/>
    <col min="7" max="7" width="9.140625" style="3"/>
    <col min="8" max="8" width="16.140625" customWidth="1"/>
    <col min="11" max="12" width="9.140625" style="3"/>
    <col min="18" max="18" width="12.7109375" style="112" bestFit="1" customWidth="1"/>
    <col min="19" max="19" width="9.140625" style="112"/>
    <col min="20" max="20" width="11" bestFit="1" customWidth="1"/>
    <col min="22" max="22" width="9.140625" style="109"/>
    <col min="23" max="23" width="12.85546875" customWidth="1"/>
    <col min="24" max="24" width="9.5703125" bestFit="1" customWidth="1"/>
  </cols>
  <sheetData>
    <row r="1" spans="1:23" x14ac:dyDescent="0.25">
      <c r="A1" s="1" t="s">
        <v>0</v>
      </c>
      <c r="C1" s="2"/>
      <c r="E1" s="3"/>
      <c r="F1" s="13"/>
      <c r="G1" s="13"/>
      <c r="K1" s="19"/>
      <c r="L1" s="20"/>
    </row>
    <row r="2" spans="1:23" x14ac:dyDescent="0.25">
      <c r="A2" s="1" t="s">
        <v>329</v>
      </c>
      <c r="C2" s="2"/>
      <c r="E2" s="3"/>
      <c r="F2" s="13"/>
      <c r="G2" s="13"/>
      <c r="K2" s="19"/>
      <c r="L2" s="20"/>
      <c r="N2" s="35" t="s">
        <v>330</v>
      </c>
      <c r="O2">
        <f>SUM(N74,N90,N142,N197)</f>
        <v>180</v>
      </c>
    </row>
    <row r="3" spans="1:23" x14ac:dyDescent="0.25">
      <c r="A3" s="1">
        <v>170828</v>
      </c>
      <c r="C3" s="2"/>
      <c r="D3" s="2"/>
      <c r="E3" s="3"/>
      <c r="F3" s="13"/>
      <c r="G3" s="13"/>
      <c r="K3" s="19"/>
      <c r="L3" s="20"/>
    </row>
    <row r="4" spans="1:23" x14ac:dyDescent="0.25">
      <c r="A4" s="1"/>
      <c r="C4" s="2"/>
      <c r="D4" s="2"/>
      <c r="E4" s="3"/>
      <c r="F4" s="13"/>
      <c r="G4" s="13"/>
      <c r="K4" s="19"/>
      <c r="L4" s="20"/>
      <c r="R4" s="112" t="s">
        <v>344</v>
      </c>
      <c r="T4" s="1" t="s">
        <v>344</v>
      </c>
      <c r="V4" s="109" t="s">
        <v>360</v>
      </c>
    </row>
    <row r="5" spans="1:23" ht="15.75" thickBot="1" x14ac:dyDescent="0.3">
      <c r="A5" s="22" t="s">
        <v>197</v>
      </c>
      <c r="C5" s="2"/>
      <c r="E5" s="3"/>
      <c r="F5" s="13"/>
      <c r="G5" s="13"/>
      <c r="K5" s="19"/>
      <c r="L5" s="20"/>
      <c r="N5" s="1" t="s">
        <v>239</v>
      </c>
      <c r="R5" s="112" t="s">
        <v>345</v>
      </c>
      <c r="T5" s="1" t="s">
        <v>346</v>
      </c>
    </row>
    <row r="6" spans="1:23" s="3" customFormat="1" ht="43.5" customHeight="1" thickTop="1" x14ac:dyDescent="0.25">
      <c r="A6" s="37" t="s">
        <v>1</v>
      </c>
      <c r="B6" s="61" t="s">
        <v>2</v>
      </c>
      <c r="C6" s="39" t="s">
        <v>3</v>
      </c>
      <c r="D6" s="38" t="s">
        <v>4</v>
      </c>
      <c r="E6" s="38" t="s">
        <v>5</v>
      </c>
      <c r="F6" s="39" t="s">
        <v>6</v>
      </c>
      <c r="G6" s="39" t="s">
        <v>7</v>
      </c>
      <c r="H6" s="38" t="s">
        <v>8</v>
      </c>
      <c r="I6" s="38" t="s">
        <v>368</v>
      </c>
      <c r="J6" s="38" t="s">
        <v>369</v>
      </c>
      <c r="K6" s="40" t="s">
        <v>11</v>
      </c>
      <c r="L6" s="41" t="s">
        <v>12</v>
      </c>
      <c r="N6" s="18" t="s">
        <v>268</v>
      </c>
      <c r="O6" s="6" t="s">
        <v>196</v>
      </c>
      <c r="P6" s="25" t="s">
        <v>225</v>
      </c>
      <c r="Q6" s="25" t="s">
        <v>4</v>
      </c>
      <c r="R6" s="113" t="s">
        <v>341</v>
      </c>
      <c r="S6" s="113" t="s">
        <v>342</v>
      </c>
      <c r="T6" s="25" t="s">
        <v>347</v>
      </c>
      <c r="U6" s="25" t="s">
        <v>348</v>
      </c>
      <c r="V6" s="110" t="s">
        <v>361</v>
      </c>
      <c r="W6" s="25" t="s">
        <v>340</v>
      </c>
    </row>
    <row r="7" spans="1:23" s="3" customFormat="1" ht="17.45" customHeight="1" thickBot="1" x14ac:dyDescent="0.3">
      <c r="A7" s="87"/>
      <c r="B7" s="88"/>
      <c r="C7" s="89" t="s">
        <v>366</v>
      </c>
      <c r="D7" s="90" t="s">
        <v>366</v>
      </c>
      <c r="E7" s="90"/>
      <c r="F7" s="91" t="s">
        <v>367</v>
      </c>
      <c r="G7" s="91"/>
      <c r="H7" s="90"/>
      <c r="I7" s="90"/>
      <c r="J7" s="90"/>
      <c r="K7" s="92"/>
      <c r="L7" s="93"/>
      <c r="O7" s="6"/>
      <c r="P7" s="25" t="s">
        <v>14</v>
      </c>
      <c r="Q7" s="25" t="s">
        <v>15</v>
      </c>
      <c r="R7" s="113"/>
      <c r="S7" s="113"/>
      <c r="T7" s="25"/>
      <c r="U7" s="25"/>
      <c r="V7" s="110"/>
    </row>
    <row r="8" spans="1:23" ht="15.75" thickTop="1" x14ac:dyDescent="0.25">
      <c r="A8" s="42" t="s">
        <v>198</v>
      </c>
      <c r="B8" s="62" t="s">
        <v>200</v>
      </c>
      <c r="C8" s="44">
        <v>592.26949999999999</v>
      </c>
      <c r="D8" s="44">
        <f>Q8</f>
        <v>0.26949999999999363</v>
      </c>
      <c r="E8" s="45" t="s">
        <v>16</v>
      </c>
      <c r="F8" s="46">
        <v>591.26160000000004</v>
      </c>
      <c r="G8" s="46">
        <v>96.497600000000006</v>
      </c>
      <c r="H8" s="43" t="s">
        <v>17</v>
      </c>
      <c r="I8" s="43">
        <v>4937135</v>
      </c>
      <c r="J8" s="43">
        <v>1930457</v>
      </c>
      <c r="K8" s="47">
        <v>0.39100753777241254</v>
      </c>
      <c r="L8" s="48">
        <f>K8/O8</f>
        <v>1.1171643936354643E-2</v>
      </c>
      <c r="M8" s="5"/>
      <c r="N8" s="5">
        <v>1</v>
      </c>
      <c r="O8" s="5">
        <v>35</v>
      </c>
      <c r="P8" s="30">
        <f>ROUND(C8,0)</f>
        <v>592</v>
      </c>
      <c r="Q8" s="8">
        <f>C8-P8</f>
        <v>0.26949999999999363</v>
      </c>
      <c r="R8" s="114"/>
    </row>
    <row r="9" spans="1:23" x14ac:dyDescent="0.25">
      <c r="A9" s="42" t="s">
        <v>199</v>
      </c>
      <c r="B9" s="62"/>
      <c r="C9" s="44">
        <v>809.49289999999996</v>
      </c>
      <c r="D9" s="44">
        <f t="shared" ref="D9:D72" si="0">Q9</f>
        <v>0.49289999999996326</v>
      </c>
      <c r="E9" s="45" t="s">
        <v>16</v>
      </c>
      <c r="F9" s="46">
        <v>808.48500000000001</v>
      </c>
      <c r="G9" s="46">
        <v>95.0124</v>
      </c>
      <c r="H9" s="43" t="s">
        <v>18</v>
      </c>
      <c r="I9" s="43">
        <v>2995953</v>
      </c>
      <c r="J9" s="43">
        <v>1444531</v>
      </c>
      <c r="K9" s="47">
        <v>0.48216076820964815</v>
      </c>
      <c r="L9" s="48">
        <f t="shared" ref="L9:L77" si="1">K9/O9</f>
        <v>1.1213041121154609E-2</v>
      </c>
      <c r="M9" s="5"/>
      <c r="N9" s="5">
        <f>1+N8</f>
        <v>2</v>
      </c>
      <c r="O9" s="5">
        <v>43</v>
      </c>
      <c r="P9" s="30">
        <f t="shared" ref="P9:P72" si="2">ROUND(C9,0)</f>
        <v>809</v>
      </c>
      <c r="Q9" s="8">
        <f t="shared" ref="Q9:Q72" si="3">C9-P9</f>
        <v>0.49289999999996326</v>
      </c>
      <c r="R9" s="114"/>
      <c r="S9" s="114"/>
      <c r="T9" s="8"/>
      <c r="U9" s="8"/>
      <c r="V9" s="111"/>
    </row>
    <row r="10" spans="1:23" x14ac:dyDescent="0.25">
      <c r="A10" s="42"/>
      <c r="B10" s="62"/>
      <c r="C10" s="44">
        <v>782.47389999999996</v>
      </c>
      <c r="D10" s="44">
        <f t="shared" si="0"/>
        <v>0.4738999999999578</v>
      </c>
      <c r="E10" s="45" t="s">
        <v>16</v>
      </c>
      <c r="F10" s="46">
        <v>781.46600000000001</v>
      </c>
      <c r="G10" s="46">
        <v>97.763099999999994</v>
      </c>
      <c r="H10" s="43" t="s">
        <v>19</v>
      </c>
      <c r="I10" s="43">
        <v>2175984</v>
      </c>
      <c r="J10" s="43">
        <v>1029791</v>
      </c>
      <c r="K10" s="47">
        <v>0.47325302024279592</v>
      </c>
      <c r="L10" s="48">
        <f t="shared" si="1"/>
        <v>1.1005884191692928E-2</v>
      </c>
      <c r="N10" s="5">
        <f t="shared" ref="N10:N73" si="4">1+N9</f>
        <v>3</v>
      </c>
      <c r="O10" s="5">
        <v>43</v>
      </c>
      <c r="P10" s="30">
        <f t="shared" si="2"/>
        <v>782</v>
      </c>
      <c r="Q10" s="8">
        <f t="shared" si="3"/>
        <v>0.4738999999999578</v>
      </c>
      <c r="R10" s="114"/>
      <c r="S10" s="114"/>
      <c r="T10" s="8"/>
      <c r="U10" s="8"/>
      <c r="V10" s="111"/>
    </row>
    <row r="11" spans="1:23" x14ac:dyDescent="0.25">
      <c r="A11" s="42"/>
      <c r="B11" s="62"/>
      <c r="C11" s="44">
        <v>516.25329999999997</v>
      </c>
      <c r="D11" s="44">
        <f t="shared" si="0"/>
        <v>0.25329999999996744</v>
      </c>
      <c r="E11" s="45" t="s">
        <v>16</v>
      </c>
      <c r="F11" s="46">
        <v>515.24540000000002</v>
      </c>
      <c r="G11" s="46">
        <v>96.131600000000006</v>
      </c>
      <c r="H11" s="43" t="s">
        <v>20</v>
      </c>
      <c r="I11" s="43">
        <v>2079577</v>
      </c>
      <c r="J11" s="43">
        <v>772532</v>
      </c>
      <c r="K11" s="47">
        <v>0.37148516260758796</v>
      </c>
      <c r="L11" s="48">
        <f t="shared" si="1"/>
        <v>1.1257126139623878E-2</v>
      </c>
      <c r="N11" s="5">
        <f t="shared" si="4"/>
        <v>4</v>
      </c>
      <c r="O11" s="5">
        <v>33</v>
      </c>
      <c r="P11" s="30">
        <f t="shared" si="2"/>
        <v>516</v>
      </c>
      <c r="Q11" s="8">
        <f t="shared" si="3"/>
        <v>0.25329999999996744</v>
      </c>
      <c r="R11" s="114"/>
      <c r="S11" s="114"/>
      <c r="T11" s="8"/>
      <c r="U11" s="8"/>
      <c r="V11" s="111"/>
    </row>
    <row r="12" spans="1:23" x14ac:dyDescent="0.25">
      <c r="A12" s="42"/>
      <c r="B12" s="62"/>
      <c r="C12" s="44">
        <v>234.16310000000001</v>
      </c>
      <c r="D12" s="44">
        <f t="shared" si="0"/>
        <v>0.16310000000001423</v>
      </c>
      <c r="E12" s="45" t="s">
        <v>16</v>
      </c>
      <c r="F12" s="46">
        <v>233.15520000000001</v>
      </c>
      <c r="G12" s="46">
        <v>99.935900000000004</v>
      </c>
      <c r="H12" s="43" t="s">
        <v>21</v>
      </c>
      <c r="I12" s="43">
        <v>2655529</v>
      </c>
      <c r="J12" s="43">
        <v>499401</v>
      </c>
      <c r="K12" s="47">
        <v>0.18806083458324124</v>
      </c>
      <c r="L12" s="48">
        <f t="shared" si="1"/>
        <v>1.2537388972216084E-2</v>
      </c>
      <c r="N12" s="5">
        <f t="shared" si="4"/>
        <v>5</v>
      </c>
      <c r="O12" s="5">
        <v>15</v>
      </c>
      <c r="P12" s="30">
        <f t="shared" si="2"/>
        <v>234</v>
      </c>
      <c r="Q12" s="8">
        <f t="shared" si="3"/>
        <v>0.16310000000001423</v>
      </c>
      <c r="R12" s="114"/>
      <c r="S12" s="114"/>
      <c r="T12" s="8"/>
      <c r="U12" s="8"/>
      <c r="V12" s="111"/>
    </row>
    <row r="13" spans="1:23" x14ac:dyDescent="0.25">
      <c r="A13" s="42" t="s">
        <v>201</v>
      </c>
      <c r="B13" s="62" t="s">
        <v>269</v>
      </c>
      <c r="C13" s="44">
        <v>312.17700000000002</v>
      </c>
      <c r="D13" s="44">
        <f t="shared" si="0"/>
        <v>0.17700000000002092</v>
      </c>
      <c r="E13" s="45" t="s">
        <v>16</v>
      </c>
      <c r="F13" s="46">
        <v>311.16910000000001</v>
      </c>
      <c r="G13" s="46">
        <v>99.999899999999997</v>
      </c>
      <c r="H13" s="43" t="s">
        <v>22</v>
      </c>
      <c r="I13" s="43">
        <v>10204288</v>
      </c>
      <c r="J13" s="43">
        <v>1906054</v>
      </c>
      <c r="K13" s="47">
        <v>0.1867895143688614</v>
      </c>
      <c r="L13" s="48">
        <f t="shared" si="1"/>
        <v>1.0987618492285965E-2</v>
      </c>
      <c r="N13" s="5">
        <f t="shared" si="4"/>
        <v>6</v>
      </c>
      <c r="O13" s="5">
        <v>17</v>
      </c>
      <c r="P13" s="30">
        <f t="shared" si="2"/>
        <v>312</v>
      </c>
      <c r="Q13" s="8">
        <f t="shared" si="3"/>
        <v>0.17700000000002092</v>
      </c>
      <c r="R13" s="114"/>
      <c r="S13" s="114"/>
      <c r="T13" s="8"/>
      <c r="U13" s="8"/>
      <c r="V13" s="111"/>
    </row>
    <row r="14" spans="1:23" x14ac:dyDescent="0.25">
      <c r="A14" s="42" t="s">
        <v>199</v>
      </c>
      <c r="B14" s="62"/>
      <c r="C14" s="44">
        <v>266.15629999999999</v>
      </c>
      <c r="D14" s="44">
        <f t="shared" si="0"/>
        <v>0.15629999999998745</v>
      </c>
      <c r="E14" s="45" t="s">
        <v>16</v>
      </c>
      <c r="F14" s="46">
        <v>265.14839999999998</v>
      </c>
      <c r="G14" s="46">
        <v>99.97</v>
      </c>
      <c r="H14" s="43" t="s">
        <v>23</v>
      </c>
      <c r="I14" s="43">
        <v>7820196</v>
      </c>
      <c r="J14" s="43">
        <v>1102745</v>
      </c>
      <c r="K14" s="47">
        <v>0.14101245032733195</v>
      </c>
      <c r="L14" s="48">
        <f t="shared" si="1"/>
        <v>1.1751037527277663E-2</v>
      </c>
      <c r="N14" s="5">
        <f t="shared" si="4"/>
        <v>7</v>
      </c>
      <c r="O14" s="5">
        <v>12</v>
      </c>
      <c r="P14" s="30">
        <f t="shared" si="2"/>
        <v>266</v>
      </c>
      <c r="Q14" s="8">
        <f t="shared" si="3"/>
        <v>0.15629999999998745</v>
      </c>
      <c r="R14" s="114"/>
      <c r="S14" s="114"/>
      <c r="T14" s="8"/>
      <c r="U14" s="8"/>
      <c r="V14" s="111"/>
    </row>
    <row r="15" spans="1:23" x14ac:dyDescent="0.25">
      <c r="A15" s="42"/>
      <c r="B15" s="62"/>
      <c r="C15" s="44">
        <v>294.1875</v>
      </c>
      <c r="D15" s="44">
        <f t="shared" si="0"/>
        <v>0.1875</v>
      </c>
      <c r="E15" s="45" t="s">
        <v>16</v>
      </c>
      <c r="F15" s="46">
        <v>293.17959999999999</v>
      </c>
      <c r="G15" s="46">
        <v>99.896199999999993</v>
      </c>
      <c r="H15" s="43" t="s">
        <v>24</v>
      </c>
      <c r="I15" s="43">
        <v>5154950</v>
      </c>
      <c r="J15" s="43">
        <v>841956</v>
      </c>
      <c r="K15" s="47">
        <v>0.16332961522420197</v>
      </c>
      <c r="L15" s="48">
        <f t="shared" si="1"/>
        <v>1.1666401087442999E-2</v>
      </c>
      <c r="N15" s="5">
        <f t="shared" si="4"/>
        <v>8</v>
      </c>
      <c r="O15" s="5">
        <v>14</v>
      </c>
      <c r="P15" s="30">
        <f t="shared" si="2"/>
        <v>294</v>
      </c>
      <c r="Q15" s="8">
        <f t="shared" si="3"/>
        <v>0.1875</v>
      </c>
      <c r="R15" s="114"/>
      <c r="S15" s="114"/>
      <c r="T15" s="8"/>
      <c r="U15" s="8"/>
      <c r="V15" s="111"/>
    </row>
    <row r="16" spans="1:23" x14ac:dyDescent="0.25">
      <c r="A16" s="42"/>
      <c r="B16" s="62"/>
      <c r="C16" s="44">
        <v>824.5655999999999</v>
      </c>
      <c r="D16" s="44">
        <f t="shared" si="0"/>
        <v>-0.43440000000009604</v>
      </c>
      <c r="E16" s="45" t="s">
        <v>16</v>
      </c>
      <c r="F16" s="46">
        <v>823.55769999999995</v>
      </c>
      <c r="G16" s="46">
        <v>93.94</v>
      </c>
      <c r="H16" s="43" t="s">
        <v>25</v>
      </c>
      <c r="I16" s="43">
        <v>2048782</v>
      </c>
      <c r="J16" s="43">
        <v>1067885</v>
      </c>
      <c r="K16" s="47">
        <v>0.52122919861654393</v>
      </c>
      <c r="L16" s="48">
        <f t="shared" si="1"/>
        <v>1.133106953514226E-2</v>
      </c>
      <c r="N16" s="5">
        <f t="shared" si="4"/>
        <v>9</v>
      </c>
      <c r="O16" s="5">
        <v>46</v>
      </c>
      <c r="P16" s="30">
        <f t="shared" si="2"/>
        <v>825</v>
      </c>
      <c r="Q16" s="8">
        <f t="shared" si="3"/>
        <v>-0.43440000000009604</v>
      </c>
      <c r="R16" s="114"/>
      <c r="S16" s="114"/>
      <c r="T16" s="8"/>
      <c r="U16" s="8"/>
      <c r="V16" s="111"/>
    </row>
    <row r="17" spans="1:22" x14ac:dyDescent="0.25">
      <c r="A17" s="42"/>
      <c r="B17" s="62"/>
      <c r="C17" s="44">
        <v>234.16290000000001</v>
      </c>
      <c r="D17" s="44">
        <f t="shared" si="0"/>
        <v>0.16290000000000759</v>
      </c>
      <c r="E17" s="45" t="s">
        <v>16</v>
      </c>
      <c r="F17" s="46">
        <v>233.155</v>
      </c>
      <c r="G17" s="46">
        <v>99.991600000000005</v>
      </c>
      <c r="H17" s="43" t="s">
        <v>21</v>
      </c>
      <c r="I17" s="43">
        <v>2803109</v>
      </c>
      <c r="J17" s="43">
        <v>475973</v>
      </c>
      <c r="K17" s="47">
        <v>0.16980181648305506</v>
      </c>
      <c r="L17" s="48">
        <f t="shared" si="1"/>
        <v>1.1320121098870338E-2</v>
      </c>
      <c r="N17" s="5">
        <f t="shared" si="4"/>
        <v>10</v>
      </c>
      <c r="O17" s="5">
        <v>15</v>
      </c>
      <c r="P17" s="30">
        <f t="shared" si="2"/>
        <v>234</v>
      </c>
      <c r="Q17" s="8">
        <f t="shared" si="3"/>
        <v>0.16290000000000759</v>
      </c>
      <c r="R17" s="114"/>
      <c r="S17" s="114"/>
      <c r="T17" s="8"/>
      <c r="U17" s="8"/>
      <c r="V17" s="111"/>
    </row>
    <row r="18" spans="1:22" x14ac:dyDescent="0.25">
      <c r="A18" s="42" t="s">
        <v>26</v>
      </c>
      <c r="B18" s="63" t="s">
        <v>202</v>
      </c>
      <c r="C18" s="44">
        <v>592.39789999999994</v>
      </c>
      <c r="D18" s="44">
        <f t="shared" si="0"/>
        <v>0.39789999999993597</v>
      </c>
      <c r="E18" s="45" t="s">
        <v>16</v>
      </c>
      <c r="F18" s="46">
        <v>591.39</v>
      </c>
      <c r="G18" s="46">
        <v>97.978999999999999</v>
      </c>
      <c r="H18" s="43" t="s">
        <v>27</v>
      </c>
      <c r="I18" s="43">
        <v>14992713</v>
      </c>
      <c r="J18" s="43">
        <v>6358351</v>
      </c>
      <c r="K18" s="47">
        <v>0.42409609254842667</v>
      </c>
      <c r="L18" s="48">
        <f t="shared" si="1"/>
        <v>1.2117031215669333E-2</v>
      </c>
      <c r="N18" s="5">
        <f t="shared" si="4"/>
        <v>11</v>
      </c>
      <c r="O18" s="5">
        <v>35</v>
      </c>
      <c r="P18" s="30">
        <f t="shared" si="2"/>
        <v>592</v>
      </c>
      <c r="Q18" s="8">
        <f t="shared" si="3"/>
        <v>0.39789999999993597</v>
      </c>
      <c r="R18" s="114"/>
      <c r="S18" s="114"/>
      <c r="T18" s="8"/>
      <c r="U18" s="8"/>
      <c r="V18" s="111"/>
    </row>
    <row r="19" spans="1:22" x14ac:dyDescent="0.25">
      <c r="A19" s="42" t="s">
        <v>199</v>
      </c>
      <c r="B19" s="62"/>
      <c r="C19" s="44">
        <v>518.35789999999997</v>
      </c>
      <c r="D19" s="44">
        <f t="shared" si="0"/>
        <v>0.35789999999997235</v>
      </c>
      <c r="E19" s="45" t="s">
        <v>16</v>
      </c>
      <c r="F19" s="46">
        <v>517.35</v>
      </c>
      <c r="G19" s="46">
        <v>99.322000000000003</v>
      </c>
      <c r="H19" s="43" t="s">
        <v>28</v>
      </c>
      <c r="I19" s="43">
        <v>10781137</v>
      </c>
      <c r="J19" s="43">
        <v>3513127</v>
      </c>
      <c r="K19" s="47">
        <v>0.32585867334771834</v>
      </c>
      <c r="L19" s="48">
        <f t="shared" si="1"/>
        <v>1.0511570107990914E-2</v>
      </c>
      <c r="N19" s="5">
        <f t="shared" si="4"/>
        <v>12</v>
      </c>
      <c r="O19" s="5">
        <v>31</v>
      </c>
      <c r="P19" s="30">
        <f t="shared" si="2"/>
        <v>518</v>
      </c>
      <c r="Q19" s="8">
        <f t="shared" si="3"/>
        <v>0.35789999999997235</v>
      </c>
      <c r="R19" s="114"/>
      <c r="S19" s="114"/>
      <c r="T19" s="8"/>
      <c r="U19" s="8"/>
      <c r="V19" s="111"/>
    </row>
    <row r="20" spans="1:22" x14ac:dyDescent="0.25">
      <c r="A20" s="42"/>
      <c r="B20" s="62"/>
      <c r="C20" s="44">
        <v>266.15789999999998</v>
      </c>
      <c r="D20" s="44">
        <f t="shared" si="0"/>
        <v>0.15789999999998372</v>
      </c>
      <c r="E20" s="45" t="s">
        <v>16</v>
      </c>
      <c r="F20" s="46">
        <v>265.14999999999998</v>
      </c>
      <c r="G20" s="46">
        <v>99.998999999999995</v>
      </c>
      <c r="H20" s="43" t="s">
        <v>23</v>
      </c>
      <c r="I20" s="43">
        <v>12557454</v>
      </c>
      <c r="J20" s="43">
        <v>1719923</v>
      </c>
      <c r="K20" s="47">
        <v>0.13696430821088415</v>
      </c>
      <c r="L20" s="48">
        <f t="shared" si="1"/>
        <v>1.1413692350907013E-2</v>
      </c>
      <c r="N20" s="5">
        <f t="shared" si="4"/>
        <v>13</v>
      </c>
      <c r="O20" s="5">
        <v>12</v>
      </c>
      <c r="P20" s="30">
        <f t="shared" si="2"/>
        <v>266</v>
      </c>
      <c r="Q20" s="8">
        <f t="shared" si="3"/>
        <v>0.15789999999998372</v>
      </c>
      <c r="R20" s="114"/>
      <c r="S20" s="114"/>
      <c r="T20" s="8"/>
      <c r="U20" s="8"/>
      <c r="V20" s="111"/>
    </row>
    <row r="21" spans="1:22" x14ac:dyDescent="0.25">
      <c r="A21" s="42"/>
      <c r="B21" s="62"/>
      <c r="C21" s="44">
        <v>564.36789999999996</v>
      </c>
      <c r="D21" s="44">
        <f t="shared" si="0"/>
        <v>0.36789999999996326</v>
      </c>
      <c r="E21" s="45" t="s">
        <v>16</v>
      </c>
      <c r="F21" s="46">
        <v>563.36</v>
      </c>
      <c r="G21" s="46">
        <v>93.775999999999996</v>
      </c>
      <c r="H21" s="43" t="s">
        <v>29</v>
      </c>
      <c r="I21" s="43">
        <v>3290483</v>
      </c>
      <c r="J21" s="43">
        <v>1145714</v>
      </c>
      <c r="K21" s="47">
        <v>0.34819022009838679</v>
      </c>
      <c r="L21" s="48">
        <f t="shared" si="1"/>
        <v>1.0880944378074587E-2</v>
      </c>
      <c r="N21" s="5">
        <f t="shared" si="4"/>
        <v>14</v>
      </c>
      <c r="O21" s="5">
        <v>32</v>
      </c>
      <c r="P21" s="30">
        <f t="shared" si="2"/>
        <v>564</v>
      </c>
      <c r="Q21" s="8">
        <f t="shared" si="3"/>
        <v>0.36789999999996326</v>
      </c>
      <c r="R21" s="114"/>
      <c r="S21" s="114"/>
      <c r="T21" s="8"/>
      <c r="U21" s="8"/>
      <c r="V21" s="111"/>
    </row>
    <row r="22" spans="1:22" x14ac:dyDescent="0.25">
      <c r="A22" s="42"/>
      <c r="B22" s="62"/>
      <c r="C22" s="44">
        <v>490.3279</v>
      </c>
      <c r="D22" s="44">
        <f t="shared" si="0"/>
        <v>0.32789999999999964</v>
      </c>
      <c r="E22" s="45" t="s">
        <v>16</v>
      </c>
      <c r="F22" s="46">
        <v>489.32</v>
      </c>
      <c r="G22" s="46">
        <v>99.028999999999996</v>
      </c>
      <c r="H22" s="43" t="s">
        <v>30</v>
      </c>
      <c r="I22" s="43">
        <v>2160826</v>
      </c>
      <c r="J22" s="43">
        <v>679311</v>
      </c>
      <c r="K22" s="47">
        <v>0.31437561376991946</v>
      </c>
      <c r="L22" s="48">
        <f t="shared" si="1"/>
        <v>1.0840538405859291E-2</v>
      </c>
      <c r="N22" s="5">
        <f t="shared" si="4"/>
        <v>15</v>
      </c>
      <c r="O22" s="5">
        <v>29</v>
      </c>
      <c r="P22" s="30">
        <f t="shared" si="2"/>
        <v>490</v>
      </c>
      <c r="Q22" s="8">
        <f t="shared" si="3"/>
        <v>0.32789999999999964</v>
      </c>
      <c r="R22" s="114"/>
      <c r="S22" s="114"/>
      <c r="T22" s="8"/>
      <c r="U22" s="8"/>
      <c r="V22" s="111"/>
    </row>
    <row r="23" spans="1:22" x14ac:dyDescent="0.25">
      <c r="A23" s="42"/>
      <c r="B23" s="62"/>
      <c r="C23" s="44">
        <v>592.39789999999994</v>
      </c>
      <c r="D23" s="44">
        <f t="shared" si="0"/>
        <v>0.39789999999993597</v>
      </c>
      <c r="E23" s="45" t="s">
        <v>16</v>
      </c>
      <c r="F23" s="46">
        <v>591.39</v>
      </c>
      <c r="G23" s="46">
        <v>93.54</v>
      </c>
      <c r="H23" s="43" t="s">
        <v>31</v>
      </c>
      <c r="I23" s="43">
        <v>1838922</v>
      </c>
      <c r="J23" s="43">
        <v>682963</v>
      </c>
      <c r="K23" s="47">
        <v>0.3713931314106852</v>
      </c>
      <c r="L23" s="48">
        <f t="shared" si="1"/>
        <v>1.0923327394431918E-2</v>
      </c>
      <c r="N23" s="5">
        <f t="shared" si="4"/>
        <v>16</v>
      </c>
      <c r="O23" s="5">
        <v>34</v>
      </c>
      <c r="P23" s="30">
        <f t="shared" si="2"/>
        <v>592</v>
      </c>
      <c r="Q23" s="8">
        <f t="shared" si="3"/>
        <v>0.39789999999993597</v>
      </c>
      <c r="R23" s="114"/>
      <c r="S23" s="114"/>
      <c r="T23" s="8"/>
      <c r="U23" s="8"/>
      <c r="V23" s="111"/>
    </row>
    <row r="24" spans="1:22" x14ac:dyDescent="0.25">
      <c r="A24" s="42"/>
      <c r="B24" s="62"/>
      <c r="C24" s="44">
        <v>655.39789999999994</v>
      </c>
      <c r="D24" s="44">
        <f t="shared" si="0"/>
        <v>0.39789999999993597</v>
      </c>
      <c r="E24" s="45" t="s">
        <v>16</v>
      </c>
      <c r="F24" s="46">
        <v>654.39</v>
      </c>
      <c r="G24" s="46">
        <v>99.682000000000002</v>
      </c>
      <c r="H24" s="43" t="s">
        <v>32</v>
      </c>
      <c r="I24" s="43">
        <v>1637307</v>
      </c>
      <c r="J24" s="43">
        <v>627154</v>
      </c>
      <c r="K24" s="47">
        <v>0.38303995524357987</v>
      </c>
      <c r="L24" s="48">
        <f t="shared" si="1"/>
        <v>1.1265881036575878E-2</v>
      </c>
      <c r="N24" s="5">
        <f t="shared" si="4"/>
        <v>17</v>
      </c>
      <c r="O24" s="5">
        <v>34</v>
      </c>
      <c r="P24" s="30">
        <f t="shared" si="2"/>
        <v>655</v>
      </c>
      <c r="Q24" s="8">
        <f t="shared" si="3"/>
        <v>0.39789999999993597</v>
      </c>
      <c r="R24" s="114"/>
      <c r="S24" s="114"/>
      <c r="T24" s="8"/>
      <c r="U24" s="8"/>
      <c r="V24" s="111"/>
    </row>
    <row r="25" spans="1:22" x14ac:dyDescent="0.25">
      <c r="A25" s="42"/>
      <c r="B25" s="62"/>
      <c r="C25" s="44">
        <v>370.30790000000002</v>
      </c>
      <c r="D25" s="44">
        <f t="shared" si="0"/>
        <v>0.30790000000001783</v>
      </c>
      <c r="E25" s="45" t="s">
        <v>16</v>
      </c>
      <c r="F25" s="46">
        <v>369.3</v>
      </c>
      <c r="G25" s="46">
        <v>99.97</v>
      </c>
      <c r="H25" s="43" t="s">
        <v>33</v>
      </c>
      <c r="I25" s="43">
        <v>1856692</v>
      </c>
      <c r="J25" s="43">
        <v>450207</v>
      </c>
      <c r="K25" s="47">
        <v>0.24247802004855948</v>
      </c>
      <c r="L25" s="48">
        <f t="shared" si="1"/>
        <v>1.102172818402543E-2</v>
      </c>
      <c r="N25" s="5">
        <f t="shared" si="4"/>
        <v>18</v>
      </c>
      <c r="O25" s="5">
        <v>22</v>
      </c>
      <c r="P25" s="30">
        <f t="shared" si="2"/>
        <v>370</v>
      </c>
      <c r="Q25" s="8">
        <f t="shared" si="3"/>
        <v>0.30790000000001783</v>
      </c>
      <c r="R25" s="114"/>
      <c r="S25" s="114"/>
      <c r="T25" s="8"/>
      <c r="U25" s="8"/>
      <c r="V25" s="111"/>
    </row>
    <row r="26" spans="1:22" x14ac:dyDescent="0.25">
      <c r="A26" s="42"/>
      <c r="B26" s="62"/>
      <c r="C26" s="44">
        <v>444.34789999999998</v>
      </c>
      <c r="D26" s="44">
        <f t="shared" si="0"/>
        <v>0.34789999999998145</v>
      </c>
      <c r="E26" s="45" t="s">
        <v>16</v>
      </c>
      <c r="F26" s="46">
        <v>443.34</v>
      </c>
      <c r="G26" s="46">
        <v>98.198999999999998</v>
      </c>
      <c r="H26" s="43" t="s">
        <v>34</v>
      </c>
      <c r="I26" s="43">
        <v>1448881</v>
      </c>
      <c r="J26" s="43">
        <v>402516</v>
      </c>
      <c r="K26" s="47">
        <v>0.27781163532408804</v>
      </c>
      <c r="L26" s="48">
        <f t="shared" si="1"/>
        <v>1.1112465412963521E-2</v>
      </c>
      <c r="N26" s="5">
        <f t="shared" si="4"/>
        <v>19</v>
      </c>
      <c r="O26" s="5">
        <v>25</v>
      </c>
      <c r="P26" s="30">
        <f t="shared" si="2"/>
        <v>444</v>
      </c>
      <c r="Q26" s="8">
        <f t="shared" si="3"/>
        <v>0.34789999999998145</v>
      </c>
      <c r="R26" s="114"/>
      <c r="S26" s="114"/>
      <c r="T26" s="8"/>
      <c r="U26" s="8"/>
      <c r="V26" s="111"/>
    </row>
    <row r="27" spans="1:22" x14ac:dyDescent="0.25">
      <c r="A27" s="42"/>
      <c r="B27" s="62"/>
      <c r="C27" s="44">
        <v>356.3279</v>
      </c>
      <c r="D27" s="44">
        <f t="shared" si="0"/>
        <v>0.32789999999999964</v>
      </c>
      <c r="E27" s="45" t="s">
        <v>16</v>
      </c>
      <c r="F27" s="46">
        <v>355.32</v>
      </c>
      <c r="G27" s="46">
        <v>100</v>
      </c>
      <c r="H27" s="43" t="s">
        <v>35</v>
      </c>
      <c r="I27" s="43">
        <v>966774</v>
      </c>
      <c r="J27" s="43">
        <v>242186</v>
      </c>
      <c r="K27" s="47">
        <v>0.25050942619474664</v>
      </c>
      <c r="L27" s="48">
        <f t="shared" si="1"/>
        <v>1.1386792099761211E-2</v>
      </c>
      <c r="N27" s="5">
        <f t="shared" si="4"/>
        <v>20</v>
      </c>
      <c r="O27" s="5">
        <v>22</v>
      </c>
      <c r="P27" s="30">
        <f t="shared" si="2"/>
        <v>356</v>
      </c>
      <c r="Q27" s="8">
        <f t="shared" si="3"/>
        <v>0.32789999999999964</v>
      </c>
      <c r="R27" s="114"/>
      <c r="S27" s="114"/>
      <c r="T27" s="8"/>
      <c r="U27" s="8"/>
      <c r="V27" s="111"/>
    </row>
    <row r="28" spans="1:22" x14ac:dyDescent="0.25">
      <c r="A28" s="42"/>
      <c r="B28" s="62"/>
      <c r="C28" s="44">
        <v>500.34789999999998</v>
      </c>
      <c r="D28" s="44">
        <f t="shared" si="0"/>
        <v>0.34789999999998145</v>
      </c>
      <c r="E28" s="45" t="s">
        <v>16</v>
      </c>
      <c r="F28" s="46">
        <v>499.34</v>
      </c>
      <c r="G28" s="46">
        <v>96.841999999999999</v>
      </c>
      <c r="H28" s="43" t="s">
        <v>36</v>
      </c>
      <c r="I28" s="43">
        <v>490891</v>
      </c>
      <c r="J28" s="43">
        <v>164900</v>
      </c>
      <c r="K28" s="47">
        <v>0.33591978667361999</v>
      </c>
      <c r="L28" s="48">
        <f t="shared" si="1"/>
        <v>1.0836122150761936E-2</v>
      </c>
      <c r="N28" s="5">
        <f t="shared" si="4"/>
        <v>21</v>
      </c>
      <c r="O28" s="5">
        <v>31</v>
      </c>
      <c r="P28" s="30">
        <f t="shared" si="2"/>
        <v>500</v>
      </c>
      <c r="Q28" s="8">
        <f t="shared" si="3"/>
        <v>0.34789999999998145</v>
      </c>
      <c r="R28" s="114"/>
      <c r="S28" s="114"/>
      <c r="T28" s="8"/>
      <c r="U28" s="8"/>
      <c r="V28" s="111"/>
    </row>
    <row r="29" spans="1:22" x14ac:dyDescent="0.25">
      <c r="A29" s="42" t="s">
        <v>203</v>
      </c>
      <c r="B29" s="63" t="s">
        <v>204</v>
      </c>
      <c r="C29" s="44">
        <v>184.01990000000001</v>
      </c>
      <c r="D29" s="44">
        <f t="shared" si="0"/>
        <v>1.9900000000006912E-2</v>
      </c>
      <c r="E29" s="45" t="s">
        <v>16</v>
      </c>
      <c r="F29" s="46">
        <v>183.012</v>
      </c>
      <c r="G29" s="46">
        <v>99.999225999999993</v>
      </c>
      <c r="H29" s="43" t="s">
        <v>37</v>
      </c>
      <c r="I29" s="43">
        <v>2149675</v>
      </c>
      <c r="J29" s="43">
        <v>174367</v>
      </c>
      <c r="K29" s="47">
        <v>8.111319152895205E-2</v>
      </c>
      <c r="L29" s="48">
        <f t="shared" si="1"/>
        <v>1.0139148941119006E-2</v>
      </c>
      <c r="N29" s="5">
        <f t="shared" si="4"/>
        <v>22</v>
      </c>
      <c r="O29" s="5">
        <v>8</v>
      </c>
      <c r="P29" s="30">
        <f t="shared" si="2"/>
        <v>184</v>
      </c>
      <c r="Q29" s="8">
        <f t="shared" si="3"/>
        <v>1.9900000000006912E-2</v>
      </c>
      <c r="R29" s="114"/>
      <c r="S29" s="114"/>
      <c r="T29" s="8"/>
      <c r="U29" s="8"/>
      <c r="V29" s="111"/>
    </row>
    <row r="30" spans="1:22" x14ac:dyDescent="0.25">
      <c r="A30" s="42" t="s">
        <v>199</v>
      </c>
      <c r="B30" s="62"/>
      <c r="C30" s="44">
        <v>234.16300000000001</v>
      </c>
      <c r="D30" s="44">
        <f t="shared" si="0"/>
        <v>0.16300000000001091</v>
      </c>
      <c r="E30" s="45" t="s">
        <v>16</v>
      </c>
      <c r="F30" s="46">
        <v>233.1551</v>
      </c>
      <c r="G30" s="46">
        <v>99.938367</v>
      </c>
      <c r="H30" s="43" t="s">
        <v>21</v>
      </c>
      <c r="I30" s="43">
        <v>7334312</v>
      </c>
      <c r="J30" s="43">
        <v>1086465</v>
      </c>
      <c r="K30" s="47">
        <v>0.14813454895292155</v>
      </c>
      <c r="L30" s="48">
        <f t="shared" si="1"/>
        <v>9.8756365968614371E-3</v>
      </c>
      <c r="N30" s="5">
        <f t="shared" si="4"/>
        <v>23</v>
      </c>
      <c r="O30" s="5">
        <v>15</v>
      </c>
      <c r="P30" s="30">
        <f t="shared" si="2"/>
        <v>234</v>
      </c>
      <c r="Q30" s="8">
        <f t="shared" si="3"/>
        <v>0.16300000000001091</v>
      </c>
      <c r="R30" s="114"/>
      <c r="S30" s="114"/>
      <c r="T30" s="8"/>
      <c r="U30" s="8"/>
      <c r="V30" s="111"/>
    </row>
    <row r="31" spans="1:22" x14ac:dyDescent="0.25">
      <c r="A31" s="42"/>
      <c r="B31" s="62"/>
      <c r="C31" s="44">
        <v>266.15600000000001</v>
      </c>
      <c r="D31" s="44">
        <f t="shared" si="0"/>
        <v>0.15600000000000591</v>
      </c>
      <c r="E31" s="45" t="s">
        <v>16</v>
      </c>
      <c r="F31" s="46">
        <v>265.1481</v>
      </c>
      <c r="G31" s="46">
        <v>99.840472000000005</v>
      </c>
      <c r="H31" s="43" t="s">
        <v>23</v>
      </c>
      <c r="I31" s="43">
        <v>8338817</v>
      </c>
      <c r="J31" s="43">
        <v>1028721</v>
      </c>
      <c r="K31" s="47">
        <v>0.1233653406712247</v>
      </c>
      <c r="L31" s="48">
        <f t="shared" si="1"/>
        <v>1.0280445055935393E-2</v>
      </c>
      <c r="N31" s="5">
        <f t="shared" si="4"/>
        <v>24</v>
      </c>
      <c r="O31" s="5">
        <v>12</v>
      </c>
      <c r="P31" s="30">
        <f t="shared" si="2"/>
        <v>266</v>
      </c>
      <c r="Q31" s="8">
        <f t="shared" si="3"/>
        <v>0.15600000000000591</v>
      </c>
      <c r="R31" s="114"/>
      <c r="S31" s="114"/>
      <c r="T31" s="8"/>
      <c r="U31" s="8"/>
      <c r="V31" s="111"/>
    </row>
    <row r="32" spans="1:22" x14ac:dyDescent="0.25">
      <c r="A32" s="42"/>
      <c r="B32" s="62"/>
      <c r="C32" s="44">
        <v>294.18389999999999</v>
      </c>
      <c r="D32" s="44">
        <f t="shared" si="0"/>
        <v>0.18389999999999418</v>
      </c>
      <c r="E32" s="45" t="s">
        <v>16</v>
      </c>
      <c r="F32" s="46">
        <v>293.17599999999999</v>
      </c>
      <c r="G32" s="46">
        <v>98.873675000000006</v>
      </c>
      <c r="H32" s="43" t="s">
        <v>38</v>
      </c>
      <c r="I32" s="43">
        <v>1481650</v>
      </c>
      <c r="J32" s="43">
        <v>263683</v>
      </c>
      <c r="K32" s="47">
        <v>0.17796578139236663</v>
      </c>
      <c r="L32" s="48">
        <f t="shared" si="1"/>
        <v>1.0468575376021567E-2</v>
      </c>
      <c r="N32" s="5">
        <f t="shared" si="4"/>
        <v>25</v>
      </c>
      <c r="O32" s="5">
        <v>17</v>
      </c>
      <c r="P32" s="30">
        <f t="shared" si="2"/>
        <v>294</v>
      </c>
      <c r="Q32" s="8">
        <f t="shared" si="3"/>
        <v>0.18389999999999418</v>
      </c>
      <c r="R32" s="114"/>
      <c r="S32" s="114"/>
      <c r="T32" s="8"/>
      <c r="U32" s="8"/>
      <c r="V32" s="111"/>
    </row>
    <row r="33" spans="1:22" x14ac:dyDescent="0.25">
      <c r="A33" s="42"/>
      <c r="B33" s="62"/>
      <c r="C33" s="44">
        <v>294.18729999999999</v>
      </c>
      <c r="D33" s="44">
        <f t="shared" si="0"/>
        <v>0.18729999999999336</v>
      </c>
      <c r="E33" s="45" t="s">
        <v>16</v>
      </c>
      <c r="F33" s="46">
        <v>293.17939999999999</v>
      </c>
      <c r="G33" s="46">
        <v>98.813097999999997</v>
      </c>
      <c r="H33" s="43" t="s">
        <v>24</v>
      </c>
      <c r="I33" s="43">
        <v>2325847</v>
      </c>
      <c r="J33" s="43">
        <v>331731</v>
      </c>
      <c r="K33" s="47">
        <v>0.14262804045150004</v>
      </c>
      <c r="L33" s="48">
        <f t="shared" si="1"/>
        <v>1.0187717175107146E-2</v>
      </c>
      <c r="N33" s="5">
        <f t="shared" si="4"/>
        <v>26</v>
      </c>
      <c r="O33" s="5">
        <v>14</v>
      </c>
      <c r="P33" s="30">
        <f t="shared" si="2"/>
        <v>294</v>
      </c>
      <c r="Q33" s="8">
        <f t="shared" si="3"/>
        <v>0.18729999999999336</v>
      </c>
      <c r="R33" s="114"/>
      <c r="S33" s="114"/>
      <c r="T33" s="8"/>
      <c r="U33" s="8"/>
      <c r="V33" s="111"/>
    </row>
    <row r="34" spans="1:22" x14ac:dyDescent="0.25">
      <c r="A34" s="42" t="s">
        <v>206</v>
      </c>
      <c r="B34" s="62" t="s">
        <v>207</v>
      </c>
      <c r="C34" s="44">
        <v>326.19220000000001</v>
      </c>
      <c r="D34" s="44">
        <f t="shared" si="0"/>
        <v>0.19220000000001392</v>
      </c>
      <c r="E34" s="45" t="s">
        <v>16</v>
      </c>
      <c r="F34" s="46">
        <v>325.18430000000001</v>
      </c>
      <c r="G34" s="46">
        <v>99.99</v>
      </c>
      <c r="H34" s="43" t="s">
        <v>39</v>
      </c>
      <c r="I34" s="43">
        <v>6745542</v>
      </c>
      <c r="J34" s="43">
        <v>1490710</v>
      </c>
      <c r="K34" s="47">
        <v>0.22099187878453652</v>
      </c>
      <c r="L34" s="48">
        <f t="shared" si="1"/>
        <v>1.2277326599140917E-2</v>
      </c>
      <c r="N34" s="5">
        <f t="shared" si="4"/>
        <v>27</v>
      </c>
      <c r="O34" s="5">
        <v>18</v>
      </c>
      <c r="P34" s="30">
        <f t="shared" si="2"/>
        <v>326</v>
      </c>
      <c r="Q34" s="8">
        <f t="shared" si="3"/>
        <v>0.19220000000001392</v>
      </c>
      <c r="R34" s="114"/>
      <c r="S34" s="114"/>
      <c r="T34" s="8"/>
      <c r="U34" s="8"/>
      <c r="V34" s="111"/>
    </row>
    <row r="35" spans="1:22" x14ac:dyDescent="0.25">
      <c r="A35" s="42" t="s">
        <v>205</v>
      </c>
      <c r="B35" s="62"/>
      <c r="C35" s="44">
        <v>340.20780000000002</v>
      </c>
      <c r="D35" s="44">
        <f t="shared" si="0"/>
        <v>0.20780000000002019</v>
      </c>
      <c r="E35" s="45" t="s">
        <v>16</v>
      </c>
      <c r="F35" s="46">
        <v>339.19990000000001</v>
      </c>
      <c r="G35" s="46">
        <v>99.997</v>
      </c>
      <c r="H35" s="43" t="s">
        <v>40</v>
      </c>
      <c r="I35" s="43">
        <v>6503079</v>
      </c>
      <c r="J35" s="43">
        <v>1473364</v>
      </c>
      <c r="K35" s="47">
        <v>0.2265640629615602</v>
      </c>
      <c r="L35" s="48">
        <f t="shared" si="1"/>
        <v>1.1924424366397906E-2</v>
      </c>
      <c r="N35" s="5">
        <f t="shared" si="4"/>
        <v>28</v>
      </c>
      <c r="O35" s="5">
        <v>19</v>
      </c>
      <c r="P35" s="30">
        <f t="shared" si="2"/>
        <v>340</v>
      </c>
      <c r="Q35" s="8">
        <f t="shared" si="3"/>
        <v>0.20780000000002019</v>
      </c>
      <c r="R35" s="114"/>
      <c r="S35" s="114"/>
      <c r="T35" s="8"/>
      <c r="U35" s="8"/>
      <c r="V35" s="111"/>
    </row>
    <row r="36" spans="1:22" x14ac:dyDescent="0.25">
      <c r="A36" s="42"/>
      <c r="B36" s="62"/>
      <c r="C36" s="44">
        <v>312.17660000000001</v>
      </c>
      <c r="D36" s="44">
        <f t="shared" si="0"/>
        <v>0.17660000000000764</v>
      </c>
      <c r="E36" s="45" t="s">
        <v>16</v>
      </c>
      <c r="F36" s="46">
        <v>311.1687</v>
      </c>
      <c r="G36" s="46">
        <v>99.995999999999995</v>
      </c>
      <c r="H36" s="43" t="s">
        <v>22</v>
      </c>
      <c r="I36" s="43">
        <v>5162962</v>
      </c>
      <c r="J36" s="43">
        <v>973263</v>
      </c>
      <c r="K36" s="47">
        <v>0.18850865065441116</v>
      </c>
      <c r="L36" s="48">
        <f t="shared" si="1"/>
        <v>1.1088744156141833E-2</v>
      </c>
      <c r="N36" s="5">
        <f t="shared" si="4"/>
        <v>29</v>
      </c>
      <c r="O36" s="5">
        <v>17</v>
      </c>
      <c r="P36" s="30">
        <f t="shared" si="2"/>
        <v>312</v>
      </c>
      <c r="Q36" s="8">
        <f t="shared" si="3"/>
        <v>0.17660000000000764</v>
      </c>
      <c r="R36" s="114"/>
      <c r="S36" s="114"/>
      <c r="T36" s="8"/>
      <c r="U36" s="8"/>
      <c r="V36" s="111"/>
    </row>
    <row r="37" spans="1:22" x14ac:dyDescent="0.25">
      <c r="A37" s="42"/>
      <c r="B37" s="62"/>
      <c r="C37" s="44">
        <v>296.2362</v>
      </c>
      <c r="D37" s="44">
        <f t="shared" si="0"/>
        <v>0.23619999999999663</v>
      </c>
      <c r="E37" s="45" t="s">
        <v>16</v>
      </c>
      <c r="F37" s="46">
        <v>295.22829999999999</v>
      </c>
      <c r="G37" s="46">
        <v>99.999899999999997</v>
      </c>
      <c r="H37" s="43" t="s">
        <v>41</v>
      </c>
      <c r="I37" s="43">
        <v>10412638</v>
      </c>
      <c r="J37" s="43">
        <v>2041737</v>
      </c>
      <c r="K37" s="47">
        <v>0.19608258733281614</v>
      </c>
      <c r="L37" s="48">
        <f t="shared" si="1"/>
        <v>1.0893477074045341E-2</v>
      </c>
      <c r="N37" s="5">
        <f t="shared" si="4"/>
        <v>30</v>
      </c>
      <c r="O37" s="5">
        <v>18</v>
      </c>
      <c r="P37" s="30">
        <f t="shared" si="2"/>
        <v>296</v>
      </c>
      <c r="Q37" s="8">
        <f t="shared" si="3"/>
        <v>0.23619999999999663</v>
      </c>
      <c r="R37" s="114"/>
      <c r="S37" s="114"/>
      <c r="T37" s="8"/>
      <c r="U37" s="8"/>
      <c r="V37" s="111"/>
    </row>
    <row r="38" spans="1:22" x14ac:dyDescent="0.25">
      <c r="A38" s="42"/>
      <c r="B38" s="62"/>
      <c r="C38" s="44">
        <v>280.24090000000001</v>
      </c>
      <c r="D38" s="44">
        <f t="shared" si="0"/>
        <v>0.24090000000001055</v>
      </c>
      <c r="E38" s="45" t="s">
        <v>16</v>
      </c>
      <c r="F38" s="46">
        <v>279.233</v>
      </c>
      <c r="G38" s="46">
        <v>99.999989999999997</v>
      </c>
      <c r="H38" s="43" t="s">
        <v>42</v>
      </c>
      <c r="I38" s="43">
        <v>3479199</v>
      </c>
      <c r="J38" s="43">
        <v>701345</v>
      </c>
      <c r="K38" s="47">
        <v>0.20158231822899467</v>
      </c>
      <c r="L38" s="48">
        <f t="shared" si="1"/>
        <v>1.1199017679388593E-2</v>
      </c>
      <c r="N38" s="5">
        <f t="shared" si="4"/>
        <v>31</v>
      </c>
      <c r="O38" s="5">
        <v>18</v>
      </c>
      <c r="P38" s="30">
        <f t="shared" si="2"/>
        <v>280</v>
      </c>
      <c r="Q38" s="8">
        <f t="shared" si="3"/>
        <v>0.24090000000001055</v>
      </c>
      <c r="R38" s="114"/>
      <c r="S38" s="114"/>
      <c r="T38" s="8"/>
      <c r="U38" s="8"/>
      <c r="V38" s="111"/>
    </row>
    <row r="39" spans="1:22" x14ac:dyDescent="0.25">
      <c r="A39" s="42"/>
      <c r="B39" s="62"/>
      <c r="C39" s="44">
        <v>298.16090000000003</v>
      </c>
      <c r="D39" s="44">
        <f t="shared" si="0"/>
        <v>0.16090000000002647</v>
      </c>
      <c r="E39" s="45" t="s">
        <v>16</v>
      </c>
      <c r="F39" s="46">
        <v>297.15300000000002</v>
      </c>
      <c r="G39" s="46">
        <v>99.989000000000004</v>
      </c>
      <c r="H39" s="43" t="s">
        <v>43</v>
      </c>
      <c r="I39" s="43">
        <v>1518337</v>
      </c>
      <c r="J39" s="43">
        <v>278061</v>
      </c>
      <c r="K39" s="47">
        <v>0.18313523282380656</v>
      </c>
      <c r="L39" s="48">
        <f t="shared" si="1"/>
        <v>1.144595205148791E-2</v>
      </c>
      <c r="N39" s="5">
        <f t="shared" si="4"/>
        <v>32</v>
      </c>
      <c r="O39" s="5">
        <v>16</v>
      </c>
      <c r="P39" s="30">
        <f t="shared" si="2"/>
        <v>298</v>
      </c>
      <c r="Q39" s="8">
        <f t="shared" si="3"/>
        <v>0.16090000000002647</v>
      </c>
      <c r="R39" s="114"/>
      <c r="S39" s="114"/>
      <c r="T39" s="8"/>
      <c r="U39" s="8"/>
      <c r="V39" s="111"/>
    </row>
    <row r="40" spans="1:22" x14ac:dyDescent="0.25">
      <c r="A40" s="42"/>
      <c r="B40" s="62" t="s">
        <v>208</v>
      </c>
      <c r="C40" s="44">
        <v>326.19310000000002</v>
      </c>
      <c r="D40" s="44">
        <f t="shared" si="0"/>
        <v>0.19310000000001537</v>
      </c>
      <c r="E40" s="45" t="s">
        <v>16</v>
      </c>
      <c r="F40" s="46">
        <v>325.18520000000001</v>
      </c>
      <c r="G40" s="46">
        <v>99.36</v>
      </c>
      <c r="H40" s="43" t="s">
        <v>39</v>
      </c>
      <c r="I40" s="43">
        <v>9436780</v>
      </c>
      <c r="J40" s="43">
        <v>2230755</v>
      </c>
      <c r="K40" s="47">
        <v>0.23638942520647932</v>
      </c>
      <c r="L40" s="48">
        <f t="shared" si="1"/>
        <v>1.3132745844804406E-2</v>
      </c>
      <c r="N40" s="5">
        <f t="shared" si="4"/>
        <v>33</v>
      </c>
      <c r="O40" s="5">
        <v>18</v>
      </c>
      <c r="P40" s="30">
        <f t="shared" si="2"/>
        <v>326</v>
      </c>
      <c r="Q40" s="8">
        <f t="shared" si="3"/>
        <v>0.19310000000001537</v>
      </c>
      <c r="R40" s="114"/>
      <c r="S40" s="114"/>
      <c r="T40" s="8"/>
      <c r="U40" s="8"/>
      <c r="V40" s="111"/>
    </row>
    <row r="41" spans="1:22" x14ac:dyDescent="0.25">
      <c r="A41" s="42"/>
      <c r="B41" s="62"/>
      <c r="C41" s="44">
        <v>340.20870000000002</v>
      </c>
      <c r="D41" s="44">
        <f t="shared" si="0"/>
        <v>0.20870000000002165</v>
      </c>
      <c r="E41" s="45" t="s">
        <v>16</v>
      </c>
      <c r="F41" s="46">
        <v>339.20080000000002</v>
      </c>
      <c r="G41" s="46">
        <v>99.52</v>
      </c>
      <c r="H41" s="43" t="s">
        <v>40</v>
      </c>
      <c r="I41" s="43">
        <v>8998966</v>
      </c>
      <c r="J41" s="43">
        <v>2124832</v>
      </c>
      <c r="K41" s="47">
        <v>0.23611957195971181</v>
      </c>
      <c r="L41" s="48">
        <f t="shared" si="1"/>
        <v>1.2427345892616411E-2</v>
      </c>
      <c r="N41" s="5">
        <f t="shared" si="4"/>
        <v>34</v>
      </c>
      <c r="O41" s="5">
        <v>19</v>
      </c>
      <c r="P41" s="30">
        <f t="shared" si="2"/>
        <v>340</v>
      </c>
      <c r="Q41" s="8">
        <f t="shared" si="3"/>
        <v>0.20870000000002165</v>
      </c>
      <c r="R41" s="114"/>
      <c r="S41" s="114"/>
      <c r="T41" s="8"/>
      <c r="U41" s="8"/>
      <c r="V41" s="111"/>
    </row>
    <row r="42" spans="1:22" x14ac:dyDescent="0.25">
      <c r="A42" s="42"/>
      <c r="B42" s="62"/>
      <c r="C42" s="44">
        <v>312.17660000000001</v>
      </c>
      <c r="D42" s="44">
        <f t="shared" si="0"/>
        <v>0.17660000000000764</v>
      </c>
      <c r="E42" s="45" t="s">
        <v>16</v>
      </c>
      <c r="F42" s="46">
        <v>311.1687</v>
      </c>
      <c r="G42" s="46">
        <v>99.995999999999995</v>
      </c>
      <c r="H42" s="43" t="s">
        <v>22</v>
      </c>
      <c r="I42" s="43">
        <v>7847946</v>
      </c>
      <c r="J42" s="43">
        <v>1516003</v>
      </c>
      <c r="K42" s="47">
        <v>0.1931719458824003</v>
      </c>
      <c r="L42" s="48">
        <f t="shared" si="1"/>
        <v>1.1363055640141194E-2</v>
      </c>
      <c r="N42" s="5">
        <f t="shared" si="4"/>
        <v>35</v>
      </c>
      <c r="O42" s="5">
        <v>17</v>
      </c>
      <c r="P42" s="30">
        <f t="shared" si="2"/>
        <v>312</v>
      </c>
      <c r="Q42" s="8">
        <f t="shared" si="3"/>
        <v>0.17660000000000764</v>
      </c>
      <c r="R42" s="114"/>
      <c r="S42" s="114"/>
      <c r="T42" s="8"/>
      <c r="U42" s="8"/>
      <c r="V42" s="111"/>
    </row>
    <row r="43" spans="1:22" x14ac:dyDescent="0.25">
      <c r="A43" s="42"/>
      <c r="B43" s="62"/>
      <c r="C43" s="44">
        <v>326.19280000000003</v>
      </c>
      <c r="D43" s="44">
        <f t="shared" si="0"/>
        <v>0.19280000000003383</v>
      </c>
      <c r="E43" s="45" t="s">
        <v>16</v>
      </c>
      <c r="F43" s="46">
        <v>325.18490000000003</v>
      </c>
      <c r="G43" s="46">
        <v>99.947699999999998</v>
      </c>
      <c r="H43" s="43" t="s">
        <v>39</v>
      </c>
      <c r="I43" s="43">
        <v>6202501</v>
      </c>
      <c r="J43" s="43">
        <v>1243053</v>
      </c>
      <c r="K43" s="47">
        <v>0.200411575911072</v>
      </c>
      <c r="L43" s="48">
        <f t="shared" si="1"/>
        <v>1.1133976439503999E-2</v>
      </c>
      <c r="N43" s="5">
        <f t="shared" si="4"/>
        <v>36</v>
      </c>
      <c r="O43" s="5">
        <v>18</v>
      </c>
      <c r="P43" s="30">
        <f t="shared" si="2"/>
        <v>326</v>
      </c>
      <c r="Q43" s="8">
        <f t="shared" si="3"/>
        <v>0.19280000000003383</v>
      </c>
      <c r="R43" s="114"/>
      <c r="S43" s="114"/>
      <c r="T43" s="8"/>
      <c r="U43" s="8"/>
      <c r="V43" s="111"/>
    </row>
    <row r="44" spans="1:22" x14ac:dyDescent="0.25">
      <c r="A44" s="42"/>
      <c r="B44" s="62"/>
      <c r="C44" s="44">
        <v>312.17720000000003</v>
      </c>
      <c r="D44" s="44">
        <f t="shared" si="0"/>
        <v>0.17720000000002756</v>
      </c>
      <c r="E44" s="45" t="s">
        <v>16</v>
      </c>
      <c r="F44" s="46">
        <v>311.16930000000002</v>
      </c>
      <c r="G44" s="46">
        <v>99.501999999999995</v>
      </c>
      <c r="H44" s="43" t="s">
        <v>22</v>
      </c>
      <c r="I44" s="43">
        <v>5701140</v>
      </c>
      <c r="J44" s="43">
        <v>1040257</v>
      </c>
      <c r="K44" s="47">
        <v>0.18246473512315081</v>
      </c>
      <c r="L44" s="48">
        <f t="shared" si="1"/>
        <v>1.0733219713126518E-2</v>
      </c>
      <c r="N44" s="5">
        <f t="shared" si="4"/>
        <v>37</v>
      </c>
      <c r="O44" s="5">
        <v>17</v>
      </c>
      <c r="P44" s="30">
        <f t="shared" si="2"/>
        <v>312</v>
      </c>
      <c r="Q44" s="8">
        <f t="shared" si="3"/>
        <v>0.17720000000002756</v>
      </c>
      <c r="R44" s="114"/>
      <c r="S44" s="114"/>
      <c r="T44" s="8"/>
      <c r="U44" s="8"/>
      <c r="V44" s="111"/>
    </row>
    <row r="45" spans="1:22" x14ac:dyDescent="0.25">
      <c r="A45" s="42"/>
      <c r="B45" s="62"/>
      <c r="C45" s="44">
        <v>326.19299999999998</v>
      </c>
      <c r="D45" s="44">
        <f t="shared" si="0"/>
        <v>0.19299999999998363</v>
      </c>
      <c r="E45" s="45" t="s">
        <v>16</v>
      </c>
      <c r="F45" s="46">
        <v>325.18509999999998</v>
      </c>
      <c r="G45" s="46">
        <v>99.779799999999994</v>
      </c>
      <c r="H45" s="43" t="s">
        <v>39</v>
      </c>
      <c r="I45" s="43">
        <v>5205112</v>
      </c>
      <c r="J45" s="43">
        <v>1025941</v>
      </c>
      <c r="K45" s="47">
        <v>0.19710257915679816</v>
      </c>
      <c r="L45" s="48">
        <f t="shared" si="1"/>
        <v>1.0950143286488787E-2</v>
      </c>
      <c r="N45" s="5">
        <f t="shared" si="4"/>
        <v>38</v>
      </c>
      <c r="O45" s="5">
        <v>18</v>
      </c>
      <c r="P45" s="30">
        <f t="shared" si="2"/>
        <v>326</v>
      </c>
      <c r="Q45" s="8">
        <f t="shared" si="3"/>
        <v>0.19299999999998363</v>
      </c>
      <c r="R45" s="114"/>
      <c r="S45" s="114"/>
      <c r="T45" s="8"/>
      <c r="U45" s="8"/>
      <c r="V45" s="111"/>
    </row>
    <row r="46" spans="1:22" x14ac:dyDescent="0.25">
      <c r="A46" s="42"/>
      <c r="B46" s="62"/>
      <c r="C46" s="44">
        <v>340.20839999999998</v>
      </c>
      <c r="D46" s="44">
        <f t="shared" si="0"/>
        <v>0.20839999999998327</v>
      </c>
      <c r="E46" s="45" t="s">
        <v>16</v>
      </c>
      <c r="F46" s="46">
        <v>339.20049999999998</v>
      </c>
      <c r="G46" s="46">
        <v>98.236000000000004</v>
      </c>
      <c r="H46" s="43" t="s">
        <v>40</v>
      </c>
      <c r="I46" s="43">
        <v>5187918</v>
      </c>
      <c r="J46" s="43">
        <v>1066632</v>
      </c>
      <c r="K46" s="47">
        <v>0.20559924038891902</v>
      </c>
      <c r="L46" s="48">
        <f t="shared" si="1"/>
        <v>1.082101265204837E-2</v>
      </c>
      <c r="N46" s="5">
        <f t="shared" si="4"/>
        <v>39</v>
      </c>
      <c r="O46" s="5">
        <v>19</v>
      </c>
      <c r="P46" s="30">
        <f t="shared" si="2"/>
        <v>340</v>
      </c>
      <c r="Q46" s="8">
        <f t="shared" si="3"/>
        <v>0.20839999999998327</v>
      </c>
      <c r="R46" s="114"/>
      <c r="S46" s="114"/>
      <c r="T46" s="8"/>
      <c r="U46" s="8"/>
      <c r="V46" s="111"/>
    </row>
    <row r="47" spans="1:22" x14ac:dyDescent="0.25">
      <c r="A47" s="42"/>
      <c r="B47" s="62" t="s">
        <v>209</v>
      </c>
      <c r="C47" s="44">
        <v>266.15609999999998</v>
      </c>
      <c r="D47" s="44">
        <f t="shared" si="0"/>
        <v>0.15609999999998081</v>
      </c>
      <c r="E47" s="45" t="s">
        <v>16</v>
      </c>
      <c r="F47" s="46">
        <v>265.14819999999997</v>
      </c>
      <c r="G47" s="46">
        <v>99.999899999999997</v>
      </c>
      <c r="H47" s="43" t="s">
        <v>23</v>
      </c>
      <c r="I47" s="43">
        <v>10624367</v>
      </c>
      <c r="J47" s="43">
        <v>1477759</v>
      </c>
      <c r="K47" s="47">
        <v>0.13909148657985929</v>
      </c>
      <c r="L47" s="48">
        <f t="shared" si="1"/>
        <v>1.1590957214988274E-2</v>
      </c>
      <c r="N47" s="5">
        <f t="shared" si="4"/>
        <v>40</v>
      </c>
      <c r="O47" s="5">
        <v>12</v>
      </c>
      <c r="P47" s="30">
        <f t="shared" si="2"/>
        <v>266</v>
      </c>
      <c r="Q47" s="8">
        <f t="shared" si="3"/>
        <v>0.15609999999998081</v>
      </c>
      <c r="R47" s="114"/>
      <c r="S47" s="114"/>
      <c r="T47" s="8"/>
      <c r="U47" s="8"/>
      <c r="V47" s="111"/>
    </row>
    <row r="48" spans="1:22" x14ac:dyDescent="0.25">
      <c r="A48" s="42"/>
      <c r="B48" s="62"/>
      <c r="C48" s="44">
        <v>294.18799999999999</v>
      </c>
      <c r="D48" s="44">
        <f t="shared" si="0"/>
        <v>0.18799999999998818</v>
      </c>
      <c r="E48" s="45" t="s">
        <v>16</v>
      </c>
      <c r="F48" s="46">
        <v>293.18009999999998</v>
      </c>
      <c r="G48" s="46">
        <v>99.366</v>
      </c>
      <c r="H48" s="43" t="s">
        <v>24</v>
      </c>
      <c r="I48" s="43">
        <v>5850310</v>
      </c>
      <c r="J48" s="43">
        <v>889706</v>
      </c>
      <c r="K48" s="47">
        <v>0.15207843686915737</v>
      </c>
      <c r="L48" s="48">
        <f t="shared" si="1"/>
        <v>1.0862745490654097E-2</v>
      </c>
      <c r="N48" s="5">
        <f t="shared" si="4"/>
        <v>41</v>
      </c>
      <c r="O48" s="5">
        <v>14</v>
      </c>
      <c r="P48" s="30">
        <f t="shared" si="2"/>
        <v>294</v>
      </c>
      <c r="Q48" s="8">
        <f t="shared" si="3"/>
        <v>0.18799999999998818</v>
      </c>
      <c r="R48" s="114"/>
      <c r="S48" s="114"/>
      <c r="T48" s="8"/>
      <c r="U48" s="8"/>
      <c r="V48" s="111"/>
    </row>
    <row r="49" spans="1:22" x14ac:dyDescent="0.25">
      <c r="A49" s="42"/>
      <c r="B49" s="62"/>
      <c r="C49" s="44">
        <v>234.1628</v>
      </c>
      <c r="D49" s="44">
        <f t="shared" si="0"/>
        <v>0.16280000000000427</v>
      </c>
      <c r="E49" s="45" t="s">
        <v>16</v>
      </c>
      <c r="F49" s="46">
        <v>233.1549</v>
      </c>
      <c r="G49" s="46">
        <v>99.998099999999994</v>
      </c>
      <c r="H49" s="43" t="s">
        <v>21</v>
      </c>
      <c r="I49" s="43">
        <v>2797906</v>
      </c>
      <c r="J49" s="43">
        <v>472146</v>
      </c>
      <c r="K49" s="47">
        <v>0.1687497721510301</v>
      </c>
      <c r="L49" s="48">
        <f t="shared" si="1"/>
        <v>1.1249984810068673E-2</v>
      </c>
      <c r="N49" s="5">
        <f t="shared" si="4"/>
        <v>42</v>
      </c>
      <c r="O49" s="5">
        <v>15</v>
      </c>
      <c r="P49" s="30">
        <f t="shared" si="2"/>
        <v>234</v>
      </c>
      <c r="Q49" s="8">
        <f t="shared" si="3"/>
        <v>0.16280000000000427</v>
      </c>
      <c r="R49" s="114"/>
      <c r="S49" s="114"/>
      <c r="T49" s="8"/>
      <c r="U49" s="8"/>
      <c r="V49" s="111"/>
    </row>
    <row r="50" spans="1:22" x14ac:dyDescent="0.25">
      <c r="A50" s="42" t="s">
        <v>44</v>
      </c>
      <c r="B50" s="62" t="s">
        <v>210</v>
      </c>
      <c r="C50" s="44">
        <v>266.15629999999999</v>
      </c>
      <c r="D50" s="44">
        <f t="shared" si="0"/>
        <v>0.15629999999998745</v>
      </c>
      <c r="E50" s="45" t="s">
        <v>16</v>
      </c>
      <c r="F50" s="46">
        <v>265.14839999999998</v>
      </c>
      <c r="G50" s="46">
        <v>99.999970000000005</v>
      </c>
      <c r="H50" s="43" t="s">
        <v>23</v>
      </c>
      <c r="I50" s="43">
        <v>13751896</v>
      </c>
      <c r="J50" s="43">
        <v>1931341</v>
      </c>
      <c r="K50" s="47">
        <v>0.14044179798916454</v>
      </c>
      <c r="L50" s="48">
        <f t="shared" si="1"/>
        <v>1.1703483165763711E-2</v>
      </c>
      <c r="N50" s="5">
        <f t="shared" si="4"/>
        <v>43</v>
      </c>
      <c r="O50" s="5">
        <v>12</v>
      </c>
      <c r="P50" s="30">
        <f t="shared" si="2"/>
        <v>266</v>
      </c>
      <c r="Q50" s="8">
        <f t="shared" si="3"/>
        <v>0.15629999999998745</v>
      </c>
      <c r="R50" s="114"/>
      <c r="S50" s="114"/>
      <c r="T50" s="8"/>
      <c r="U50" s="8"/>
      <c r="V50" s="111"/>
    </row>
    <row r="51" spans="1:22" x14ac:dyDescent="0.25">
      <c r="A51" s="42" t="s">
        <v>205</v>
      </c>
      <c r="B51" s="62"/>
      <c r="C51" s="44">
        <v>182.08010000000002</v>
      </c>
      <c r="D51" s="44">
        <f t="shared" si="0"/>
        <v>8.0100000000015825E-2</v>
      </c>
      <c r="E51" s="45" t="s">
        <v>16</v>
      </c>
      <c r="F51" s="46">
        <v>181.07220000000001</v>
      </c>
      <c r="G51" s="46">
        <v>9.3059999999999992</v>
      </c>
      <c r="H51" s="43" t="s">
        <v>45</v>
      </c>
      <c r="I51" s="43">
        <v>6529468</v>
      </c>
      <c r="J51" s="43">
        <v>448094</v>
      </c>
      <c r="K51" s="47">
        <v>6.8626417956256167E-2</v>
      </c>
      <c r="L51" s="48">
        <f t="shared" si="1"/>
        <v>1.1437736326042695E-2</v>
      </c>
      <c r="N51" s="5">
        <f t="shared" si="4"/>
        <v>44</v>
      </c>
      <c r="O51" s="5">
        <v>6</v>
      </c>
      <c r="P51" s="30">
        <f t="shared" si="2"/>
        <v>182</v>
      </c>
      <c r="Q51" s="8">
        <f t="shared" si="3"/>
        <v>8.0100000000015825E-2</v>
      </c>
      <c r="R51" s="114"/>
      <c r="S51" s="114"/>
      <c r="T51" s="8"/>
      <c r="U51" s="8"/>
      <c r="V51" s="111"/>
    </row>
    <row r="52" spans="1:22" x14ac:dyDescent="0.25">
      <c r="A52" s="42"/>
      <c r="B52" s="62"/>
      <c r="C52" s="44">
        <v>294.18740000000003</v>
      </c>
      <c r="D52" s="44">
        <f t="shared" si="0"/>
        <v>0.1874000000000251</v>
      </c>
      <c r="E52" s="45" t="s">
        <v>16</v>
      </c>
      <c r="F52" s="46">
        <v>293.17950000000002</v>
      </c>
      <c r="G52" s="46">
        <v>97.439580000000007</v>
      </c>
      <c r="H52" s="43" t="s">
        <v>24</v>
      </c>
      <c r="I52" s="43">
        <v>5728433</v>
      </c>
      <c r="J52" s="43">
        <v>956071</v>
      </c>
      <c r="K52" s="47">
        <v>0.16689922008339803</v>
      </c>
      <c r="L52" s="48">
        <f t="shared" si="1"/>
        <v>1.1921372863099858E-2</v>
      </c>
      <c r="N52" s="5">
        <f t="shared" si="4"/>
        <v>45</v>
      </c>
      <c r="O52" s="5">
        <v>14</v>
      </c>
      <c r="P52" s="30">
        <f t="shared" si="2"/>
        <v>294</v>
      </c>
      <c r="Q52" s="8">
        <f t="shared" si="3"/>
        <v>0.1874000000000251</v>
      </c>
      <c r="R52" s="114"/>
      <c r="S52" s="114"/>
      <c r="T52" s="8"/>
      <c r="U52" s="8"/>
      <c r="V52" s="111"/>
    </row>
    <row r="53" spans="1:22" x14ac:dyDescent="0.25">
      <c r="A53" s="42"/>
      <c r="B53" s="62"/>
      <c r="C53" s="44">
        <v>234.1628</v>
      </c>
      <c r="D53" s="44">
        <f t="shared" si="0"/>
        <v>0.16280000000000427</v>
      </c>
      <c r="E53" s="45" t="s">
        <v>16</v>
      </c>
      <c r="F53" s="46">
        <v>233.1549</v>
      </c>
      <c r="G53" s="46">
        <v>99.997168000000002</v>
      </c>
      <c r="H53" s="43" t="s">
        <v>21</v>
      </c>
      <c r="I53" s="43">
        <v>2925311</v>
      </c>
      <c r="J53" s="43">
        <v>496081</v>
      </c>
      <c r="K53" s="47">
        <v>0.16958231107735211</v>
      </c>
      <c r="L53" s="48">
        <f t="shared" si="1"/>
        <v>1.1305487405156807E-2</v>
      </c>
      <c r="N53" s="5">
        <f t="shared" si="4"/>
        <v>46</v>
      </c>
      <c r="O53" s="5">
        <v>15</v>
      </c>
      <c r="P53" s="30">
        <f t="shared" si="2"/>
        <v>234</v>
      </c>
      <c r="Q53" s="8">
        <f t="shared" si="3"/>
        <v>0.16280000000000427</v>
      </c>
      <c r="R53" s="114"/>
      <c r="S53" s="114"/>
      <c r="T53" s="8"/>
      <c r="U53" s="8"/>
      <c r="V53" s="111"/>
    </row>
    <row r="54" spans="1:22" x14ac:dyDescent="0.25">
      <c r="A54" s="42" t="s">
        <v>211</v>
      </c>
      <c r="B54" s="62" t="s">
        <v>210</v>
      </c>
      <c r="C54" s="44">
        <v>266.15609999999998</v>
      </c>
      <c r="D54" s="44">
        <f t="shared" si="0"/>
        <v>0.15609999999998081</v>
      </c>
      <c r="E54" s="45" t="s">
        <v>16</v>
      </c>
      <c r="F54" s="46">
        <v>265.14819999999997</v>
      </c>
      <c r="G54" s="46">
        <v>99.999979999999994</v>
      </c>
      <c r="H54" s="43" t="s">
        <v>23</v>
      </c>
      <c r="I54" s="43">
        <v>10263670</v>
      </c>
      <c r="J54" s="43">
        <v>1430313</v>
      </c>
      <c r="K54" s="47">
        <v>0.13935687721838289</v>
      </c>
      <c r="L54" s="48">
        <f t="shared" si="1"/>
        <v>1.1613073101531908E-2</v>
      </c>
      <c r="N54" s="5">
        <f t="shared" si="4"/>
        <v>47</v>
      </c>
      <c r="O54" s="5">
        <v>12</v>
      </c>
      <c r="P54" s="30">
        <f t="shared" si="2"/>
        <v>266</v>
      </c>
      <c r="Q54" s="8">
        <f t="shared" si="3"/>
        <v>0.15609999999998081</v>
      </c>
      <c r="R54" s="114"/>
      <c r="S54" s="114"/>
      <c r="T54" s="8"/>
      <c r="U54" s="8"/>
      <c r="V54" s="111"/>
    </row>
    <row r="55" spans="1:22" x14ac:dyDescent="0.25">
      <c r="A55" s="42" t="s">
        <v>212</v>
      </c>
      <c r="B55" s="62"/>
      <c r="C55" s="44">
        <v>294.1875</v>
      </c>
      <c r="D55" s="44">
        <f t="shared" si="0"/>
        <v>0.1875</v>
      </c>
      <c r="E55" s="45" t="s">
        <v>16</v>
      </c>
      <c r="F55" s="46">
        <v>293.17959999999999</v>
      </c>
      <c r="G55" s="46">
        <v>99.877099999999999</v>
      </c>
      <c r="H55" s="43" t="s">
        <v>24</v>
      </c>
      <c r="I55" s="43">
        <v>5490642</v>
      </c>
      <c r="J55" s="43">
        <v>900799</v>
      </c>
      <c r="K55" s="47">
        <v>0.16406077832064084</v>
      </c>
      <c r="L55" s="48">
        <f t="shared" si="1"/>
        <v>1.1718627022902916E-2</v>
      </c>
      <c r="N55" s="5">
        <f t="shared" si="4"/>
        <v>48</v>
      </c>
      <c r="O55" s="5">
        <v>14</v>
      </c>
      <c r="P55" s="30">
        <f t="shared" si="2"/>
        <v>294</v>
      </c>
      <c r="Q55" s="8">
        <f t="shared" si="3"/>
        <v>0.1875</v>
      </c>
      <c r="R55" s="114"/>
      <c r="S55" s="114"/>
      <c r="T55" s="8"/>
      <c r="U55" s="8"/>
      <c r="V55" s="111"/>
    </row>
    <row r="56" spans="1:22" x14ac:dyDescent="0.25">
      <c r="A56" s="42"/>
      <c r="B56" s="62"/>
      <c r="C56" s="44">
        <v>234.16290000000001</v>
      </c>
      <c r="D56" s="44">
        <f t="shared" si="0"/>
        <v>0.16290000000000759</v>
      </c>
      <c r="E56" s="45" t="s">
        <v>16</v>
      </c>
      <c r="F56" s="46">
        <v>233.155</v>
      </c>
      <c r="G56" s="46">
        <v>99.983800000000002</v>
      </c>
      <c r="H56" s="43" t="s">
        <v>21</v>
      </c>
      <c r="I56" s="43">
        <v>2782984</v>
      </c>
      <c r="J56" s="43">
        <v>462271</v>
      </c>
      <c r="K56" s="47">
        <v>0.16610623704627839</v>
      </c>
      <c r="L56" s="48">
        <f t="shared" si="1"/>
        <v>1.107374913641856E-2</v>
      </c>
      <c r="N56" s="5">
        <f t="shared" si="4"/>
        <v>49</v>
      </c>
      <c r="O56" s="5">
        <v>15</v>
      </c>
      <c r="P56" s="30">
        <f t="shared" si="2"/>
        <v>234</v>
      </c>
      <c r="Q56" s="8">
        <f t="shared" si="3"/>
        <v>0.16290000000000759</v>
      </c>
      <c r="R56" s="114"/>
      <c r="S56" s="114"/>
      <c r="T56" s="8"/>
      <c r="U56" s="8"/>
      <c r="V56" s="111"/>
    </row>
    <row r="57" spans="1:22" x14ac:dyDescent="0.25">
      <c r="A57" s="42"/>
      <c r="B57" s="62" t="s">
        <v>270</v>
      </c>
      <c r="C57" s="44">
        <v>298.16120000000001</v>
      </c>
      <c r="D57" s="44">
        <f t="shared" si="0"/>
        <v>0.161200000000008</v>
      </c>
      <c r="E57" s="45" t="s">
        <v>16</v>
      </c>
      <c r="F57" s="46">
        <v>297.1533</v>
      </c>
      <c r="G57" s="46">
        <v>94.376000000000005</v>
      </c>
      <c r="H57" s="43" t="s">
        <v>43</v>
      </c>
      <c r="I57" s="43">
        <v>3148093</v>
      </c>
      <c r="J57" s="43">
        <v>600486</v>
      </c>
      <c r="K57" s="47">
        <v>0.19074595318499168</v>
      </c>
      <c r="L57" s="48">
        <f t="shared" si="1"/>
        <v>1.192162207406198E-2</v>
      </c>
      <c r="N57" s="5">
        <f t="shared" si="4"/>
        <v>50</v>
      </c>
      <c r="O57" s="5">
        <v>16</v>
      </c>
      <c r="P57" s="30">
        <f t="shared" si="2"/>
        <v>298</v>
      </c>
      <c r="Q57" s="8">
        <f t="shared" si="3"/>
        <v>0.161200000000008</v>
      </c>
      <c r="R57" s="114"/>
      <c r="S57" s="114"/>
      <c r="T57" s="8"/>
      <c r="U57" s="8"/>
      <c r="V57" s="111"/>
    </row>
    <row r="58" spans="1:22" x14ac:dyDescent="0.25">
      <c r="A58" s="42"/>
      <c r="B58" s="62"/>
      <c r="C58" s="44">
        <v>266.15609999999998</v>
      </c>
      <c r="D58" s="44">
        <f t="shared" si="0"/>
        <v>0.15609999999998081</v>
      </c>
      <c r="E58" s="45" t="s">
        <v>16</v>
      </c>
      <c r="F58" s="46">
        <v>265.14819999999997</v>
      </c>
      <c r="G58" s="46">
        <v>99.999899999999997</v>
      </c>
      <c r="H58" s="43" t="s">
        <v>23</v>
      </c>
      <c r="I58" s="43">
        <v>12112850</v>
      </c>
      <c r="J58" s="43">
        <v>1749928</v>
      </c>
      <c r="K58" s="47">
        <v>0.14446872536190905</v>
      </c>
      <c r="L58" s="48">
        <f t="shared" si="1"/>
        <v>1.2039060446825754E-2</v>
      </c>
      <c r="N58" s="5">
        <f t="shared" si="4"/>
        <v>51</v>
      </c>
      <c r="O58" s="5">
        <v>12</v>
      </c>
      <c r="P58" s="30">
        <f t="shared" si="2"/>
        <v>266</v>
      </c>
      <c r="Q58" s="8">
        <f t="shared" si="3"/>
        <v>0.15609999999998081</v>
      </c>
      <c r="R58" s="114"/>
      <c r="S58" s="114"/>
      <c r="T58" s="8"/>
      <c r="U58" s="8"/>
      <c r="V58" s="111"/>
    </row>
    <row r="59" spans="1:22" x14ac:dyDescent="0.25">
      <c r="A59" s="42"/>
      <c r="B59" s="62"/>
      <c r="C59" s="44">
        <v>294.18779999999998</v>
      </c>
      <c r="D59" s="44">
        <f t="shared" si="0"/>
        <v>0.18779999999998154</v>
      </c>
      <c r="E59" s="45" t="s">
        <v>16</v>
      </c>
      <c r="F59" s="46">
        <v>293.17989999999998</v>
      </c>
      <c r="G59" s="46">
        <v>99.281999999999996</v>
      </c>
      <c r="H59" s="43" t="s">
        <v>24</v>
      </c>
      <c r="I59" s="43">
        <v>4953223</v>
      </c>
      <c r="J59" s="43">
        <v>836701</v>
      </c>
      <c r="K59" s="47">
        <v>0.16892051902367408</v>
      </c>
      <c r="L59" s="48">
        <f t="shared" si="1"/>
        <v>1.2065751358833863E-2</v>
      </c>
      <c r="N59" s="5">
        <f t="shared" si="4"/>
        <v>52</v>
      </c>
      <c r="O59" s="5">
        <v>14</v>
      </c>
      <c r="P59" s="30">
        <f t="shared" si="2"/>
        <v>294</v>
      </c>
      <c r="Q59" s="8">
        <f t="shared" si="3"/>
        <v>0.18779999999998154</v>
      </c>
      <c r="R59" s="114"/>
      <c r="S59" s="114"/>
      <c r="T59" s="8"/>
      <c r="U59" s="8"/>
      <c r="V59" s="111"/>
    </row>
    <row r="60" spans="1:22" x14ac:dyDescent="0.25">
      <c r="A60" s="42"/>
      <c r="B60" s="62"/>
      <c r="C60" s="44">
        <v>234.16310000000001</v>
      </c>
      <c r="D60" s="44">
        <f t="shared" si="0"/>
        <v>0.16310000000001423</v>
      </c>
      <c r="E60" s="45" t="s">
        <v>16</v>
      </c>
      <c r="F60" s="46">
        <v>233.15520000000001</v>
      </c>
      <c r="G60" s="46">
        <v>99.975999999999999</v>
      </c>
      <c r="H60" s="43" t="s">
        <v>21</v>
      </c>
      <c r="I60" s="43">
        <v>2854595</v>
      </c>
      <c r="J60" s="43">
        <v>485206</v>
      </c>
      <c r="K60" s="47">
        <v>0.16997367402381072</v>
      </c>
      <c r="L60" s="48">
        <f t="shared" si="1"/>
        <v>1.1331578268254048E-2</v>
      </c>
      <c r="N60" s="5">
        <f t="shared" si="4"/>
        <v>53</v>
      </c>
      <c r="O60" s="5">
        <v>15</v>
      </c>
      <c r="P60" s="30">
        <f t="shared" si="2"/>
        <v>234</v>
      </c>
      <c r="Q60" s="8">
        <f t="shared" si="3"/>
        <v>0.16310000000001423</v>
      </c>
      <c r="R60" s="114"/>
      <c r="S60" s="114"/>
      <c r="T60" s="8"/>
      <c r="U60" s="8"/>
      <c r="V60" s="111"/>
    </row>
    <row r="61" spans="1:22" x14ac:dyDescent="0.25">
      <c r="A61" s="42" t="s">
        <v>46</v>
      </c>
      <c r="B61" s="63" t="s">
        <v>47</v>
      </c>
      <c r="C61" s="44">
        <v>415.11619999999999</v>
      </c>
      <c r="D61" s="44">
        <f t="shared" si="0"/>
        <v>0.11619999999999209</v>
      </c>
      <c r="E61" s="45" t="s">
        <v>16</v>
      </c>
      <c r="F61" s="46">
        <v>414.10980000000001</v>
      </c>
      <c r="G61" s="46">
        <v>100</v>
      </c>
      <c r="H61" s="43" t="s">
        <v>49</v>
      </c>
      <c r="I61" s="43">
        <v>1035008</v>
      </c>
      <c r="J61" s="43">
        <v>170778</v>
      </c>
      <c r="K61" s="47">
        <v>0.16500162317585951</v>
      </c>
      <c r="L61" s="48">
        <f t="shared" si="1"/>
        <v>1.1000108211723968E-2</v>
      </c>
      <c r="N61" s="5">
        <f t="shared" si="4"/>
        <v>54</v>
      </c>
      <c r="O61" s="5">
        <v>15</v>
      </c>
      <c r="P61" s="30">
        <f t="shared" si="2"/>
        <v>415</v>
      </c>
      <c r="Q61" s="8">
        <f t="shared" si="3"/>
        <v>0.11619999999999209</v>
      </c>
      <c r="R61" s="114"/>
      <c r="S61" s="114"/>
      <c r="T61" s="8"/>
      <c r="U61" s="8"/>
      <c r="V61" s="111"/>
    </row>
    <row r="62" spans="1:22" x14ac:dyDescent="0.25">
      <c r="A62" s="42"/>
      <c r="B62" s="63" t="s">
        <v>50</v>
      </c>
      <c r="C62" s="44">
        <v>909.48469999999998</v>
      </c>
      <c r="D62" s="44">
        <f t="shared" si="0"/>
        <v>0.48469999999997526</v>
      </c>
      <c r="E62" s="45" t="s">
        <v>16</v>
      </c>
      <c r="F62" s="46">
        <v>908.47760000000005</v>
      </c>
      <c r="G62" s="46">
        <v>100</v>
      </c>
      <c r="H62" s="43" t="s">
        <v>51</v>
      </c>
      <c r="I62" s="43">
        <v>377930</v>
      </c>
      <c r="J62" s="43">
        <v>191363</v>
      </c>
      <c r="K62" s="47">
        <v>0.50634509036064879</v>
      </c>
      <c r="L62" s="48">
        <f t="shared" si="1"/>
        <v>1.100750196436193E-2</v>
      </c>
      <c r="N62" s="5">
        <f t="shared" si="4"/>
        <v>55</v>
      </c>
      <c r="O62" s="5">
        <v>46</v>
      </c>
      <c r="P62" s="30">
        <f t="shared" si="2"/>
        <v>909</v>
      </c>
      <c r="Q62" s="8">
        <f t="shared" si="3"/>
        <v>0.48469999999997526</v>
      </c>
      <c r="R62" s="114"/>
      <c r="S62" s="114"/>
      <c r="T62" s="8"/>
      <c r="U62" s="8"/>
      <c r="V62" s="111"/>
    </row>
    <row r="63" spans="1:22" x14ac:dyDescent="0.25">
      <c r="A63" s="42"/>
      <c r="B63" s="63" t="s">
        <v>52</v>
      </c>
      <c r="C63" s="44">
        <v>994.548767</v>
      </c>
      <c r="D63" s="44">
        <f t="shared" si="0"/>
        <v>-0.45123300000000199</v>
      </c>
      <c r="E63" s="45" t="s">
        <v>16</v>
      </c>
      <c r="F63" s="46">
        <v>993.5412</v>
      </c>
      <c r="G63" s="46">
        <v>100</v>
      </c>
      <c r="H63" s="43" t="s">
        <v>53</v>
      </c>
      <c r="I63" s="43">
        <v>415420</v>
      </c>
      <c r="J63" s="43">
        <v>218660</v>
      </c>
      <c r="K63" s="47">
        <v>0.5263588657262529</v>
      </c>
      <c r="L63" s="48">
        <f t="shared" si="1"/>
        <v>1.0742017667882712E-2</v>
      </c>
      <c r="N63" s="5">
        <f t="shared" si="4"/>
        <v>56</v>
      </c>
      <c r="O63" s="5">
        <v>49</v>
      </c>
      <c r="P63" s="30">
        <f t="shared" si="2"/>
        <v>995</v>
      </c>
      <c r="Q63" s="8">
        <f t="shared" si="3"/>
        <v>-0.45123300000000199</v>
      </c>
      <c r="R63" s="114"/>
      <c r="S63" s="114"/>
      <c r="T63" s="8"/>
      <c r="U63" s="8"/>
      <c r="V63" s="111"/>
    </row>
    <row r="64" spans="1:22" x14ac:dyDescent="0.25">
      <c r="A64" s="42"/>
      <c r="B64" s="63" t="s">
        <v>54</v>
      </c>
      <c r="C64" s="44">
        <v>1001.511</v>
      </c>
      <c r="D64" s="44">
        <f t="shared" si="0"/>
        <v>-0.48900000000003274</v>
      </c>
      <c r="E64" s="45" t="s">
        <v>16</v>
      </c>
      <c r="F64" s="46">
        <v>1000.5041</v>
      </c>
      <c r="G64" s="46">
        <v>100</v>
      </c>
      <c r="H64" s="43" t="s">
        <v>55</v>
      </c>
      <c r="I64" s="43">
        <v>314790</v>
      </c>
      <c r="J64" s="43">
        <v>181417</v>
      </c>
      <c r="K64" s="47">
        <v>0.57631119158804278</v>
      </c>
      <c r="L64" s="48">
        <f t="shared" si="1"/>
        <v>1.1082907530539284E-2</v>
      </c>
      <c r="N64" s="5">
        <f t="shared" si="4"/>
        <v>57</v>
      </c>
      <c r="O64" s="5">
        <v>52</v>
      </c>
      <c r="P64" s="30">
        <f t="shared" si="2"/>
        <v>1002</v>
      </c>
      <c r="Q64" s="8">
        <f t="shared" si="3"/>
        <v>-0.48900000000003274</v>
      </c>
      <c r="R64" s="114"/>
      <c r="S64" s="114"/>
      <c r="T64" s="8"/>
      <c r="U64" s="8"/>
      <c r="V64" s="111"/>
    </row>
    <row r="65" spans="1:23" x14ac:dyDescent="0.25">
      <c r="A65" s="42"/>
      <c r="B65" s="63" t="s">
        <v>56</v>
      </c>
      <c r="C65" s="44">
        <v>1037.5658000000001</v>
      </c>
      <c r="D65" s="44">
        <f t="shared" si="0"/>
        <v>-0.43419999999991887</v>
      </c>
      <c r="E65" s="45" t="s">
        <v>16</v>
      </c>
      <c r="F65" s="46">
        <v>1036.558</v>
      </c>
      <c r="G65" s="46">
        <v>100</v>
      </c>
      <c r="H65" s="43" t="s">
        <v>57</v>
      </c>
      <c r="I65" s="43">
        <v>199727</v>
      </c>
      <c r="J65" s="43">
        <v>109818</v>
      </c>
      <c r="K65" s="47">
        <v>0.54984053232662589</v>
      </c>
      <c r="L65" s="48">
        <f t="shared" si="1"/>
        <v>1.122123535360461E-2</v>
      </c>
      <c r="N65" s="5">
        <f t="shared" si="4"/>
        <v>58</v>
      </c>
      <c r="O65" s="5">
        <v>49</v>
      </c>
      <c r="P65" s="30">
        <f t="shared" si="2"/>
        <v>1038</v>
      </c>
      <c r="Q65" s="8">
        <f t="shared" si="3"/>
        <v>-0.43419999999991887</v>
      </c>
      <c r="R65" s="114"/>
      <c r="S65" s="114"/>
      <c r="T65" s="8"/>
      <c r="U65" s="8"/>
      <c r="V65" s="111"/>
    </row>
    <row r="66" spans="1:23" x14ac:dyDescent="0.25">
      <c r="A66" s="42"/>
      <c r="B66" s="63" t="s">
        <v>58</v>
      </c>
      <c r="C66" s="44">
        <v>1044.5281</v>
      </c>
      <c r="D66" s="44">
        <f t="shared" si="0"/>
        <v>-0.47190000000000509</v>
      </c>
      <c r="E66" s="45" t="s">
        <v>16</v>
      </c>
      <c r="F66" s="46">
        <v>1043.5202999999999</v>
      </c>
      <c r="G66" s="46">
        <v>100</v>
      </c>
      <c r="H66" s="43" t="s">
        <v>59</v>
      </c>
      <c r="I66" s="43">
        <v>206374</v>
      </c>
      <c r="J66" s="43">
        <v>114911</v>
      </c>
      <c r="K66" s="47">
        <v>0.55680948181456968</v>
      </c>
      <c r="L66" s="48">
        <f t="shared" si="1"/>
        <v>1.0707874650280187E-2</v>
      </c>
      <c r="N66" s="5">
        <f t="shared" si="4"/>
        <v>59</v>
      </c>
      <c r="O66" s="5">
        <v>52</v>
      </c>
      <c r="P66" s="30">
        <f t="shared" si="2"/>
        <v>1045</v>
      </c>
      <c r="Q66" s="8">
        <f t="shared" si="3"/>
        <v>-0.47190000000000509</v>
      </c>
      <c r="R66" s="114"/>
      <c r="S66" s="114"/>
      <c r="T66" s="8"/>
      <c r="U66" s="8"/>
      <c r="V66" s="111"/>
    </row>
    <row r="67" spans="1:23" x14ac:dyDescent="0.25">
      <c r="A67" s="42"/>
      <c r="B67" s="63" t="s">
        <v>60</v>
      </c>
      <c r="C67" s="44">
        <v>824.44320000000005</v>
      </c>
      <c r="D67" s="44">
        <f t="shared" si="0"/>
        <v>0.44320000000004711</v>
      </c>
      <c r="E67" s="45" t="s">
        <v>16</v>
      </c>
      <c r="F67" s="46">
        <v>823.43439999999998</v>
      </c>
      <c r="G67" s="46">
        <v>100</v>
      </c>
      <c r="H67" s="43" t="s">
        <v>61</v>
      </c>
      <c r="I67" s="43">
        <v>586527</v>
      </c>
      <c r="J67" s="43">
        <v>251287</v>
      </c>
      <c r="K67" s="47">
        <v>0.42843210968974998</v>
      </c>
      <c r="L67" s="48">
        <f t="shared" si="1"/>
        <v>1.0449563650969511E-2</v>
      </c>
      <c r="N67" s="5">
        <f t="shared" si="4"/>
        <v>60</v>
      </c>
      <c r="O67" s="5">
        <v>41</v>
      </c>
      <c r="P67" s="30">
        <f t="shared" si="2"/>
        <v>824</v>
      </c>
      <c r="Q67" s="8">
        <f t="shared" si="3"/>
        <v>0.44320000000004711</v>
      </c>
      <c r="R67" s="114"/>
      <c r="S67" s="114"/>
      <c r="T67" s="8"/>
      <c r="U67" s="8"/>
      <c r="V67" s="111"/>
    </row>
    <row r="68" spans="1:23" x14ac:dyDescent="0.25">
      <c r="A68" s="42" t="s">
        <v>324</v>
      </c>
      <c r="B68" s="63" t="s">
        <v>323</v>
      </c>
      <c r="C68" s="44">
        <v>202.215744</v>
      </c>
      <c r="D68" s="44">
        <f t="shared" si="0"/>
        <v>0.21574400000000082</v>
      </c>
      <c r="E68" s="45" t="s">
        <v>48</v>
      </c>
      <c r="F68" s="46">
        <v>203.2226</v>
      </c>
      <c r="G68" s="46">
        <v>100</v>
      </c>
      <c r="H68" s="43" t="s">
        <v>228</v>
      </c>
      <c r="I68" s="43">
        <v>3239921</v>
      </c>
      <c r="J68" s="43">
        <v>384677</v>
      </c>
      <c r="K68" s="47">
        <f>J68/I68</f>
        <v>0.11873036410455687</v>
      </c>
      <c r="L68" s="48">
        <f t="shared" ref="L68:L74" si="5">K68/O68</f>
        <v>1.1873036410455687E-2</v>
      </c>
      <c r="N68" s="5">
        <f t="shared" si="4"/>
        <v>61</v>
      </c>
      <c r="O68" s="5">
        <v>10</v>
      </c>
      <c r="P68" s="30">
        <f t="shared" si="2"/>
        <v>202</v>
      </c>
      <c r="Q68" s="8">
        <f t="shared" si="3"/>
        <v>0.21574400000000082</v>
      </c>
      <c r="R68" s="114"/>
      <c r="S68" s="114"/>
      <c r="T68" s="8"/>
      <c r="U68" s="8"/>
      <c r="V68" s="111"/>
      <c r="W68" t="s">
        <v>227</v>
      </c>
    </row>
    <row r="69" spans="1:23" x14ac:dyDescent="0.25">
      <c r="A69" s="42"/>
      <c r="B69" s="63"/>
      <c r="C69" s="44">
        <v>111.104797</v>
      </c>
      <c r="D69" s="44">
        <f t="shared" si="0"/>
        <v>0.10479700000000491</v>
      </c>
      <c r="E69" s="45" t="s">
        <v>48</v>
      </c>
      <c r="F69" s="46">
        <v>112.11190000000001</v>
      </c>
      <c r="G69" s="46">
        <v>100</v>
      </c>
      <c r="H69" s="43" t="s">
        <v>230</v>
      </c>
      <c r="I69" s="43">
        <v>2342499</v>
      </c>
      <c r="J69" s="43">
        <v>184660</v>
      </c>
      <c r="K69" s="47">
        <f t="shared" ref="K69:K74" si="6">J69/I69</f>
        <v>7.8830343150626744E-2</v>
      </c>
      <c r="L69" s="48">
        <f t="shared" si="5"/>
        <v>1.1261477592946679E-2</v>
      </c>
      <c r="N69" s="5">
        <f t="shared" si="4"/>
        <v>62</v>
      </c>
      <c r="O69" s="5">
        <v>7</v>
      </c>
      <c r="P69" s="30">
        <f t="shared" si="2"/>
        <v>111</v>
      </c>
      <c r="Q69" s="8">
        <f t="shared" si="3"/>
        <v>0.10479700000000491</v>
      </c>
      <c r="R69" s="114"/>
      <c r="S69" s="114"/>
      <c r="T69" s="8"/>
      <c r="U69" s="8"/>
      <c r="V69" s="111"/>
      <c r="W69" t="s">
        <v>229</v>
      </c>
    </row>
    <row r="70" spans="1:23" x14ac:dyDescent="0.25">
      <c r="A70" s="42" t="s">
        <v>325</v>
      </c>
      <c r="B70" s="63"/>
      <c r="C70" s="44">
        <v>187.06332399999999</v>
      </c>
      <c r="D70" s="44">
        <f t="shared" si="0"/>
        <v>6.3323999999994385E-2</v>
      </c>
      <c r="E70" s="45" t="s">
        <v>48</v>
      </c>
      <c r="F70" s="46">
        <v>188.0718</v>
      </c>
      <c r="G70" s="46">
        <v>99.78</v>
      </c>
      <c r="H70" s="43" t="s">
        <v>232</v>
      </c>
      <c r="I70" s="43">
        <v>3839826</v>
      </c>
      <c r="J70" s="43">
        <v>456579</v>
      </c>
      <c r="K70" s="47">
        <f t="shared" si="6"/>
        <v>0.11890616918579124</v>
      </c>
      <c r="L70" s="48">
        <f t="shared" si="5"/>
        <v>1.0809651744162839E-2</v>
      </c>
      <c r="N70" s="5">
        <f t="shared" si="4"/>
        <v>63</v>
      </c>
      <c r="O70" s="5">
        <v>11</v>
      </c>
      <c r="P70" s="30">
        <f t="shared" si="2"/>
        <v>187</v>
      </c>
      <c r="Q70" s="8">
        <f t="shared" si="3"/>
        <v>6.3323999999994385E-2</v>
      </c>
      <c r="R70" s="114"/>
      <c r="S70" s="114"/>
      <c r="T70" s="8"/>
      <c r="U70" s="8"/>
      <c r="V70" s="111"/>
      <c r="W70" t="s">
        <v>231</v>
      </c>
    </row>
    <row r="71" spans="1:23" x14ac:dyDescent="0.25">
      <c r="A71" s="42" t="s">
        <v>326</v>
      </c>
      <c r="B71" s="63"/>
      <c r="C71" s="44">
        <v>202.215744</v>
      </c>
      <c r="D71" s="44">
        <f t="shared" si="0"/>
        <v>0.21574400000000082</v>
      </c>
      <c r="E71" s="45" t="s">
        <v>48</v>
      </c>
      <c r="F71" s="46">
        <v>203.22280000000001</v>
      </c>
      <c r="G71" s="46">
        <v>100</v>
      </c>
      <c r="H71" s="43" t="s">
        <v>228</v>
      </c>
      <c r="I71" s="43">
        <v>1689495</v>
      </c>
      <c r="J71" s="43">
        <v>189187</v>
      </c>
      <c r="K71" s="47">
        <f t="shared" si="6"/>
        <v>0.11197843142477486</v>
      </c>
      <c r="L71" s="48">
        <f t="shared" si="5"/>
        <v>1.1197843142477485E-2</v>
      </c>
      <c r="N71" s="5">
        <f t="shared" si="4"/>
        <v>64</v>
      </c>
      <c r="O71" s="5">
        <v>10</v>
      </c>
      <c r="P71" s="30">
        <f t="shared" si="2"/>
        <v>202</v>
      </c>
      <c r="Q71" s="8">
        <f t="shared" si="3"/>
        <v>0.21574400000000082</v>
      </c>
      <c r="R71" s="114"/>
      <c r="S71" s="114"/>
      <c r="T71" s="8"/>
      <c r="U71" s="8"/>
      <c r="V71" s="111"/>
      <c r="W71" t="s">
        <v>227</v>
      </c>
    </row>
    <row r="72" spans="1:23" x14ac:dyDescent="0.25">
      <c r="A72" s="42"/>
      <c r="B72" s="63"/>
      <c r="C72" s="44">
        <v>202.215744</v>
      </c>
      <c r="D72" s="44">
        <f t="shared" si="0"/>
        <v>0.21574400000000082</v>
      </c>
      <c r="E72" s="45" t="s">
        <v>48</v>
      </c>
      <c r="F72" s="46">
        <v>203.22319999999999</v>
      </c>
      <c r="G72" s="46">
        <v>100</v>
      </c>
      <c r="H72" s="43" t="s">
        <v>228</v>
      </c>
      <c r="I72" s="43">
        <v>1592026</v>
      </c>
      <c r="J72" s="43">
        <v>174956</v>
      </c>
      <c r="K72" s="47">
        <f t="shared" si="6"/>
        <v>0.10989519015392965</v>
      </c>
      <c r="L72" s="48">
        <f t="shared" si="5"/>
        <v>1.0989519015392964E-2</v>
      </c>
      <c r="N72" s="5">
        <f t="shared" si="4"/>
        <v>65</v>
      </c>
      <c r="O72" s="5">
        <v>10</v>
      </c>
      <c r="P72" s="30">
        <f t="shared" si="2"/>
        <v>202</v>
      </c>
      <c r="Q72" s="8">
        <f t="shared" si="3"/>
        <v>0.21574400000000082</v>
      </c>
      <c r="R72" s="114"/>
      <c r="S72" s="114"/>
      <c r="T72" s="8"/>
      <c r="U72" s="8"/>
      <c r="V72" s="111"/>
      <c r="W72" t="s">
        <v>233</v>
      </c>
    </row>
    <row r="73" spans="1:23" x14ac:dyDescent="0.25">
      <c r="A73" s="42" t="s">
        <v>327</v>
      </c>
      <c r="B73" s="63"/>
      <c r="C73" s="44">
        <v>202.215744</v>
      </c>
      <c r="D73" s="44">
        <f t="shared" ref="D73:D81" si="7">Q73</f>
        <v>0.21574400000000082</v>
      </c>
      <c r="E73" s="45" t="s">
        <v>48</v>
      </c>
      <c r="F73" s="46">
        <v>203.22309999999999</v>
      </c>
      <c r="G73" s="46">
        <v>100</v>
      </c>
      <c r="H73" s="43" t="s">
        <v>228</v>
      </c>
      <c r="I73" s="43">
        <v>2430448</v>
      </c>
      <c r="J73" s="43">
        <v>274163</v>
      </c>
      <c r="K73" s="47">
        <f t="shared" si="6"/>
        <v>0.11280348314384837</v>
      </c>
      <c r="L73" s="48">
        <f t="shared" si="5"/>
        <v>1.1280348314384837E-2</v>
      </c>
      <c r="N73" s="5">
        <f t="shared" si="4"/>
        <v>66</v>
      </c>
      <c r="O73" s="5">
        <v>10</v>
      </c>
      <c r="P73" s="30">
        <f t="shared" ref="P73:P74" si="8">ROUND(C73,0)</f>
        <v>202</v>
      </c>
      <c r="Q73" s="8">
        <f t="shared" ref="Q73:Q74" si="9">C73-P73</f>
        <v>0.21574400000000082</v>
      </c>
      <c r="R73" s="114"/>
      <c r="S73" s="114"/>
      <c r="T73" s="8"/>
      <c r="U73" s="8"/>
      <c r="V73" s="111"/>
      <c r="W73" t="s">
        <v>227</v>
      </c>
    </row>
    <row r="74" spans="1:23" x14ac:dyDescent="0.25">
      <c r="A74" s="42"/>
      <c r="B74" s="63"/>
      <c r="C74" s="44">
        <v>111.104797</v>
      </c>
      <c r="D74" s="44">
        <f t="shared" si="7"/>
        <v>0.10479700000000491</v>
      </c>
      <c r="E74" s="45" t="s">
        <v>48</v>
      </c>
      <c r="F74" s="46">
        <v>112.1127</v>
      </c>
      <c r="G74" s="46">
        <v>100</v>
      </c>
      <c r="H74" s="43" t="s">
        <v>230</v>
      </c>
      <c r="I74" s="43">
        <v>1972870</v>
      </c>
      <c r="J74" s="43">
        <v>150016</v>
      </c>
      <c r="K74" s="47">
        <f t="shared" si="6"/>
        <v>7.6039475484953392E-2</v>
      </c>
      <c r="L74" s="48">
        <f t="shared" si="5"/>
        <v>1.0862782212136199E-2</v>
      </c>
      <c r="N74" s="5">
        <f t="shared" ref="N74:N81" si="10">1+N73</f>
        <v>67</v>
      </c>
      <c r="O74" s="5">
        <v>7</v>
      </c>
      <c r="P74" s="30">
        <f t="shared" si="8"/>
        <v>111</v>
      </c>
      <c r="Q74" s="8">
        <f t="shared" si="9"/>
        <v>0.10479700000000491</v>
      </c>
      <c r="R74" s="114"/>
      <c r="S74" s="114"/>
      <c r="T74" s="8"/>
      <c r="U74" s="8"/>
      <c r="V74" s="111"/>
      <c r="W74" t="s">
        <v>229</v>
      </c>
    </row>
    <row r="75" spans="1:23" x14ac:dyDescent="0.25">
      <c r="A75" s="42" t="s">
        <v>62</v>
      </c>
      <c r="B75" s="62" t="s">
        <v>63</v>
      </c>
      <c r="C75" s="44">
        <v>308.16230000000002</v>
      </c>
      <c r="D75" s="44">
        <f t="shared" si="7"/>
        <v>0.1623000000000161</v>
      </c>
      <c r="E75" s="45" t="s">
        <v>16</v>
      </c>
      <c r="F75" s="46">
        <v>307.15440000000001</v>
      </c>
      <c r="G75" s="46">
        <v>99.924249000000003</v>
      </c>
      <c r="H75" s="43" t="s">
        <v>64</v>
      </c>
      <c r="I75" s="43">
        <v>676747</v>
      </c>
      <c r="J75" s="43">
        <v>114400</v>
      </c>
      <c r="K75" s="47">
        <v>0.16904397064190901</v>
      </c>
      <c r="L75" s="48">
        <f t="shared" si="1"/>
        <v>1.4086997553492417E-2</v>
      </c>
      <c r="N75" s="5">
        <v>1</v>
      </c>
      <c r="O75" s="5">
        <v>12</v>
      </c>
      <c r="P75" s="30">
        <f t="shared" ref="P75:P91" si="11">ROUND(C75,0)</f>
        <v>308</v>
      </c>
      <c r="Q75" s="8">
        <f t="shared" ref="Q75:Q91" si="12">C75-P75</f>
        <v>0.1623000000000161</v>
      </c>
      <c r="R75" s="114"/>
      <c r="S75" s="114"/>
      <c r="T75" s="8"/>
      <c r="U75" s="8"/>
      <c r="V75" s="111"/>
    </row>
    <row r="76" spans="1:23" x14ac:dyDescent="0.25">
      <c r="A76" s="42"/>
      <c r="B76" s="62"/>
      <c r="C76" s="44">
        <v>420.28649999999999</v>
      </c>
      <c r="D76" s="44">
        <f t="shared" si="7"/>
        <v>0.28649999999998954</v>
      </c>
      <c r="E76" s="45" t="s">
        <v>16</v>
      </c>
      <c r="F76" s="46">
        <v>419.27859999999998</v>
      </c>
      <c r="G76" s="46">
        <v>96.059612000000001</v>
      </c>
      <c r="H76" s="43" t="s">
        <v>65</v>
      </c>
      <c r="I76" s="43">
        <v>8525806</v>
      </c>
      <c r="J76" s="43">
        <v>2670025</v>
      </c>
      <c r="K76" s="47">
        <v>0.31316980470819999</v>
      </c>
      <c r="L76" s="48">
        <f t="shared" si="1"/>
        <v>1.2526792188327999E-2</v>
      </c>
      <c r="N76" s="5">
        <f t="shared" si="10"/>
        <v>2</v>
      </c>
      <c r="O76" s="5">
        <v>25</v>
      </c>
      <c r="P76" s="30">
        <f t="shared" si="11"/>
        <v>420</v>
      </c>
      <c r="Q76" s="8">
        <f t="shared" si="12"/>
        <v>0.28649999999998954</v>
      </c>
      <c r="R76" s="114"/>
      <c r="S76" s="114"/>
      <c r="T76" s="8"/>
      <c r="U76" s="8"/>
      <c r="V76" s="111"/>
    </row>
    <row r="77" spans="1:23" x14ac:dyDescent="0.25">
      <c r="A77" s="42"/>
      <c r="B77" s="62"/>
      <c r="C77" s="44">
        <v>444.34390000000002</v>
      </c>
      <c r="D77" s="44">
        <f t="shared" si="7"/>
        <v>0.34390000000001919</v>
      </c>
      <c r="E77" s="45" t="s">
        <v>16</v>
      </c>
      <c r="F77" s="46">
        <v>443.33600000000001</v>
      </c>
      <c r="G77" s="46">
        <v>99.640596000000002</v>
      </c>
      <c r="H77" s="43" t="s">
        <v>34</v>
      </c>
      <c r="I77" s="43">
        <v>6406833</v>
      </c>
      <c r="J77" s="43">
        <v>1864597</v>
      </c>
      <c r="K77" s="47">
        <v>0.2910325585199427</v>
      </c>
      <c r="L77" s="48">
        <f t="shared" si="1"/>
        <v>1.1641302340797709E-2</v>
      </c>
      <c r="N77" s="5">
        <f t="shared" si="10"/>
        <v>3</v>
      </c>
      <c r="O77" s="5">
        <v>25</v>
      </c>
      <c r="P77" s="30">
        <f t="shared" si="11"/>
        <v>444</v>
      </c>
      <c r="Q77" s="8">
        <f t="shared" si="12"/>
        <v>0.34390000000001919</v>
      </c>
      <c r="R77" s="114"/>
      <c r="S77" s="114"/>
      <c r="T77" s="8"/>
      <c r="U77" s="8"/>
      <c r="V77" s="111"/>
    </row>
    <row r="78" spans="1:23" x14ac:dyDescent="0.25">
      <c r="A78" s="42"/>
      <c r="B78" s="62"/>
      <c r="C78" s="44">
        <v>266.15219999999999</v>
      </c>
      <c r="D78" s="44">
        <f t="shared" si="7"/>
        <v>0.15219999999999345</v>
      </c>
      <c r="E78" s="45" t="s">
        <v>16</v>
      </c>
      <c r="F78" s="46">
        <v>265.14429999999999</v>
      </c>
      <c r="G78" s="46">
        <v>99.818922999999998</v>
      </c>
      <c r="H78" s="43" t="s">
        <v>66</v>
      </c>
      <c r="I78" s="43">
        <v>8204312</v>
      </c>
      <c r="J78" s="43">
        <v>1141358</v>
      </c>
      <c r="K78" s="47">
        <v>0.13911684489814624</v>
      </c>
      <c r="L78" s="48">
        <f t="shared" ref="L78:L81" si="13">K78/O78</f>
        <v>1.738960561226828E-2</v>
      </c>
      <c r="N78" s="5">
        <f t="shared" si="10"/>
        <v>4</v>
      </c>
      <c r="O78" s="5">
        <v>8</v>
      </c>
      <c r="P78" s="30">
        <f t="shared" si="11"/>
        <v>266</v>
      </c>
      <c r="Q78" s="8">
        <f t="shared" si="12"/>
        <v>0.15219999999999345</v>
      </c>
      <c r="R78" s="114"/>
      <c r="S78" s="114"/>
      <c r="T78" s="8"/>
      <c r="U78" s="8"/>
      <c r="V78" s="111"/>
    </row>
    <row r="79" spans="1:23" x14ac:dyDescent="0.25">
      <c r="A79" s="42"/>
      <c r="B79" s="62"/>
      <c r="C79" s="44">
        <v>416.31240000000003</v>
      </c>
      <c r="D79" s="44">
        <f t="shared" si="7"/>
        <v>0.3124000000000251</v>
      </c>
      <c r="E79" s="45" t="s">
        <v>16</v>
      </c>
      <c r="F79" s="46">
        <v>415.30450000000002</v>
      </c>
      <c r="G79" s="46">
        <v>99.721673999999993</v>
      </c>
      <c r="H79" s="43" t="s">
        <v>67</v>
      </c>
      <c r="I79" s="43">
        <v>5049277</v>
      </c>
      <c r="J79" s="43">
        <v>1302453</v>
      </c>
      <c r="K79" s="47">
        <v>0.25794841518894684</v>
      </c>
      <c r="L79" s="48">
        <f t="shared" si="13"/>
        <v>1.1215148486475949E-2</v>
      </c>
      <c r="N79" s="5">
        <f t="shared" si="10"/>
        <v>5</v>
      </c>
      <c r="O79" s="5">
        <v>23</v>
      </c>
      <c r="P79" s="30">
        <f t="shared" si="11"/>
        <v>416</v>
      </c>
      <c r="Q79" s="8">
        <f t="shared" si="12"/>
        <v>0.3124000000000251</v>
      </c>
      <c r="R79" s="114"/>
      <c r="S79" s="114"/>
      <c r="T79" s="8"/>
      <c r="U79" s="8"/>
      <c r="V79" s="111"/>
    </row>
    <row r="80" spans="1:23" x14ac:dyDescent="0.25">
      <c r="A80" s="42"/>
      <c r="B80" s="62"/>
      <c r="C80" s="44">
        <v>272.23220000000003</v>
      </c>
      <c r="D80" s="44">
        <f t="shared" si="7"/>
        <v>0.23220000000003438</v>
      </c>
      <c r="E80" s="45" t="s">
        <v>16</v>
      </c>
      <c r="F80" s="46">
        <v>271.22430000000003</v>
      </c>
      <c r="G80" s="46">
        <v>96.013621000000001</v>
      </c>
      <c r="H80" s="43" t="s">
        <v>68</v>
      </c>
      <c r="I80" s="43">
        <v>6025767</v>
      </c>
      <c r="J80" s="43">
        <v>1077302</v>
      </c>
      <c r="K80" s="47">
        <v>0.1787825516652071</v>
      </c>
      <c r="L80" s="48">
        <f t="shared" si="13"/>
        <v>1.4898545972100592E-2</v>
      </c>
      <c r="N80" s="5">
        <f t="shared" si="10"/>
        <v>6</v>
      </c>
      <c r="O80" s="5">
        <v>12</v>
      </c>
      <c r="P80" s="30">
        <f t="shared" si="11"/>
        <v>272</v>
      </c>
      <c r="Q80" s="8">
        <f t="shared" si="12"/>
        <v>0.23220000000003438</v>
      </c>
      <c r="R80" s="114"/>
      <c r="S80" s="114"/>
      <c r="T80" s="8"/>
      <c r="U80" s="8"/>
      <c r="V80" s="111"/>
    </row>
    <row r="81" spans="1:23" x14ac:dyDescent="0.25">
      <c r="A81" s="42"/>
      <c r="B81" s="62"/>
      <c r="C81" s="44">
        <v>334.17950000000002</v>
      </c>
      <c r="D81" s="44">
        <f t="shared" si="7"/>
        <v>0.17950000000001864</v>
      </c>
      <c r="E81" s="45" t="s">
        <v>16</v>
      </c>
      <c r="F81" s="46">
        <v>333.17160000000001</v>
      </c>
      <c r="G81" s="46">
        <v>99.990138000000002</v>
      </c>
      <c r="H81" s="43" t="s">
        <v>69</v>
      </c>
      <c r="I81" s="43">
        <v>5233079</v>
      </c>
      <c r="J81" s="43">
        <v>921433</v>
      </c>
      <c r="K81" s="47">
        <v>0.17607855719357571</v>
      </c>
      <c r="L81" s="48">
        <f t="shared" si="13"/>
        <v>1.4673213099464642E-2</v>
      </c>
      <c r="N81" s="5">
        <f t="shared" si="10"/>
        <v>7</v>
      </c>
      <c r="O81" s="5">
        <v>12</v>
      </c>
      <c r="P81" s="30">
        <f t="shared" si="11"/>
        <v>334</v>
      </c>
      <c r="Q81" s="8">
        <f t="shared" si="12"/>
        <v>0.17950000000001864</v>
      </c>
      <c r="R81" s="114"/>
      <c r="S81" s="114"/>
      <c r="T81" s="8"/>
      <c r="U81" s="8"/>
      <c r="V81" s="111"/>
    </row>
    <row r="82" spans="1:23" x14ac:dyDescent="0.25">
      <c r="A82" s="42" t="s">
        <v>214</v>
      </c>
      <c r="B82" s="62" t="s">
        <v>165</v>
      </c>
      <c r="C82" s="44">
        <v>162.06807956360001</v>
      </c>
      <c r="D82" s="44">
        <f>Q82</f>
        <v>6.8079563600008441E-2</v>
      </c>
      <c r="E82" s="45" t="s">
        <v>48</v>
      </c>
      <c r="F82" s="46">
        <v>163.07513413140299</v>
      </c>
      <c r="G82" s="46">
        <v>100</v>
      </c>
      <c r="H82" s="43" t="s">
        <v>166</v>
      </c>
      <c r="I82" s="43">
        <v>656128</v>
      </c>
      <c r="J82" s="43">
        <v>75717</v>
      </c>
      <c r="K82" s="47">
        <v>0.11539973907530238</v>
      </c>
      <c r="L82" s="48">
        <f t="shared" ref="L82:L83" si="14">K82/O82</f>
        <v>1.1539973907530237E-2</v>
      </c>
      <c r="N82" s="5">
        <f>1+N81</f>
        <v>8</v>
      </c>
      <c r="O82" s="5">
        <v>10</v>
      </c>
      <c r="P82" s="30">
        <f t="shared" si="11"/>
        <v>162</v>
      </c>
      <c r="Q82" s="8">
        <f t="shared" si="12"/>
        <v>6.8079563600008441E-2</v>
      </c>
      <c r="R82" s="114"/>
      <c r="S82" s="114"/>
      <c r="T82" s="8"/>
      <c r="U82" s="8"/>
      <c r="V82" s="111"/>
      <c r="W82" t="s">
        <v>312</v>
      </c>
    </row>
    <row r="83" spans="1:23" x14ac:dyDescent="0.25">
      <c r="A83" s="42"/>
      <c r="B83" s="62" t="s">
        <v>167</v>
      </c>
      <c r="C83" s="44">
        <v>162.1156984614</v>
      </c>
      <c r="D83" s="44">
        <f>Q83</f>
        <v>0.11569846140000095</v>
      </c>
      <c r="E83" s="45" t="s">
        <v>48</v>
      </c>
      <c r="F83" s="46">
        <v>163.12280744292499</v>
      </c>
      <c r="G83" s="46">
        <v>100</v>
      </c>
      <c r="H83" s="43" t="s">
        <v>168</v>
      </c>
      <c r="I83" s="43">
        <v>3748891</v>
      </c>
      <c r="J83" s="43">
        <v>389420</v>
      </c>
      <c r="K83" s="47">
        <v>0.10387605294472418</v>
      </c>
      <c r="L83" s="48">
        <f t="shared" si="14"/>
        <v>1.0387605294472418E-2</v>
      </c>
      <c r="N83" s="5">
        <f t="shared" ref="N83:N91" si="15">1+N82</f>
        <v>9</v>
      </c>
      <c r="O83" s="5">
        <v>10</v>
      </c>
      <c r="P83" s="30">
        <f t="shared" si="11"/>
        <v>162</v>
      </c>
      <c r="Q83" s="8">
        <f t="shared" si="12"/>
        <v>0.11569846140000095</v>
      </c>
      <c r="R83" s="114"/>
      <c r="S83" s="114"/>
      <c r="T83" s="8"/>
      <c r="U83" s="8"/>
      <c r="V83" s="111"/>
      <c r="W83" t="s">
        <v>311</v>
      </c>
    </row>
    <row r="84" spans="1:23" x14ac:dyDescent="0.25">
      <c r="A84" s="42"/>
      <c r="B84" s="62" t="s">
        <v>370</v>
      </c>
      <c r="C84" s="44">
        <v>282.2559</v>
      </c>
      <c r="D84" s="44">
        <f t="shared" ref="D84:D91" si="16">Q84</f>
        <v>0.25589999999999691</v>
      </c>
      <c r="E84" s="45" t="s">
        <v>16</v>
      </c>
      <c r="F84" s="46">
        <v>281.2484</v>
      </c>
      <c r="G84" s="46">
        <v>100</v>
      </c>
      <c r="H84" s="43" t="s">
        <v>371</v>
      </c>
      <c r="I84" s="43">
        <v>63656893</v>
      </c>
      <c r="J84" s="43">
        <v>12798017</v>
      </c>
      <c r="K84" s="47">
        <f>+J84/I84</f>
        <v>0.20104683714299409</v>
      </c>
      <c r="L84" s="48">
        <f t="shared" ref="L84:L91" si="17">K84/O84</f>
        <v>1.1169268730166338E-2</v>
      </c>
      <c r="N84" s="5">
        <f t="shared" si="15"/>
        <v>10</v>
      </c>
      <c r="O84" s="5">
        <v>18</v>
      </c>
      <c r="P84" s="30">
        <f t="shared" si="11"/>
        <v>282</v>
      </c>
      <c r="Q84" s="8">
        <f t="shared" si="12"/>
        <v>0.25589999999999691</v>
      </c>
      <c r="R84" s="114"/>
      <c r="S84" s="114"/>
      <c r="T84" s="8"/>
      <c r="U84" s="8"/>
      <c r="V84" s="111"/>
    </row>
    <row r="85" spans="1:23" x14ac:dyDescent="0.25">
      <c r="A85" s="42" t="s">
        <v>215</v>
      </c>
      <c r="B85" s="62" t="s">
        <v>171</v>
      </c>
      <c r="C85" s="44">
        <v>148.05242949980001</v>
      </c>
      <c r="D85" s="44">
        <f t="shared" si="16"/>
        <v>5.2429499800012991E-2</v>
      </c>
      <c r="E85" s="45" t="s">
        <v>48</v>
      </c>
      <c r="F85" s="46">
        <v>149.05925121335</v>
      </c>
      <c r="G85" s="46">
        <v>100</v>
      </c>
      <c r="H85" s="43" t="s">
        <v>172</v>
      </c>
      <c r="I85" s="43">
        <v>278318</v>
      </c>
      <c r="J85" s="43">
        <v>28165</v>
      </c>
      <c r="K85" s="47">
        <v>0.10119719170157877</v>
      </c>
      <c r="L85" s="48">
        <f>K85/O85</f>
        <v>1.124413241128653E-2</v>
      </c>
      <c r="N85" s="5">
        <f t="shared" si="15"/>
        <v>11</v>
      </c>
      <c r="O85" s="5">
        <v>9</v>
      </c>
      <c r="P85" s="30">
        <f t="shared" si="11"/>
        <v>148</v>
      </c>
      <c r="Q85" s="8">
        <f t="shared" si="12"/>
        <v>5.2429499800012991E-2</v>
      </c>
      <c r="R85" s="114"/>
      <c r="S85" s="114"/>
      <c r="T85" s="8"/>
      <c r="U85" s="8"/>
      <c r="V85" s="111"/>
      <c r="W85" t="s">
        <v>310</v>
      </c>
    </row>
    <row r="86" spans="1:23" x14ac:dyDescent="0.25">
      <c r="A86" s="42"/>
      <c r="B86" s="62" t="s">
        <v>370</v>
      </c>
      <c r="C86" s="44">
        <v>282.2559</v>
      </c>
      <c r="D86" s="44">
        <f t="shared" si="16"/>
        <v>0.25589999999999691</v>
      </c>
      <c r="E86" s="45" t="s">
        <v>16</v>
      </c>
      <c r="F86" s="46">
        <v>281.24740000000003</v>
      </c>
      <c r="G86" s="46">
        <v>100</v>
      </c>
      <c r="H86" s="43" t="s">
        <v>371</v>
      </c>
      <c r="I86" s="43">
        <v>37174613</v>
      </c>
      <c r="J86" s="43">
        <v>6291914</v>
      </c>
      <c r="K86" s="47">
        <f>+J86/I86</f>
        <v>0.16925297917694529</v>
      </c>
      <c r="L86" s="48">
        <f t="shared" si="17"/>
        <v>9.4029432876080715E-3</v>
      </c>
      <c r="N86" s="5">
        <f t="shared" si="15"/>
        <v>12</v>
      </c>
      <c r="O86" s="5">
        <v>18</v>
      </c>
      <c r="P86" s="30">
        <f t="shared" si="11"/>
        <v>282</v>
      </c>
      <c r="Q86" s="8">
        <f t="shared" si="12"/>
        <v>0.25589999999999691</v>
      </c>
      <c r="R86" s="114"/>
      <c r="S86" s="114"/>
      <c r="T86" s="8"/>
      <c r="U86" s="8"/>
      <c r="V86" s="111"/>
    </row>
    <row r="87" spans="1:23" x14ac:dyDescent="0.25">
      <c r="A87" s="42" t="s">
        <v>221</v>
      </c>
      <c r="B87" s="62" t="s">
        <v>370</v>
      </c>
      <c r="C87" s="44">
        <v>282.2559</v>
      </c>
      <c r="D87" s="44">
        <f t="shared" si="16"/>
        <v>0.25589999999999691</v>
      </c>
      <c r="E87" s="45" t="s">
        <v>16</v>
      </c>
      <c r="F87" s="46">
        <v>281.24779999999998</v>
      </c>
      <c r="G87" s="46">
        <v>100</v>
      </c>
      <c r="H87" s="43" t="s">
        <v>371</v>
      </c>
      <c r="I87" s="43">
        <v>86084414</v>
      </c>
      <c r="J87" s="43">
        <v>23108418</v>
      </c>
      <c r="K87" s="47">
        <f>+J87/I87</f>
        <v>0.26843904635280436</v>
      </c>
      <c r="L87" s="48">
        <f t="shared" si="17"/>
        <v>1.4913280352933576E-2</v>
      </c>
      <c r="N87" s="5">
        <f t="shared" si="15"/>
        <v>13</v>
      </c>
      <c r="O87" s="5">
        <v>18</v>
      </c>
      <c r="P87" s="30">
        <f t="shared" si="11"/>
        <v>282</v>
      </c>
      <c r="Q87" s="8">
        <f t="shared" si="12"/>
        <v>0.25589999999999691</v>
      </c>
      <c r="R87" s="114"/>
      <c r="S87" s="114"/>
      <c r="T87" s="8"/>
      <c r="U87" s="8"/>
      <c r="V87" s="111"/>
    </row>
    <row r="88" spans="1:23" x14ac:dyDescent="0.25">
      <c r="A88" s="42" t="s">
        <v>216</v>
      </c>
      <c r="B88" s="62" t="s">
        <v>165</v>
      </c>
      <c r="C88" s="44">
        <v>162.06807956360001</v>
      </c>
      <c r="D88" s="44">
        <f t="shared" si="16"/>
        <v>6.8079563600008441E-2</v>
      </c>
      <c r="E88" s="45" t="s">
        <v>48</v>
      </c>
      <c r="F88" s="46">
        <v>163.075178715904</v>
      </c>
      <c r="G88" s="46">
        <v>100</v>
      </c>
      <c r="H88" s="43" t="s">
        <v>166</v>
      </c>
      <c r="I88" s="43">
        <v>529744</v>
      </c>
      <c r="J88" s="43">
        <v>54330</v>
      </c>
      <c r="K88" s="47">
        <v>0.10255897188075749</v>
      </c>
      <c r="L88" s="48">
        <f>K88/O88</f>
        <v>1.0255897188075749E-2</v>
      </c>
      <c r="N88" s="5">
        <f t="shared" si="15"/>
        <v>14</v>
      </c>
      <c r="O88" s="5">
        <v>10</v>
      </c>
      <c r="P88" s="30">
        <f t="shared" si="11"/>
        <v>162</v>
      </c>
      <c r="Q88" s="8">
        <f t="shared" si="12"/>
        <v>6.8079563600008441E-2</v>
      </c>
      <c r="R88" s="114"/>
      <c r="S88" s="114"/>
      <c r="T88" s="8"/>
      <c r="U88" s="8"/>
      <c r="V88" s="111"/>
    </row>
    <row r="89" spans="1:23" x14ac:dyDescent="0.25">
      <c r="A89" s="42"/>
      <c r="B89" s="62" t="s">
        <v>370</v>
      </c>
      <c r="C89" s="44">
        <v>282.2559</v>
      </c>
      <c r="D89" s="44">
        <f t="shared" si="16"/>
        <v>0.25589999999999691</v>
      </c>
      <c r="E89" s="45" t="s">
        <v>16</v>
      </c>
      <c r="F89" s="46">
        <v>281.24759999999998</v>
      </c>
      <c r="G89" s="46">
        <v>100</v>
      </c>
      <c r="H89" s="43" t="s">
        <v>371</v>
      </c>
      <c r="I89" s="43">
        <v>12154290</v>
      </c>
      <c r="J89" s="43">
        <v>1943044</v>
      </c>
      <c r="K89" s="47">
        <f>+J89/I89</f>
        <v>0.15986487075756792</v>
      </c>
      <c r="L89" s="48">
        <f t="shared" si="17"/>
        <v>8.8813817087537734E-3</v>
      </c>
      <c r="N89" s="5">
        <f t="shared" si="15"/>
        <v>15</v>
      </c>
      <c r="O89" s="5">
        <v>18</v>
      </c>
      <c r="P89" s="30">
        <f t="shared" si="11"/>
        <v>282</v>
      </c>
      <c r="Q89" s="8">
        <f t="shared" si="12"/>
        <v>0.25589999999999691</v>
      </c>
      <c r="R89" s="114"/>
      <c r="S89" s="114"/>
      <c r="T89" s="8"/>
      <c r="U89" s="8"/>
      <c r="V89" s="111"/>
    </row>
    <row r="90" spans="1:23" x14ac:dyDescent="0.25">
      <c r="A90" s="42" t="s">
        <v>217</v>
      </c>
      <c r="B90" s="62" t="s">
        <v>171</v>
      </c>
      <c r="C90" s="44">
        <v>148.05242949980001</v>
      </c>
      <c r="D90" s="44">
        <f t="shared" si="16"/>
        <v>5.2429499800012991E-2</v>
      </c>
      <c r="E90" s="45" t="s">
        <v>48</v>
      </c>
      <c r="F90" s="46">
        <v>149.060183808066</v>
      </c>
      <c r="G90" s="46">
        <v>100</v>
      </c>
      <c r="H90" s="43" t="s">
        <v>172</v>
      </c>
      <c r="I90" s="43">
        <v>267320</v>
      </c>
      <c r="J90" s="43">
        <v>23634</v>
      </c>
      <c r="K90" s="47">
        <v>8.8410893311387101E-2</v>
      </c>
      <c r="L90" s="48">
        <f>K90/O90</f>
        <v>9.8234325901541217E-3</v>
      </c>
      <c r="N90" s="5">
        <f t="shared" si="15"/>
        <v>16</v>
      </c>
      <c r="O90" s="5">
        <v>9</v>
      </c>
      <c r="P90" s="30">
        <f t="shared" si="11"/>
        <v>148</v>
      </c>
      <c r="Q90" s="8">
        <f t="shared" si="12"/>
        <v>5.2429499800012991E-2</v>
      </c>
      <c r="R90" s="114"/>
      <c r="S90" s="114"/>
      <c r="T90" s="8"/>
      <c r="U90" s="8"/>
      <c r="V90" s="111"/>
    </row>
    <row r="91" spans="1:23" ht="15.75" thickBot="1" x14ac:dyDescent="0.3">
      <c r="A91" s="51"/>
      <c r="B91" s="64" t="s">
        <v>370</v>
      </c>
      <c r="C91" s="53">
        <v>282.2559</v>
      </c>
      <c r="D91" s="54">
        <f t="shared" si="16"/>
        <v>0.25589999999999691</v>
      </c>
      <c r="E91" s="55" t="s">
        <v>16</v>
      </c>
      <c r="F91" s="56">
        <v>281.24779999999998</v>
      </c>
      <c r="G91" s="57">
        <v>100</v>
      </c>
      <c r="H91" s="58" t="s">
        <v>371</v>
      </c>
      <c r="I91" s="52">
        <v>53055983</v>
      </c>
      <c r="J91" s="52">
        <v>9659912</v>
      </c>
      <c r="K91" s="59">
        <f>+J91/I91</f>
        <v>0.18207017293412509</v>
      </c>
      <c r="L91" s="60">
        <f t="shared" si="17"/>
        <v>1.0115009607451394E-2</v>
      </c>
      <c r="N91" s="5">
        <f t="shared" si="15"/>
        <v>17</v>
      </c>
      <c r="O91" s="5">
        <v>18</v>
      </c>
      <c r="P91" s="30">
        <f t="shared" si="11"/>
        <v>282</v>
      </c>
      <c r="Q91" s="8">
        <f t="shared" si="12"/>
        <v>0.25589999999999691</v>
      </c>
      <c r="R91" s="114"/>
      <c r="S91" s="114"/>
      <c r="T91" s="8"/>
      <c r="U91" s="8"/>
      <c r="V91" s="111"/>
    </row>
    <row r="92" spans="1:23" ht="15.75" thickTop="1" x14ac:dyDescent="0.25"/>
    <row r="94" spans="1:23" ht="15.75" thickBot="1" x14ac:dyDescent="0.3">
      <c r="A94" s="7" t="s">
        <v>83</v>
      </c>
      <c r="B94" s="5"/>
      <c r="C94" s="8"/>
      <c r="D94" s="8"/>
      <c r="E94" s="4"/>
      <c r="F94" s="15"/>
      <c r="G94" s="15"/>
      <c r="H94" s="5"/>
      <c r="I94" s="5"/>
      <c r="J94" s="5"/>
      <c r="K94" s="19"/>
      <c r="L94" s="19"/>
      <c r="O94" s="5"/>
      <c r="P94" s="30"/>
      <c r="Q94" s="8"/>
      <c r="R94" s="114"/>
      <c r="S94" s="114"/>
      <c r="T94" s="8"/>
      <c r="U94" s="8"/>
      <c r="V94" s="111"/>
    </row>
    <row r="95" spans="1:23" s="3" customFormat="1" ht="45" customHeight="1" thickTop="1" x14ac:dyDescent="0.25">
      <c r="A95" s="37" t="s">
        <v>1</v>
      </c>
      <c r="B95" s="61" t="s">
        <v>353</v>
      </c>
      <c r="C95" s="39" t="s">
        <v>3</v>
      </c>
      <c r="D95" s="38" t="s">
        <v>4</v>
      </c>
      <c r="E95" s="38" t="s">
        <v>5</v>
      </c>
      <c r="F95" s="39" t="s">
        <v>6</v>
      </c>
      <c r="G95" s="39" t="s">
        <v>7</v>
      </c>
      <c r="H95" s="38" t="s">
        <v>8</v>
      </c>
      <c r="I95" s="38" t="s">
        <v>368</v>
      </c>
      <c r="J95" s="38" t="s">
        <v>369</v>
      </c>
      <c r="K95" s="40" t="s">
        <v>11</v>
      </c>
      <c r="L95" s="41" t="s">
        <v>12</v>
      </c>
      <c r="N95" s="18" t="s">
        <v>268</v>
      </c>
      <c r="O95" s="6" t="s">
        <v>196</v>
      </c>
      <c r="P95" s="25" t="s">
        <v>225</v>
      </c>
      <c r="Q95" s="25" t="s">
        <v>4</v>
      </c>
      <c r="R95" s="113"/>
      <c r="S95" s="113"/>
      <c r="T95" s="25"/>
      <c r="U95" s="25"/>
      <c r="V95" s="110"/>
    </row>
    <row r="96" spans="1:23" s="3" customFormat="1" ht="17.45" customHeight="1" thickBot="1" x14ac:dyDescent="0.3">
      <c r="A96" s="87"/>
      <c r="B96" s="88"/>
      <c r="C96" s="89" t="s">
        <v>366</v>
      </c>
      <c r="D96" s="90" t="s">
        <v>366</v>
      </c>
      <c r="E96" s="90"/>
      <c r="F96" s="91" t="s">
        <v>367</v>
      </c>
      <c r="G96" s="91"/>
      <c r="H96" s="90"/>
      <c r="I96" s="90"/>
      <c r="J96" s="90"/>
      <c r="K96" s="92"/>
      <c r="L96" s="93"/>
      <c r="O96" s="6"/>
      <c r="P96" s="25" t="s">
        <v>14</v>
      </c>
      <c r="Q96" s="25" t="s">
        <v>15</v>
      </c>
      <c r="R96" s="113"/>
      <c r="S96" s="113"/>
      <c r="T96" s="25"/>
      <c r="U96" s="25"/>
      <c r="V96" s="110"/>
    </row>
    <row r="97" spans="1:22" ht="15.75" thickTop="1" x14ac:dyDescent="0.25">
      <c r="A97" s="42" t="s">
        <v>213</v>
      </c>
      <c r="B97" s="62" t="s">
        <v>84</v>
      </c>
      <c r="C97" s="44">
        <v>363.97686800000002</v>
      </c>
      <c r="D97" s="44">
        <f t="shared" ref="D97:D142" si="18">Q97</f>
        <v>-2.3131999999975505E-2</v>
      </c>
      <c r="E97" s="45" t="s">
        <v>16</v>
      </c>
      <c r="F97" s="65">
        <v>362.96896800000002</v>
      </c>
      <c r="G97" s="46"/>
      <c r="H97" s="66" t="s">
        <v>178</v>
      </c>
      <c r="I97" s="43">
        <v>62841</v>
      </c>
      <c r="J97" s="43">
        <v>4085</v>
      </c>
      <c r="K97" s="47">
        <v>6.5005330914530327E-2</v>
      </c>
      <c r="L97" s="48">
        <f t="shared" ref="L97:L142" si="19">K97/O97</f>
        <v>9.2864758449329038E-3</v>
      </c>
      <c r="M97" s="5"/>
      <c r="N97" s="5">
        <v>1</v>
      </c>
      <c r="O97" s="9">
        <v>7</v>
      </c>
      <c r="P97" s="30">
        <f t="shared" ref="P97:P142" si="20">ROUND(C97,0)</f>
        <v>364</v>
      </c>
      <c r="Q97" s="8">
        <f t="shared" ref="Q97:Q142" si="21">C97-P97</f>
        <v>-2.3131999999975505E-2</v>
      </c>
      <c r="R97">
        <f>L97-Graphs!$M$27</f>
        <v>-5.8916075192853336E-4</v>
      </c>
      <c r="S97"/>
      <c r="T97" s="8">
        <f>L97-Graphs!$M$37</f>
        <v>-7.8880484703176476E-4</v>
      </c>
      <c r="U97" s="8"/>
      <c r="V97" s="111">
        <f>D97-Graphs!$N$27</f>
        <v>-4.3031999999982418E-2</v>
      </c>
    </row>
    <row r="98" spans="1:22" x14ac:dyDescent="0.25">
      <c r="A98" s="42"/>
      <c r="B98" s="62" t="s">
        <v>85</v>
      </c>
      <c r="C98" s="44">
        <v>413.97369400000002</v>
      </c>
      <c r="D98" s="44">
        <f t="shared" si="18"/>
        <v>-2.6305999999976848E-2</v>
      </c>
      <c r="E98" s="45" t="s">
        <v>16</v>
      </c>
      <c r="F98" s="65">
        <v>412.96579400000002</v>
      </c>
      <c r="G98" s="46"/>
      <c r="H98" s="66" t="s">
        <v>179</v>
      </c>
      <c r="I98" s="43">
        <v>116903</v>
      </c>
      <c r="J98" s="43">
        <v>10767</v>
      </c>
      <c r="K98" s="47">
        <v>9.2101999093265358E-2</v>
      </c>
      <c r="L98" s="48">
        <f t="shared" si="19"/>
        <v>1.151274988665817E-2</v>
      </c>
      <c r="M98" s="5"/>
      <c r="N98" s="5">
        <f t="shared" ref="N98:N142" si="22">1+N97</f>
        <v>2</v>
      </c>
      <c r="O98" s="9">
        <v>8</v>
      </c>
      <c r="P98" s="30">
        <f t="shared" si="20"/>
        <v>414</v>
      </c>
      <c r="Q98" s="8">
        <f t="shared" si="21"/>
        <v>-2.6305999999976848E-2</v>
      </c>
      <c r="R98"/>
      <c r="S98"/>
      <c r="T98" s="8"/>
      <c r="U98" s="8"/>
      <c r="V98" s="116">
        <f>D98-Graphs!$N$27</f>
        <v>-4.620599999998376E-2</v>
      </c>
    </row>
    <row r="99" spans="1:22" x14ac:dyDescent="0.25">
      <c r="A99" s="42"/>
      <c r="B99" s="62" t="s">
        <v>86</v>
      </c>
      <c r="C99" s="44">
        <v>463.97052000000002</v>
      </c>
      <c r="D99" s="44">
        <f t="shared" si="18"/>
        <v>-2.947999999997819E-2</v>
      </c>
      <c r="E99" s="45" t="s">
        <v>16</v>
      </c>
      <c r="F99" s="65">
        <v>462.96262000000002</v>
      </c>
      <c r="G99" s="46"/>
      <c r="H99" s="66" t="s">
        <v>180</v>
      </c>
      <c r="I99" s="43">
        <v>160117</v>
      </c>
      <c r="J99" s="43">
        <v>13931</v>
      </c>
      <c r="K99" s="47">
        <v>8.7005127500515242E-2</v>
      </c>
      <c r="L99" s="48">
        <f t="shared" si="19"/>
        <v>9.6672363889461384E-3</v>
      </c>
      <c r="M99" s="5"/>
      <c r="N99" s="5">
        <f t="shared" si="22"/>
        <v>3</v>
      </c>
      <c r="O99" s="9">
        <v>9</v>
      </c>
      <c r="P99" s="30">
        <f t="shared" si="20"/>
        <v>464</v>
      </c>
      <c r="Q99" s="8">
        <f t="shared" si="21"/>
        <v>-2.947999999997819E-2</v>
      </c>
      <c r="R99">
        <f>L99-Graphs!$M$27</f>
        <v>-2.0840020791529877E-4</v>
      </c>
      <c r="S99"/>
      <c r="T99" s="8">
        <f>L99-Graphs!$M$37</f>
        <v>-4.0804430301853017E-4</v>
      </c>
      <c r="U99" s="8"/>
      <c r="V99" s="111">
        <f>D99-Graphs!$N$27</f>
        <v>-4.9379999999985102E-2</v>
      </c>
    </row>
    <row r="100" spans="1:22" x14ac:dyDescent="0.25">
      <c r="A100" s="42"/>
      <c r="B100" s="62" t="s">
        <v>87</v>
      </c>
      <c r="C100" s="44">
        <v>513.96728499999995</v>
      </c>
      <c r="D100" s="44">
        <f t="shared" si="18"/>
        <v>-3.2715000000052896E-2</v>
      </c>
      <c r="E100" s="45" t="s">
        <v>16</v>
      </c>
      <c r="F100" s="65">
        <v>512.959385</v>
      </c>
      <c r="G100" s="46"/>
      <c r="H100" s="66" t="s">
        <v>181</v>
      </c>
      <c r="I100" s="43">
        <v>262435</v>
      </c>
      <c r="J100" s="43">
        <v>27539</v>
      </c>
      <c r="K100" s="47">
        <v>0.10493646045687503</v>
      </c>
      <c r="L100" s="48">
        <f t="shared" si="19"/>
        <v>1.0493646045687503E-2</v>
      </c>
      <c r="M100" s="5"/>
      <c r="N100" s="5">
        <f t="shared" si="22"/>
        <v>4</v>
      </c>
      <c r="O100" s="9">
        <v>10</v>
      </c>
      <c r="P100" s="30">
        <f t="shared" si="20"/>
        <v>514</v>
      </c>
      <c r="Q100" s="8">
        <f t="shared" si="21"/>
        <v>-3.2715000000052896E-2</v>
      </c>
      <c r="R100"/>
      <c r="S100"/>
      <c r="T100" s="8"/>
      <c r="U100" s="8"/>
      <c r="V100" s="116">
        <f>D100-Graphs!$N$27</f>
        <v>-5.2615000000059808E-2</v>
      </c>
    </row>
    <row r="101" spans="1:22" x14ac:dyDescent="0.25">
      <c r="A101" s="42"/>
      <c r="B101" s="62" t="s">
        <v>88</v>
      </c>
      <c r="C101" s="44">
        <v>563.96404999999982</v>
      </c>
      <c r="D101" s="44">
        <f t="shared" si="18"/>
        <v>-3.5950000000184446E-2</v>
      </c>
      <c r="E101" s="45" t="s">
        <v>16</v>
      </c>
      <c r="F101" s="65">
        <v>562.95614999999987</v>
      </c>
      <c r="G101" s="46"/>
      <c r="H101" s="66" t="s">
        <v>182</v>
      </c>
      <c r="I101" s="43">
        <v>298760</v>
      </c>
      <c r="J101" s="43">
        <v>37208</v>
      </c>
      <c r="K101" s="47">
        <v>0.1245414379434998</v>
      </c>
      <c r="L101" s="48">
        <f t="shared" si="19"/>
        <v>1.1321948903954528E-2</v>
      </c>
      <c r="M101" s="5"/>
      <c r="N101" s="5">
        <f t="shared" si="22"/>
        <v>5</v>
      </c>
      <c r="O101" s="9">
        <v>11</v>
      </c>
      <c r="P101" s="30">
        <f t="shared" si="20"/>
        <v>564</v>
      </c>
      <c r="Q101" s="8">
        <f t="shared" si="21"/>
        <v>-3.5950000000184446E-2</v>
      </c>
      <c r="R101"/>
      <c r="S101"/>
      <c r="T101" s="8"/>
      <c r="U101" s="8"/>
      <c r="V101" s="116">
        <f>D101-Graphs!$N$27</f>
        <v>-5.5850000000191358E-2</v>
      </c>
    </row>
    <row r="102" spans="1:22" x14ac:dyDescent="0.25">
      <c r="A102" s="42"/>
      <c r="B102" s="62" t="s">
        <v>89</v>
      </c>
      <c r="C102" s="44">
        <v>613.96093800000006</v>
      </c>
      <c r="D102" s="44">
        <f t="shared" si="18"/>
        <v>-3.9061999999944419E-2</v>
      </c>
      <c r="E102" s="45" t="s">
        <v>16</v>
      </c>
      <c r="F102" s="65">
        <v>612.95303800000011</v>
      </c>
      <c r="G102" s="46"/>
      <c r="H102" s="66" t="s">
        <v>183</v>
      </c>
      <c r="I102" s="43">
        <v>282707</v>
      </c>
      <c r="J102" s="43">
        <v>32228</v>
      </c>
      <c r="K102" s="47">
        <v>0.11399788473578652</v>
      </c>
      <c r="L102" s="48">
        <f t="shared" si="19"/>
        <v>9.4998237279822102E-3</v>
      </c>
      <c r="M102" s="5"/>
      <c r="N102" s="5">
        <f t="shared" si="22"/>
        <v>6</v>
      </c>
      <c r="O102" s="9">
        <v>12</v>
      </c>
      <c r="P102" s="30">
        <f t="shared" si="20"/>
        <v>614</v>
      </c>
      <c r="Q102" s="8">
        <f t="shared" si="21"/>
        <v>-3.9061999999944419E-2</v>
      </c>
      <c r="R102">
        <f>L102-Graphs!$M$27</f>
        <v>-3.7581286887922692E-4</v>
      </c>
      <c r="S102"/>
      <c r="T102" s="8">
        <f>L102-Graphs!$M$37</f>
        <v>-5.7545696398245832E-4</v>
      </c>
      <c r="U102" s="8"/>
      <c r="V102" s="111">
        <f>D102-Graphs!$N$27</f>
        <v>-5.8961999999951331E-2</v>
      </c>
    </row>
    <row r="103" spans="1:22" x14ac:dyDescent="0.25">
      <c r="A103" s="42"/>
      <c r="B103" s="62" t="s">
        <v>176</v>
      </c>
      <c r="C103" s="44">
        <v>663.9578260000003</v>
      </c>
      <c r="D103" s="44">
        <f t="shared" si="18"/>
        <v>-4.2173999999704392E-2</v>
      </c>
      <c r="E103" s="45" t="s">
        <v>16</v>
      </c>
      <c r="F103" s="65">
        <v>662.94992600000035</v>
      </c>
      <c r="G103" s="46"/>
      <c r="H103" s="66" t="s">
        <v>184</v>
      </c>
      <c r="I103" s="43">
        <v>264563</v>
      </c>
      <c r="J103" s="43">
        <v>33135</v>
      </c>
      <c r="K103" s="47">
        <v>0.12524427074080655</v>
      </c>
      <c r="L103" s="48">
        <f t="shared" si="19"/>
        <v>9.6341746723697351E-3</v>
      </c>
      <c r="M103" s="5"/>
      <c r="N103" s="5">
        <f t="shared" si="22"/>
        <v>7</v>
      </c>
      <c r="O103" s="9">
        <v>13</v>
      </c>
      <c r="P103" s="30">
        <f t="shared" si="20"/>
        <v>664</v>
      </c>
      <c r="Q103" s="8">
        <f t="shared" si="21"/>
        <v>-4.2173999999704392E-2</v>
      </c>
      <c r="R103">
        <f>L103-Graphs!$M$27</f>
        <v>-2.4146192449170205E-4</v>
      </c>
      <c r="S103"/>
      <c r="T103" s="8">
        <f>L103-Graphs!$M$37</f>
        <v>-4.4110601959493345E-4</v>
      </c>
      <c r="U103" s="8"/>
      <c r="V103" s="111">
        <f>D103-Graphs!$N$27</f>
        <v>-6.2073999999711305E-2</v>
      </c>
    </row>
    <row r="104" spans="1:22" x14ac:dyDescent="0.25">
      <c r="A104" s="42"/>
      <c r="B104" s="62" t="s">
        <v>185</v>
      </c>
      <c r="C104" s="44">
        <v>713.95471400000054</v>
      </c>
      <c r="D104" s="44">
        <f t="shared" si="18"/>
        <v>-4.5285999999464366E-2</v>
      </c>
      <c r="E104" s="45" t="s">
        <v>16</v>
      </c>
      <c r="F104" s="65">
        <v>712.94681400000059</v>
      </c>
      <c r="G104" s="46"/>
      <c r="H104" s="66" t="s">
        <v>186</v>
      </c>
      <c r="I104" s="43">
        <v>340211</v>
      </c>
      <c r="J104" s="43">
        <v>45752</v>
      </c>
      <c r="K104" s="47">
        <v>0.13448124840172718</v>
      </c>
      <c r="L104" s="48">
        <f t="shared" si="19"/>
        <v>9.6058034572662262E-3</v>
      </c>
      <c r="M104" s="5"/>
      <c r="N104" s="5">
        <f t="shared" si="22"/>
        <v>8</v>
      </c>
      <c r="O104" s="9">
        <v>14</v>
      </c>
      <c r="P104" s="30">
        <f t="shared" si="20"/>
        <v>714</v>
      </c>
      <c r="Q104" s="8">
        <f t="shared" si="21"/>
        <v>-4.5285999999464366E-2</v>
      </c>
      <c r="R104">
        <f>L104-Graphs!$M$27</f>
        <v>-2.6983313959521096E-4</v>
      </c>
      <c r="S104"/>
      <c r="T104" s="8">
        <f>L104-Graphs!$M$37</f>
        <v>-4.6947723469844237E-4</v>
      </c>
      <c r="U104" s="8"/>
      <c r="V104" s="111">
        <f>D104-Graphs!$N$27</f>
        <v>-6.5185999999471278E-2</v>
      </c>
    </row>
    <row r="105" spans="1:22" x14ac:dyDescent="0.25">
      <c r="A105" s="67" t="s">
        <v>90</v>
      </c>
      <c r="B105" s="62" t="s">
        <v>91</v>
      </c>
      <c r="C105" s="44">
        <v>477.96164200809898</v>
      </c>
      <c r="D105" s="44">
        <f t="shared" si="18"/>
        <v>-3.835799190102307E-2</v>
      </c>
      <c r="E105" s="68" t="s">
        <v>16</v>
      </c>
      <c r="F105" s="69">
        <v>432.98970000000003</v>
      </c>
      <c r="G105" s="46"/>
      <c r="H105" s="43" t="s">
        <v>92</v>
      </c>
      <c r="I105" s="70">
        <v>57972</v>
      </c>
      <c r="J105" s="43">
        <v>9422</v>
      </c>
      <c r="K105" s="47">
        <v>0.16252673704547022</v>
      </c>
      <c r="L105" s="48">
        <f t="shared" si="19"/>
        <v>1.0835115803031347E-2</v>
      </c>
      <c r="N105" s="5">
        <f t="shared" si="22"/>
        <v>9</v>
      </c>
      <c r="O105" s="5">
        <v>15</v>
      </c>
      <c r="P105" s="30">
        <f t="shared" si="20"/>
        <v>478</v>
      </c>
      <c r="Q105" s="8">
        <f t="shared" si="21"/>
        <v>-3.835799190102307E-2</v>
      </c>
      <c r="R105"/>
      <c r="S105"/>
      <c r="T105" s="8"/>
      <c r="U105" s="8"/>
      <c r="V105" s="116">
        <f>D105-Graphs!$N$27</f>
        <v>-5.8257991901029982E-2</v>
      </c>
    </row>
    <row r="106" spans="1:22" x14ac:dyDescent="0.25">
      <c r="A106" s="67"/>
      <c r="B106" s="62" t="s">
        <v>93</v>
      </c>
      <c r="C106" s="44">
        <v>562.16950952299999</v>
      </c>
      <c r="D106" s="44">
        <f t="shared" si="18"/>
        <v>0.16950952299998789</v>
      </c>
      <c r="E106" s="68" t="s">
        <v>16</v>
      </c>
      <c r="F106" s="69">
        <v>280.07760000000002</v>
      </c>
      <c r="G106" s="46"/>
      <c r="H106" s="43" t="s">
        <v>94</v>
      </c>
      <c r="I106" s="70">
        <v>303226</v>
      </c>
      <c r="J106" s="43">
        <v>45603</v>
      </c>
      <c r="K106" s="47">
        <v>0.15039277634503637</v>
      </c>
      <c r="L106" s="48">
        <f t="shared" si="19"/>
        <v>5.3711705837512988E-3</v>
      </c>
      <c r="N106" s="5">
        <f t="shared" si="22"/>
        <v>10</v>
      </c>
      <c r="O106" s="5">
        <v>28</v>
      </c>
      <c r="P106" s="30">
        <f t="shared" si="20"/>
        <v>562</v>
      </c>
      <c r="Q106" s="8">
        <f t="shared" si="21"/>
        <v>0.16950952299998789</v>
      </c>
      <c r="R106" s="114">
        <f>L106-Graphs!$M$27</f>
        <v>-4.5044660131101383E-3</v>
      </c>
      <c r="S106"/>
      <c r="T106" s="8">
        <f>L106-Graphs!$M$37</f>
        <v>-4.7041101082133698E-3</v>
      </c>
      <c r="U106" s="8"/>
      <c r="V106" s="111"/>
    </row>
    <row r="107" spans="1:22" x14ac:dyDescent="0.25">
      <c r="A107" s="67"/>
      <c r="B107" s="62" t="s">
        <v>95</v>
      </c>
      <c r="C107" s="44">
        <v>308.035458846599</v>
      </c>
      <c r="D107" s="44">
        <f t="shared" si="18"/>
        <v>3.5458846598999116E-2</v>
      </c>
      <c r="E107" s="68" t="s">
        <v>16</v>
      </c>
      <c r="F107" s="69">
        <v>307.02789999999999</v>
      </c>
      <c r="G107" s="46"/>
      <c r="H107" s="43" t="s">
        <v>96</v>
      </c>
      <c r="I107" s="70">
        <v>222281</v>
      </c>
      <c r="J107" s="43">
        <v>36201</v>
      </c>
      <c r="K107" s="47">
        <v>0.16286142315357588</v>
      </c>
      <c r="L107" s="48">
        <f t="shared" si="19"/>
        <v>1.1632958796683992E-2</v>
      </c>
      <c r="N107" s="5">
        <f t="shared" si="22"/>
        <v>11</v>
      </c>
      <c r="O107" s="5">
        <v>14</v>
      </c>
      <c r="P107" s="30">
        <f t="shared" si="20"/>
        <v>308</v>
      </c>
      <c r="Q107" s="8">
        <f t="shared" si="21"/>
        <v>3.5458846598999116E-2</v>
      </c>
      <c r="R107"/>
      <c r="S107"/>
      <c r="T107" s="8"/>
      <c r="U107" s="8"/>
      <c r="V107" s="111"/>
    </row>
    <row r="108" spans="1:22" x14ac:dyDescent="0.25">
      <c r="A108" s="67"/>
      <c r="B108" s="62" t="s">
        <v>97</v>
      </c>
      <c r="C108" s="44">
        <v>214.06299418590001</v>
      </c>
      <c r="D108" s="44">
        <f t="shared" si="18"/>
        <v>6.2994185900009825E-2</v>
      </c>
      <c r="E108" s="68" t="s">
        <v>16</v>
      </c>
      <c r="F108" s="69">
        <v>213.0558</v>
      </c>
      <c r="G108" s="46"/>
      <c r="H108" s="43" t="s">
        <v>98</v>
      </c>
      <c r="I108" s="70">
        <v>1303022</v>
      </c>
      <c r="J108" s="43">
        <v>189689</v>
      </c>
      <c r="K108" s="47">
        <v>0.14557620669489849</v>
      </c>
      <c r="L108" s="48">
        <f t="shared" si="19"/>
        <v>1.1198169745761422E-2</v>
      </c>
      <c r="N108" s="5">
        <f t="shared" si="22"/>
        <v>12</v>
      </c>
      <c r="O108" s="5">
        <v>13</v>
      </c>
      <c r="P108" s="30">
        <f t="shared" si="20"/>
        <v>214</v>
      </c>
      <c r="Q108" s="8">
        <f t="shared" si="21"/>
        <v>6.2994185900009825E-2</v>
      </c>
      <c r="R108"/>
      <c r="S108"/>
      <c r="T108" s="8"/>
      <c r="U108" s="8"/>
      <c r="V108" s="111"/>
    </row>
    <row r="109" spans="1:22" x14ac:dyDescent="0.25">
      <c r="A109" s="67"/>
      <c r="B109" s="62" t="s">
        <v>99</v>
      </c>
      <c r="C109" s="44">
        <v>152.04734412209999</v>
      </c>
      <c r="D109" s="44">
        <f t="shared" si="18"/>
        <v>4.7344122099985952E-2</v>
      </c>
      <c r="E109" s="68" t="s">
        <v>16</v>
      </c>
      <c r="F109" s="69">
        <v>151.03989999999999</v>
      </c>
      <c r="G109" s="46"/>
      <c r="H109" s="43" t="s">
        <v>100</v>
      </c>
      <c r="I109" s="70">
        <v>543424</v>
      </c>
      <c r="J109" s="43">
        <v>45142</v>
      </c>
      <c r="K109" s="47">
        <v>8.3069573666234839E-2</v>
      </c>
      <c r="L109" s="48">
        <f t="shared" si="19"/>
        <v>1.0383696708279355E-2</v>
      </c>
      <c r="N109" s="5">
        <f t="shared" si="22"/>
        <v>13</v>
      </c>
      <c r="O109" s="5">
        <v>8</v>
      </c>
      <c r="P109" s="30">
        <f t="shared" si="20"/>
        <v>152</v>
      </c>
      <c r="Q109" s="8">
        <f t="shared" si="21"/>
        <v>4.7344122099985952E-2</v>
      </c>
      <c r="R109"/>
      <c r="S109"/>
      <c r="T109" s="8"/>
      <c r="U109" s="8"/>
      <c r="V109" s="111"/>
    </row>
    <row r="110" spans="1:22" x14ac:dyDescent="0.25">
      <c r="A110" s="67"/>
      <c r="B110" s="62" t="s">
        <v>101</v>
      </c>
      <c r="C110" s="44">
        <v>246.05282343049899</v>
      </c>
      <c r="D110" s="44">
        <f t="shared" si="18"/>
        <v>5.282343049898941E-2</v>
      </c>
      <c r="E110" s="68" t="s">
        <v>16</v>
      </c>
      <c r="F110" s="69">
        <v>245.0455</v>
      </c>
      <c r="G110" s="46"/>
      <c r="H110" s="43" t="s">
        <v>102</v>
      </c>
      <c r="I110" s="70">
        <v>1055274</v>
      </c>
      <c r="J110" s="43">
        <v>154116</v>
      </c>
      <c r="K110" s="47">
        <v>0.14604358678409587</v>
      </c>
      <c r="L110" s="48">
        <f t="shared" si="19"/>
        <v>1.1234122060315068E-2</v>
      </c>
      <c r="N110" s="5">
        <f t="shared" si="22"/>
        <v>14</v>
      </c>
      <c r="O110" s="5">
        <v>13</v>
      </c>
      <c r="P110" s="30">
        <f t="shared" si="20"/>
        <v>246</v>
      </c>
      <c r="Q110" s="8">
        <f t="shared" si="21"/>
        <v>5.282343049898941E-2</v>
      </c>
      <c r="R110"/>
      <c r="S110"/>
      <c r="T110" s="8"/>
      <c r="U110" s="8"/>
      <c r="V110" s="111"/>
    </row>
    <row r="111" spans="1:22" x14ac:dyDescent="0.25">
      <c r="A111" s="67"/>
      <c r="B111" s="62" t="s">
        <v>103</v>
      </c>
      <c r="C111" s="44">
        <v>230.05790880820001</v>
      </c>
      <c r="D111" s="44">
        <f t="shared" si="18"/>
        <v>5.7908808200011208E-2</v>
      </c>
      <c r="E111" s="68" t="s">
        <v>16</v>
      </c>
      <c r="F111" s="69">
        <v>229.0506</v>
      </c>
      <c r="G111" s="46"/>
      <c r="H111" s="43" t="s">
        <v>104</v>
      </c>
      <c r="I111" s="70">
        <v>1196839</v>
      </c>
      <c r="J111" s="43">
        <v>178009</v>
      </c>
      <c r="K111" s="47">
        <v>0.14873261984276917</v>
      </c>
      <c r="L111" s="48">
        <f t="shared" si="19"/>
        <v>1.144097075713609E-2</v>
      </c>
      <c r="N111" s="5">
        <f t="shared" si="22"/>
        <v>15</v>
      </c>
      <c r="O111" s="5">
        <v>13</v>
      </c>
      <c r="P111" s="30">
        <f t="shared" si="20"/>
        <v>230</v>
      </c>
      <c r="Q111" s="8">
        <f t="shared" si="21"/>
        <v>5.7908808200011208E-2</v>
      </c>
      <c r="R111"/>
      <c r="S111"/>
      <c r="T111" s="8"/>
      <c r="U111" s="8"/>
      <c r="V111" s="111"/>
    </row>
    <row r="112" spans="1:22" x14ac:dyDescent="0.25">
      <c r="A112" s="67"/>
      <c r="B112" s="62" t="s">
        <v>105</v>
      </c>
      <c r="C112" s="44">
        <v>166.06299418590001</v>
      </c>
      <c r="D112" s="44">
        <f t="shared" si="18"/>
        <v>6.2994185900009825E-2</v>
      </c>
      <c r="E112" s="68" t="s">
        <v>16</v>
      </c>
      <c r="F112" s="69">
        <v>165.0557</v>
      </c>
      <c r="G112" s="46"/>
      <c r="H112" s="43" t="s">
        <v>106</v>
      </c>
      <c r="I112" s="70">
        <v>822836</v>
      </c>
      <c r="J112" s="43">
        <v>74360</v>
      </c>
      <c r="K112" s="47">
        <v>9.037037757220151E-2</v>
      </c>
      <c r="L112" s="48">
        <f t="shared" si="19"/>
        <v>1.0041153063577946E-2</v>
      </c>
      <c r="N112" s="5">
        <f t="shared" si="22"/>
        <v>16</v>
      </c>
      <c r="O112" s="5">
        <v>9</v>
      </c>
      <c r="P112" s="30">
        <f t="shared" si="20"/>
        <v>166</v>
      </c>
      <c r="Q112" s="8">
        <f t="shared" si="21"/>
        <v>6.2994185900009825E-2</v>
      </c>
      <c r="R112"/>
      <c r="S112">
        <f>50/89</f>
        <v>0.5617977528089888</v>
      </c>
      <c r="T112" s="8"/>
      <c r="U112" s="8"/>
      <c r="V112" s="111"/>
    </row>
    <row r="113" spans="1:22" x14ac:dyDescent="0.25">
      <c r="A113" s="67"/>
      <c r="B113" s="62" t="s">
        <v>107</v>
      </c>
      <c r="C113" s="44">
        <v>198.06807956360001</v>
      </c>
      <c r="D113" s="44">
        <f t="shared" si="18"/>
        <v>6.8079563600008441E-2</v>
      </c>
      <c r="E113" s="68" t="s">
        <v>16</v>
      </c>
      <c r="F113" s="69">
        <v>197.0607</v>
      </c>
      <c r="G113" s="46"/>
      <c r="H113" s="43" t="s">
        <v>108</v>
      </c>
      <c r="I113" s="70">
        <v>2459295</v>
      </c>
      <c r="J113" s="43">
        <v>360420</v>
      </c>
      <c r="K113" s="47">
        <v>0.14655419540966008</v>
      </c>
      <c r="L113" s="48">
        <f t="shared" si="19"/>
        <v>1.127339964689693E-2</v>
      </c>
      <c r="N113" s="5">
        <f t="shared" si="22"/>
        <v>17</v>
      </c>
      <c r="O113" s="5">
        <v>13</v>
      </c>
      <c r="P113" s="30">
        <f t="shared" si="20"/>
        <v>198</v>
      </c>
      <c r="Q113" s="8">
        <f t="shared" si="21"/>
        <v>6.8079563600008441E-2</v>
      </c>
      <c r="R113"/>
      <c r="S113"/>
      <c r="T113" s="8"/>
      <c r="U113" s="8"/>
      <c r="V113" s="111"/>
    </row>
    <row r="114" spans="1:22" x14ac:dyDescent="0.25">
      <c r="A114" s="67"/>
      <c r="B114" s="62" t="s">
        <v>109</v>
      </c>
      <c r="C114" s="44">
        <v>180.07864424970001</v>
      </c>
      <c r="D114" s="44">
        <f t="shared" si="18"/>
        <v>7.8644249700005275E-2</v>
      </c>
      <c r="E114" s="68" t="s">
        <v>16</v>
      </c>
      <c r="F114" s="69">
        <v>179.07130000000001</v>
      </c>
      <c r="G114" s="46"/>
      <c r="H114" s="43" t="s">
        <v>110</v>
      </c>
      <c r="I114" s="70">
        <v>1148593</v>
      </c>
      <c r="J114" s="43">
        <v>123504</v>
      </c>
      <c r="K114" s="47">
        <v>0.10752633874662304</v>
      </c>
      <c r="L114" s="48">
        <f t="shared" si="19"/>
        <v>1.0752633874662304E-2</v>
      </c>
      <c r="N114" s="5">
        <f t="shared" si="22"/>
        <v>18</v>
      </c>
      <c r="O114" s="5">
        <v>10</v>
      </c>
      <c r="P114" s="30">
        <f t="shared" si="20"/>
        <v>180</v>
      </c>
      <c r="Q114" s="8">
        <f t="shared" si="21"/>
        <v>7.8644249700005275E-2</v>
      </c>
      <c r="R114"/>
      <c r="S114"/>
      <c r="T114" s="8"/>
      <c r="U114" s="8"/>
      <c r="V114" s="111"/>
    </row>
    <row r="115" spans="1:22" x14ac:dyDescent="0.25">
      <c r="A115" s="67"/>
      <c r="B115" s="62" t="s">
        <v>111</v>
      </c>
      <c r="C115" s="44">
        <v>214.06299418590001</v>
      </c>
      <c r="D115" s="44">
        <f t="shared" si="18"/>
        <v>6.2994185900009825E-2</v>
      </c>
      <c r="E115" s="68" t="s">
        <v>16</v>
      </c>
      <c r="F115" s="69">
        <v>213.0558</v>
      </c>
      <c r="G115" s="46"/>
      <c r="H115" s="43" t="s">
        <v>98</v>
      </c>
      <c r="I115" s="70">
        <v>2777820</v>
      </c>
      <c r="J115" s="43">
        <v>418410</v>
      </c>
      <c r="K115" s="47">
        <v>0.15062531049528047</v>
      </c>
      <c r="L115" s="48">
        <f t="shared" si="19"/>
        <v>1.1586562345790806E-2</v>
      </c>
      <c r="N115" s="5">
        <f t="shared" si="22"/>
        <v>19</v>
      </c>
      <c r="O115" s="5">
        <v>13</v>
      </c>
      <c r="P115" s="30">
        <f t="shared" si="20"/>
        <v>214</v>
      </c>
      <c r="Q115" s="8">
        <f t="shared" si="21"/>
        <v>6.2994185900009825E-2</v>
      </c>
      <c r="R115"/>
      <c r="S115"/>
      <c r="T115" s="8"/>
      <c r="U115" s="8"/>
      <c r="V115" s="111"/>
    </row>
    <row r="116" spans="1:22" x14ac:dyDescent="0.25">
      <c r="A116" s="67"/>
      <c r="B116" s="62" t="s">
        <v>112</v>
      </c>
      <c r="C116" s="44">
        <v>194.0942943135</v>
      </c>
      <c r="D116" s="44">
        <f t="shared" si="18"/>
        <v>9.4294313500000726E-2</v>
      </c>
      <c r="E116" s="68" t="s">
        <v>16</v>
      </c>
      <c r="F116" s="69">
        <v>193.08699999999999</v>
      </c>
      <c r="G116" s="46"/>
      <c r="H116" s="43" t="s">
        <v>113</v>
      </c>
      <c r="I116" s="70">
        <v>1866077</v>
      </c>
      <c r="J116" s="43">
        <v>229837</v>
      </c>
      <c r="K116" s="47">
        <v>0.12316587150476642</v>
      </c>
      <c r="L116" s="48">
        <f t="shared" si="19"/>
        <v>1.1196897409524219E-2</v>
      </c>
      <c r="N116" s="5">
        <f t="shared" si="22"/>
        <v>20</v>
      </c>
      <c r="O116" s="5">
        <v>11</v>
      </c>
      <c r="P116" s="30">
        <f t="shared" si="20"/>
        <v>194</v>
      </c>
      <c r="Q116" s="8">
        <f t="shared" si="21"/>
        <v>9.4294313500000726E-2</v>
      </c>
      <c r="R116"/>
      <c r="S116"/>
      <c r="T116" s="8"/>
      <c r="U116" s="8"/>
      <c r="V116" s="111"/>
    </row>
    <row r="117" spans="1:22" x14ac:dyDescent="0.25">
      <c r="A117" s="67"/>
      <c r="B117" s="62" t="s">
        <v>114</v>
      </c>
      <c r="C117" s="44">
        <v>228.07864424970001</v>
      </c>
      <c r="D117" s="44">
        <f t="shared" si="18"/>
        <v>7.8644249700005275E-2</v>
      </c>
      <c r="E117" s="68" t="s">
        <v>16</v>
      </c>
      <c r="F117" s="69">
        <v>227.07130000000001</v>
      </c>
      <c r="G117" s="46"/>
      <c r="H117" s="43" t="s">
        <v>115</v>
      </c>
      <c r="I117" s="70">
        <v>1855938</v>
      </c>
      <c r="J117" s="43">
        <v>305977</v>
      </c>
      <c r="K117" s="47">
        <v>0.1648638047176145</v>
      </c>
      <c r="L117" s="48">
        <f t="shared" si="19"/>
        <v>1.1775986051258179E-2</v>
      </c>
      <c r="N117" s="5">
        <f t="shared" si="22"/>
        <v>21</v>
      </c>
      <c r="O117" s="5">
        <v>14</v>
      </c>
      <c r="P117" s="30">
        <f t="shared" si="20"/>
        <v>228</v>
      </c>
      <c r="Q117" s="8">
        <f t="shared" si="21"/>
        <v>7.8644249700005275E-2</v>
      </c>
      <c r="R117"/>
      <c r="S117"/>
      <c r="T117" s="8"/>
      <c r="U117" s="8"/>
      <c r="V117" s="111"/>
    </row>
    <row r="118" spans="1:22" x14ac:dyDescent="0.25">
      <c r="A118" s="67"/>
      <c r="B118" s="62" t="s">
        <v>116</v>
      </c>
      <c r="C118" s="44">
        <v>228.07864424970001</v>
      </c>
      <c r="D118" s="44">
        <f t="shared" si="18"/>
        <v>7.8644249700005275E-2</v>
      </c>
      <c r="E118" s="68" t="s">
        <v>48</v>
      </c>
      <c r="F118" s="69">
        <v>229.08619999999999</v>
      </c>
      <c r="G118" s="46"/>
      <c r="H118" s="43" t="s">
        <v>115</v>
      </c>
      <c r="I118" s="70">
        <v>205209</v>
      </c>
      <c r="J118" s="43">
        <v>28480</v>
      </c>
      <c r="K118" s="47">
        <v>0.13878533592581221</v>
      </c>
      <c r="L118" s="48">
        <f t="shared" si="19"/>
        <v>9.9132382804151577E-3</v>
      </c>
      <c r="N118" s="5">
        <f t="shared" si="22"/>
        <v>22</v>
      </c>
      <c r="O118" s="5">
        <v>14</v>
      </c>
      <c r="P118" s="30">
        <f t="shared" si="20"/>
        <v>228</v>
      </c>
      <c r="Q118" s="8">
        <f t="shared" si="21"/>
        <v>7.8644249700005275E-2</v>
      </c>
      <c r="R118"/>
      <c r="S118"/>
      <c r="T118" s="8">
        <f>L118-Graphs!$M$37</f>
        <v>-1.6204241154951088E-4</v>
      </c>
      <c r="U118" s="8"/>
      <c r="V118" s="111"/>
    </row>
    <row r="119" spans="1:22" x14ac:dyDescent="0.25">
      <c r="A119" s="67"/>
      <c r="B119" s="62" t="s">
        <v>117</v>
      </c>
      <c r="C119" s="44">
        <v>310.15689456869899</v>
      </c>
      <c r="D119" s="44">
        <f t="shared" si="18"/>
        <v>0.15689456869898777</v>
      </c>
      <c r="E119" s="68" t="s">
        <v>48</v>
      </c>
      <c r="F119" s="69">
        <v>311.16449999999998</v>
      </c>
      <c r="G119" s="46"/>
      <c r="H119" s="43" t="s">
        <v>118</v>
      </c>
      <c r="I119" s="70">
        <v>312627</v>
      </c>
      <c r="J119" s="70">
        <v>63699</v>
      </c>
      <c r="K119" s="47">
        <v>0.20375399437668532</v>
      </c>
      <c r="L119" s="48">
        <f t="shared" si="19"/>
        <v>1.0187699718834266E-2</v>
      </c>
      <c r="N119" s="5">
        <f t="shared" si="22"/>
        <v>23</v>
      </c>
      <c r="O119" s="5">
        <v>20</v>
      </c>
      <c r="P119" s="30">
        <f t="shared" si="20"/>
        <v>310</v>
      </c>
      <c r="Q119" s="8">
        <f t="shared" si="21"/>
        <v>0.15689456869898777</v>
      </c>
      <c r="R119"/>
      <c r="S119"/>
      <c r="T119" s="8"/>
      <c r="U119" s="8"/>
      <c r="V119" s="111"/>
    </row>
    <row r="120" spans="1:22" x14ac:dyDescent="0.25">
      <c r="A120" s="67"/>
      <c r="B120" s="77" t="s">
        <v>119</v>
      </c>
      <c r="C120" s="44">
        <v>254.16706532410001</v>
      </c>
      <c r="D120" s="44">
        <f t="shared" si="18"/>
        <v>0.16706532410000818</v>
      </c>
      <c r="E120" s="68" t="s">
        <v>48</v>
      </c>
      <c r="F120" s="69">
        <v>255.17500000000001</v>
      </c>
      <c r="G120" s="46"/>
      <c r="H120" s="43" t="s">
        <v>120</v>
      </c>
      <c r="I120" s="70">
        <v>368196</v>
      </c>
      <c r="J120" s="43">
        <v>71172</v>
      </c>
      <c r="K120" s="47">
        <v>0.19329922106704039</v>
      </c>
      <c r="L120" s="48">
        <f t="shared" si="19"/>
        <v>1.0738845614835577E-2</v>
      </c>
      <c r="N120" s="5">
        <f t="shared" si="22"/>
        <v>24</v>
      </c>
      <c r="O120" s="5">
        <v>18</v>
      </c>
      <c r="P120" s="30">
        <f t="shared" si="20"/>
        <v>254</v>
      </c>
      <c r="Q120" s="8">
        <f t="shared" si="21"/>
        <v>0.16706532410000818</v>
      </c>
      <c r="R120"/>
      <c r="S120"/>
      <c r="T120" s="8"/>
      <c r="U120" s="8"/>
      <c r="V120" s="111"/>
    </row>
    <row r="121" spans="1:22" x14ac:dyDescent="0.25">
      <c r="A121" s="67"/>
      <c r="B121" s="62" t="s">
        <v>121</v>
      </c>
      <c r="C121" s="44">
        <v>277.20417911329997</v>
      </c>
      <c r="D121" s="44">
        <f t="shared" si="18"/>
        <v>0.20417911329997196</v>
      </c>
      <c r="E121" s="68" t="s">
        <v>48</v>
      </c>
      <c r="F121" s="69">
        <v>278.21190000000001</v>
      </c>
      <c r="G121" s="46"/>
      <c r="H121" s="43" t="s">
        <v>122</v>
      </c>
      <c r="I121" s="70">
        <v>4407665</v>
      </c>
      <c r="J121" s="43">
        <v>859381</v>
      </c>
      <c r="K121" s="47">
        <v>0.19497420970060111</v>
      </c>
      <c r="L121" s="48">
        <f t="shared" si="19"/>
        <v>1.1469071158858889E-2</v>
      </c>
      <c r="N121" s="5">
        <f t="shared" si="22"/>
        <v>25</v>
      </c>
      <c r="O121" s="5">
        <v>17</v>
      </c>
      <c r="P121" s="30">
        <f t="shared" si="20"/>
        <v>277</v>
      </c>
      <c r="Q121" s="8">
        <f t="shared" si="21"/>
        <v>0.20417911329997196</v>
      </c>
      <c r="R121"/>
      <c r="S121"/>
      <c r="T121" s="8"/>
      <c r="U121" s="8"/>
      <c r="V121" s="111"/>
    </row>
    <row r="122" spans="1:22" x14ac:dyDescent="0.25">
      <c r="A122" s="67"/>
      <c r="B122" s="62" t="s">
        <v>123</v>
      </c>
      <c r="C122" s="44">
        <v>275.18852904949898</v>
      </c>
      <c r="D122" s="44">
        <f t="shared" si="18"/>
        <v>0.18852904949898175</v>
      </c>
      <c r="E122" s="68" t="s">
        <v>48</v>
      </c>
      <c r="F122" s="69">
        <v>276.19569999999999</v>
      </c>
      <c r="G122" s="46"/>
      <c r="H122" s="43" t="s">
        <v>124</v>
      </c>
      <c r="I122" s="70">
        <v>34299</v>
      </c>
      <c r="J122" s="43">
        <v>7407</v>
      </c>
      <c r="K122" s="47">
        <v>0.21595381789556548</v>
      </c>
      <c r="L122" s="48">
        <f t="shared" si="19"/>
        <v>1.2703165758562675E-2</v>
      </c>
      <c r="N122" s="5">
        <f t="shared" si="22"/>
        <v>26</v>
      </c>
      <c r="O122" s="5">
        <v>17</v>
      </c>
      <c r="P122" s="30">
        <f t="shared" si="20"/>
        <v>275</v>
      </c>
      <c r="Q122" s="8">
        <f t="shared" si="21"/>
        <v>0.18852904949898175</v>
      </c>
      <c r="R122"/>
      <c r="S122"/>
      <c r="T122" s="8"/>
      <c r="U122" s="8">
        <f>Graphs!$M$36-'Data summary'!L122</f>
        <v>-2.9443195723238315E-4</v>
      </c>
      <c r="V122" s="111"/>
    </row>
    <row r="123" spans="1:22" x14ac:dyDescent="0.25">
      <c r="A123" s="67"/>
      <c r="B123" s="62" t="s">
        <v>125</v>
      </c>
      <c r="C123" s="44">
        <v>290.1881946963</v>
      </c>
      <c r="D123" s="44">
        <f t="shared" si="18"/>
        <v>0.18819469630000185</v>
      </c>
      <c r="E123" s="68" t="s">
        <v>48</v>
      </c>
      <c r="F123" s="69">
        <v>291.19490000000002</v>
      </c>
      <c r="G123" s="46"/>
      <c r="H123" s="43" t="s">
        <v>126</v>
      </c>
      <c r="I123" s="70">
        <v>18781</v>
      </c>
      <c r="J123" s="43">
        <v>3471</v>
      </c>
      <c r="K123" s="47">
        <v>0.18481444012565892</v>
      </c>
      <c r="L123" s="48">
        <f t="shared" si="19"/>
        <v>1.0267468895869941E-2</v>
      </c>
      <c r="N123" s="5">
        <f t="shared" si="22"/>
        <v>27</v>
      </c>
      <c r="O123" s="5">
        <v>18</v>
      </c>
      <c r="P123" s="30">
        <f t="shared" si="20"/>
        <v>290</v>
      </c>
      <c r="Q123" s="8">
        <f t="shared" si="21"/>
        <v>0.18819469630000185</v>
      </c>
      <c r="R123"/>
      <c r="S123"/>
      <c r="T123" s="8"/>
      <c r="U123" s="8"/>
      <c r="V123" s="111"/>
    </row>
    <row r="124" spans="1:22" x14ac:dyDescent="0.25">
      <c r="A124" s="67"/>
      <c r="B124" s="62" t="s">
        <v>117</v>
      </c>
      <c r="C124" s="44">
        <v>311.15689456869899</v>
      </c>
      <c r="D124" s="44">
        <f t="shared" si="18"/>
        <v>0.15689456869898777</v>
      </c>
      <c r="E124" s="68" t="s">
        <v>48</v>
      </c>
      <c r="F124" s="69">
        <v>311.16449999999998</v>
      </c>
      <c r="G124" s="46"/>
      <c r="H124" s="43" t="s">
        <v>127</v>
      </c>
      <c r="I124" s="70">
        <v>825536</v>
      </c>
      <c r="J124" s="43">
        <v>197405</v>
      </c>
      <c r="K124" s="47">
        <v>0.23912343011086132</v>
      </c>
      <c r="L124" s="48">
        <f t="shared" si="19"/>
        <v>1.1956171505543066E-2</v>
      </c>
      <c r="N124" s="5">
        <f t="shared" si="22"/>
        <v>28</v>
      </c>
      <c r="O124" s="5">
        <v>20</v>
      </c>
      <c r="P124" s="30">
        <f t="shared" si="20"/>
        <v>311</v>
      </c>
      <c r="Q124" s="8">
        <f t="shared" si="21"/>
        <v>0.15689456869898777</v>
      </c>
      <c r="R124"/>
      <c r="S124"/>
      <c r="T124" s="8"/>
      <c r="U124" s="8"/>
      <c r="V124" s="111"/>
    </row>
    <row r="125" spans="1:22" x14ac:dyDescent="0.25">
      <c r="A125" s="67"/>
      <c r="B125" s="62" t="s">
        <v>128</v>
      </c>
      <c r="C125" s="44">
        <v>361.20417911329997</v>
      </c>
      <c r="D125" s="44">
        <f t="shared" si="18"/>
        <v>0.20417911329997196</v>
      </c>
      <c r="E125" s="68" t="s">
        <v>48</v>
      </c>
      <c r="F125" s="69">
        <v>362.21120000000002</v>
      </c>
      <c r="G125" s="46"/>
      <c r="H125" s="43" t="s">
        <v>129</v>
      </c>
      <c r="I125" s="70">
        <v>84902</v>
      </c>
      <c r="J125" s="43">
        <v>22701</v>
      </c>
      <c r="K125" s="47">
        <v>0.26737886033308994</v>
      </c>
      <c r="L125" s="48">
        <f t="shared" si="19"/>
        <v>1.114078584721208E-2</v>
      </c>
      <c r="N125" s="5">
        <f t="shared" si="22"/>
        <v>29</v>
      </c>
      <c r="O125" s="5">
        <v>24</v>
      </c>
      <c r="P125" s="30">
        <f t="shared" si="20"/>
        <v>361</v>
      </c>
      <c r="Q125" s="8">
        <f t="shared" si="21"/>
        <v>0.20417911329997196</v>
      </c>
      <c r="R125"/>
      <c r="S125"/>
      <c r="T125" s="8"/>
      <c r="U125" s="8"/>
      <c r="V125" s="111"/>
    </row>
    <row r="126" spans="1:22" x14ac:dyDescent="0.25">
      <c r="A126" s="67" t="s">
        <v>130</v>
      </c>
      <c r="B126" s="78" t="s">
        <v>131</v>
      </c>
      <c r="C126" s="44">
        <v>215.09379999999999</v>
      </c>
      <c r="D126" s="44">
        <f t="shared" si="18"/>
        <v>9.3799999999987449E-2</v>
      </c>
      <c r="E126" s="45" t="s">
        <v>48</v>
      </c>
      <c r="F126" s="46">
        <v>216.10050000000001</v>
      </c>
      <c r="G126" s="46"/>
      <c r="H126" s="43" t="s">
        <v>132</v>
      </c>
      <c r="I126" s="71">
        <v>11911139</v>
      </c>
      <c r="J126" s="49">
        <v>1287421</v>
      </c>
      <c r="K126" s="47">
        <v>0.10808546521033799</v>
      </c>
      <c r="L126" s="48">
        <f t="shared" si="19"/>
        <v>1.3510683151292249E-2</v>
      </c>
      <c r="N126" s="5">
        <f t="shared" si="22"/>
        <v>30</v>
      </c>
      <c r="O126" s="5">
        <v>8</v>
      </c>
      <c r="P126" s="30">
        <f t="shared" si="20"/>
        <v>215</v>
      </c>
      <c r="Q126" s="8">
        <f t="shared" si="21"/>
        <v>9.3799999999987449E-2</v>
      </c>
      <c r="R126"/>
      <c r="S126" s="114">
        <f>Graphs!$M$26-L126</f>
        <v>-3.7793730648784211E-4</v>
      </c>
      <c r="T126" s="8"/>
      <c r="U126" s="8">
        <f>Graphs!$M$36-'Data summary'!L126</f>
        <v>-1.1019493499619566E-3</v>
      </c>
      <c r="V126" s="111"/>
    </row>
    <row r="127" spans="1:22" x14ac:dyDescent="0.25">
      <c r="A127" s="67"/>
      <c r="B127" s="78" t="s">
        <v>133</v>
      </c>
      <c r="C127" s="44">
        <v>187.0625</v>
      </c>
      <c r="D127" s="44">
        <f t="shared" si="18"/>
        <v>6.25E-2</v>
      </c>
      <c r="E127" s="45" t="s">
        <v>48</v>
      </c>
      <c r="F127" s="46">
        <v>188.0694</v>
      </c>
      <c r="G127" s="46"/>
      <c r="H127" s="43" t="s">
        <v>134</v>
      </c>
      <c r="I127" s="71">
        <v>5565797</v>
      </c>
      <c r="J127" s="49">
        <v>471492</v>
      </c>
      <c r="K127" s="47">
        <v>8.4712396086310732E-2</v>
      </c>
      <c r="L127" s="48">
        <f t="shared" si="19"/>
        <v>1.4118732681051788E-2</v>
      </c>
      <c r="N127" s="5">
        <f t="shared" si="22"/>
        <v>31</v>
      </c>
      <c r="O127" s="5">
        <v>6</v>
      </c>
      <c r="P127" s="30">
        <f t="shared" si="20"/>
        <v>187</v>
      </c>
      <c r="Q127" s="8">
        <f t="shared" si="21"/>
        <v>6.25E-2</v>
      </c>
      <c r="R127"/>
      <c r="S127" s="114">
        <f>Graphs!$M$26-L127</f>
        <v>-9.8598683624738157E-4</v>
      </c>
      <c r="T127" s="8"/>
      <c r="U127" s="8">
        <f>Graphs!$M$36-'Data summary'!L127</f>
        <v>-1.7099988797214961E-3</v>
      </c>
      <c r="V127" s="111"/>
    </row>
    <row r="128" spans="1:22" x14ac:dyDescent="0.25">
      <c r="A128" s="67"/>
      <c r="B128" s="78" t="s">
        <v>135</v>
      </c>
      <c r="C128" s="44">
        <v>305.15620000000001</v>
      </c>
      <c r="D128" s="44">
        <f t="shared" si="18"/>
        <v>0.15620000000001255</v>
      </c>
      <c r="E128" s="45" t="s">
        <v>48</v>
      </c>
      <c r="F128" s="46">
        <v>306.16320000000002</v>
      </c>
      <c r="G128" s="46"/>
      <c r="H128" s="43" t="s">
        <v>136</v>
      </c>
      <c r="I128" s="71">
        <v>14368959</v>
      </c>
      <c r="J128" s="49">
        <v>2790554</v>
      </c>
      <c r="K128" s="47">
        <v>0.19420710992355117</v>
      </c>
      <c r="L128" s="48">
        <f t="shared" si="19"/>
        <v>1.2137944370221948E-2</v>
      </c>
      <c r="N128" s="5">
        <f t="shared" si="22"/>
        <v>32</v>
      </c>
      <c r="O128" s="5">
        <v>16</v>
      </c>
      <c r="P128" s="30">
        <f t="shared" si="20"/>
        <v>305</v>
      </c>
      <c r="Q128" s="8">
        <f t="shared" si="21"/>
        <v>0.15620000000001255</v>
      </c>
      <c r="R128"/>
      <c r="S128"/>
      <c r="T128" s="8"/>
      <c r="U128" s="8"/>
      <c r="V128" s="111"/>
    </row>
    <row r="129" spans="1:22" x14ac:dyDescent="0.25">
      <c r="A129" s="67"/>
      <c r="B129" s="78" t="s">
        <v>137</v>
      </c>
      <c r="C129" s="44">
        <v>212.07159999999999</v>
      </c>
      <c r="D129" s="44">
        <f t="shared" si="18"/>
        <v>7.159999999998945E-2</v>
      </c>
      <c r="E129" s="45" t="s">
        <v>48</v>
      </c>
      <c r="F129" s="46">
        <v>213.0788</v>
      </c>
      <c r="G129" s="46"/>
      <c r="H129" s="43" t="s">
        <v>138</v>
      </c>
      <c r="I129" s="71">
        <v>9928938</v>
      </c>
      <c r="J129" s="49">
        <v>1278841</v>
      </c>
      <c r="K129" s="47">
        <v>0.12879937411231696</v>
      </c>
      <c r="L129" s="48">
        <f t="shared" si="19"/>
        <v>1.2879937411231696E-2</v>
      </c>
      <c r="N129" s="5">
        <f t="shared" si="22"/>
        <v>33</v>
      </c>
      <c r="O129" s="5">
        <v>10</v>
      </c>
      <c r="P129" s="30">
        <f t="shared" si="20"/>
        <v>212</v>
      </c>
      <c r="Q129" s="8">
        <f t="shared" si="21"/>
        <v>7.159999999998945E-2</v>
      </c>
      <c r="R129"/>
      <c r="S129"/>
      <c r="T129" s="8"/>
      <c r="U129" s="8">
        <f>Graphs!$M$36-'Data summary'!L129</f>
        <v>-4.7120360990140359E-4</v>
      </c>
      <c r="V129" s="111"/>
    </row>
    <row r="130" spans="1:22" x14ac:dyDescent="0.25">
      <c r="A130" s="67"/>
      <c r="B130" s="78" t="s">
        <v>139</v>
      </c>
      <c r="C130" s="44">
        <v>240.089</v>
      </c>
      <c r="D130" s="44">
        <f t="shared" si="18"/>
        <v>8.8999999999998636E-2</v>
      </c>
      <c r="E130" s="45" t="s">
        <v>48</v>
      </c>
      <c r="F130" s="46">
        <v>241.0959</v>
      </c>
      <c r="G130" s="46"/>
      <c r="H130" s="43" t="s">
        <v>140</v>
      </c>
      <c r="I130" s="71">
        <v>9817275</v>
      </c>
      <c r="J130" s="49">
        <v>1215201</v>
      </c>
      <c r="K130" s="47">
        <v>0.12378190485649022</v>
      </c>
      <c r="L130" s="48">
        <f t="shared" si="19"/>
        <v>1.3753544984054469E-2</v>
      </c>
      <c r="N130" s="5">
        <f t="shared" si="22"/>
        <v>34</v>
      </c>
      <c r="O130" s="5">
        <v>9</v>
      </c>
      <c r="P130" s="30">
        <f t="shared" si="20"/>
        <v>240</v>
      </c>
      <c r="Q130" s="8">
        <f t="shared" si="21"/>
        <v>8.8999999999998636E-2</v>
      </c>
      <c r="R130"/>
      <c r="S130" s="114">
        <f>Graphs!$M$26-L130</f>
        <v>-6.2079913925006287E-4</v>
      </c>
      <c r="T130" s="8"/>
      <c r="U130" s="8">
        <f>Graphs!$M$36-'Data summary'!L130</f>
        <v>-1.3448111827241774E-3</v>
      </c>
      <c r="V130" s="111"/>
    </row>
    <row r="131" spans="1:22" x14ac:dyDescent="0.25">
      <c r="A131" s="67"/>
      <c r="B131" s="78" t="s">
        <v>141</v>
      </c>
      <c r="C131" s="44">
        <v>237.07660000000001</v>
      </c>
      <c r="D131" s="44">
        <f t="shared" si="18"/>
        <v>7.6600000000013324E-2</v>
      </c>
      <c r="E131" s="45" t="s">
        <v>48</v>
      </c>
      <c r="F131" s="46">
        <v>238.08369999999999</v>
      </c>
      <c r="G131" s="46"/>
      <c r="H131" s="43" t="s">
        <v>142</v>
      </c>
      <c r="I131" s="71">
        <v>5953428</v>
      </c>
      <c r="J131" s="49">
        <v>602827</v>
      </c>
      <c r="K131" s="47">
        <v>0.1012571244667778</v>
      </c>
      <c r="L131" s="48">
        <f t="shared" si="19"/>
        <v>1.2657140558347225E-2</v>
      </c>
      <c r="N131" s="5">
        <f t="shared" si="22"/>
        <v>35</v>
      </c>
      <c r="O131" s="5">
        <v>8</v>
      </c>
      <c r="P131" s="30">
        <f t="shared" si="20"/>
        <v>237</v>
      </c>
      <c r="Q131" s="8">
        <f t="shared" si="21"/>
        <v>7.6600000000013324E-2</v>
      </c>
      <c r="R131"/>
      <c r="S131"/>
      <c r="T131" s="8"/>
      <c r="U131" s="8">
        <f>Graphs!$M$36-'Data summary'!L131</f>
        <v>-2.4840675701693314E-4</v>
      </c>
      <c r="V131" s="111"/>
    </row>
    <row r="132" spans="1:22" x14ac:dyDescent="0.25">
      <c r="A132" s="67"/>
      <c r="B132" s="78" t="s">
        <v>143</v>
      </c>
      <c r="C132" s="44">
        <v>232.017</v>
      </c>
      <c r="D132" s="44">
        <f t="shared" si="18"/>
        <v>1.6999999999995907E-2</v>
      </c>
      <c r="E132" s="45" t="s">
        <v>48</v>
      </c>
      <c r="F132" s="46">
        <v>233.02449999999999</v>
      </c>
      <c r="G132" s="46"/>
      <c r="H132" s="43" t="s">
        <v>144</v>
      </c>
      <c r="I132" s="71">
        <v>7825305</v>
      </c>
      <c r="J132" s="49">
        <v>864997</v>
      </c>
      <c r="K132" s="47">
        <v>0.11053843907681554</v>
      </c>
      <c r="L132" s="48">
        <f t="shared" si="19"/>
        <v>1.2282048786312838E-2</v>
      </c>
      <c r="N132" s="5">
        <f t="shared" si="22"/>
        <v>36</v>
      </c>
      <c r="O132" s="5">
        <v>9</v>
      </c>
      <c r="P132" s="30">
        <f t="shared" si="20"/>
        <v>232</v>
      </c>
      <c r="Q132" s="8">
        <f t="shared" si="21"/>
        <v>1.6999999999995907E-2</v>
      </c>
      <c r="R132"/>
      <c r="S132"/>
      <c r="T132" s="8"/>
      <c r="U132" s="8"/>
      <c r="V132" s="116">
        <f>D132-Graphs!$N$27</f>
        <v>-2.9000000000110049E-3</v>
      </c>
    </row>
    <row r="133" spans="1:22" x14ac:dyDescent="0.25">
      <c r="A133" s="67"/>
      <c r="B133" s="78" t="s">
        <v>145</v>
      </c>
      <c r="C133" s="44">
        <v>252.15860000000001</v>
      </c>
      <c r="D133" s="44">
        <f t="shared" si="18"/>
        <v>0.15860000000000696</v>
      </c>
      <c r="E133" s="45" t="s">
        <v>48</v>
      </c>
      <c r="F133" s="46">
        <v>253.16560000000001</v>
      </c>
      <c r="G133" s="46"/>
      <c r="H133" s="43" t="s">
        <v>146</v>
      </c>
      <c r="I133" s="71">
        <v>11763229</v>
      </c>
      <c r="J133" s="49">
        <v>1772309</v>
      </c>
      <c r="K133" s="47">
        <v>0.15066517875321478</v>
      </c>
      <c r="L133" s="48">
        <f t="shared" si="19"/>
        <v>1.2555431562767899E-2</v>
      </c>
      <c r="N133" s="5">
        <f t="shared" si="22"/>
        <v>37</v>
      </c>
      <c r="O133" s="5">
        <v>12</v>
      </c>
      <c r="P133" s="30">
        <f t="shared" si="20"/>
        <v>252</v>
      </c>
      <c r="Q133" s="8">
        <f t="shared" si="21"/>
        <v>0.15860000000000696</v>
      </c>
      <c r="R133"/>
      <c r="S133"/>
      <c r="T133" s="8"/>
      <c r="U133" s="8">
        <f>Graphs!$M$36-'Data summary'!L133</f>
        <v>-1.4669776143760686E-4</v>
      </c>
      <c r="V133" s="111"/>
    </row>
    <row r="134" spans="1:22" x14ac:dyDescent="0.25">
      <c r="A134" s="67"/>
      <c r="B134" s="78" t="s">
        <v>147</v>
      </c>
      <c r="C134" s="44">
        <v>248.0119</v>
      </c>
      <c r="D134" s="44">
        <f t="shared" si="18"/>
        <v>1.1899999999997135E-2</v>
      </c>
      <c r="E134" s="45" t="s">
        <v>48</v>
      </c>
      <c r="F134" s="46">
        <v>249.01939999999999</v>
      </c>
      <c r="G134" s="46"/>
      <c r="H134" s="43" t="s">
        <v>148</v>
      </c>
      <c r="I134" s="72">
        <v>5402035</v>
      </c>
      <c r="J134" s="71">
        <v>594019</v>
      </c>
      <c r="K134" s="47">
        <v>0.10996207910537417</v>
      </c>
      <c r="L134" s="48">
        <f t="shared" si="19"/>
        <v>1.2218008789486019E-2</v>
      </c>
      <c r="N134" s="5">
        <f t="shared" si="22"/>
        <v>38</v>
      </c>
      <c r="O134" s="5">
        <v>9</v>
      </c>
      <c r="P134" s="30">
        <f t="shared" si="20"/>
        <v>248</v>
      </c>
      <c r="Q134" s="8">
        <f t="shared" si="21"/>
        <v>1.1899999999997135E-2</v>
      </c>
      <c r="R134"/>
      <c r="S134"/>
      <c r="T134" s="8"/>
      <c r="U134" s="8"/>
      <c r="V134" s="116">
        <f>D134-Graphs!$N$27</f>
        <v>-8.0000000000097771E-3</v>
      </c>
    </row>
    <row r="135" spans="1:22" x14ac:dyDescent="0.25">
      <c r="A135" s="67"/>
      <c r="B135" s="78" t="s">
        <v>149</v>
      </c>
      <c r="C135" s="44">
        <v>141.00129999999999</v>
      </c>
      <c r="D135" s="44">
        <f t="shared" si="18"/>
        <v>1.2999999999863121E-3</v>
      </c>
      <c r="E135" s="45" t="s">
        <v>48</v>
      </c>
      <c r="F135" s="46">
        <v>142.00839999999999</v>
      </c>
      <c r="G135" s="46"/>
      <c r="H135" s="43" t="s">
        <v>150</v>
      </c>
      <c r="I135" s="71">
        <v>2435086</v>
      </c>
      <c r="J135" s="49">
        <v>53026</v>
      </c>
      <c r="K135" s="47">
        <v>2.177582229128663E-2</v>
      </c>
      <c r="L135" s="48">
        <f t="shared" si="19"/>
        <v>1.0887911145643315E-2</v>
      </c>
      <c r="N135" s="5">
        <f t="shared" si="22"/>
        <v>39</v>
      </c>
      <c r="O135" s="5">
        <v>2</v>
      </c>
      <c r="P135" s="30">
        <f t="shared" si="20"/>
        <v>141</v>
      </c>
      <c r="Q135" s="8">
        <f t="shared" si="21"/>
        <v>1.2999999999863121E-3</v>
      </c>
      <c r="R135"/>
      <c r="S135"/>
      <c r="T135" s="8"/>
      <c r="U135" s="8"/>
      <c r="V135" s="116">
        <f>D135-Graphs!$N$27</f>
        <v>-1.86000000000206E-2</v>
      </c>
    </row>
    <row r="136" spans="1:22" x14ac:dyDescent="0.25">
      <c r="A136" s="67"/>
      <c r="B136" s="78" t="s">
        <v>151</v>
      </c>
      <c r="C136" s="44">
        <v>258.00040000000001</v>
      </c>
      <c r="D136" s="44">
        <f t="shared" si="18"/>
        <v>4.0000000001327862E-4</v>
      </c>
      <c r="E136" s="45" t="s">
        <v>48</v>
      </c>
      <c r="F136" s="46">
        <v>259.0077</v>
      </c>
      <c r="G136" s="46"/>
      <c r="H136" s="43" t="s">
        <v>152</v>
      </c>
      <c r="I136" s="71">
        <v>5062937</v>
      </c>
      <c r="J136" s="49">
        <v>574786</v>
      </c>
      <c r="K136" s="47">
        <v>0.11352817544441102</v>
      </c>
      <c r="L136" s="48">
        <f t="shared" si="19"/>
        <v>1.2614241716045669E-2</v>
      </c>
      <c r="N136" s="5">
        <f t="shared" si="22"/>
        <v>40</v>
      </c>
      <c r="O136" s="5">
        <v>9</v>
      </c>
      <c r="P136" s="30">
        <f t="shared" si="20"/>
        <v>258</v>
      </c>
      <c r="Q136" s="8">
        <f t="shared" si="21"/>
        <v>4.0000000001327862E-4</v>
      </c>
      <c r="R136"/>
      <c r="S136"/>
      <c r="T136" s="8"/>
      <c r="U136" s="8">
        <f>Graphs!$M$36-'Data summary'!L136</f>
        <v>-2.0550791471537697E-4</v>
      </c>
      <c r="V136" s="116">
        <f>D136-Graphs!$N$27</f>
        <v>-1.9499999999993634E-2</v>
      </c>
    </row>
    <row r="137" spans="1:22" x14ac:dyDescent="0.25">
      <c r="A137" s="67"/>
      <c r="B137" s="78" t="s">
        <v>153</v>
      </c>
      <c r="C137" s="44">
        <v>283.13389999999998</v>
      </c>
      <c r="D137" s="44">
        <f t="shared" si="18"/>
        <v>0.13389999999998281</v>
      </c>
      <c r="E137" s="45" t="s">
        <v>48</v>
      </c>
      <c r="F137" s="46">
        <v>284.14120000000003</v>
      </c>
      <c r="G137" s="46"/>
      <c r="H137" s="43" t="s">
        <v>154</v>
      </c>
      <c r="I137" s="71">
        <v>10497867</v>
      </c>
      <c r="J137" s="49">
        <v>1788617</v>
      </c>
      <c r="K137" s="47">
        <v>0.1703790874851053</v>
      </c>
      <c r="L137" s="48">
        <f t="shared" si="19"/>
        <v>1.1358605832340354E-2</v>
      </c>
      <c r="N137" s="5">
        <f t="shared" si="22"/>
        <v>41</v>
      </c>
      <c r="O137" s="5">
        <v>15</v>
      </c>
      <c r="P137" s="30">
        <f t="shared" si="20"/>
        <v>283</v>
      </c>
      <c r="Q137" s="8">
        <f t="shared" si="21"/>
        <v>0.13389999999998281</v>
      </c>
      <c r="R137"/>
      <c r="S137"/>
      <c r="T137" s="8"/>
      <c r="U137" s="8"/>
      <c r="V137" s="111"/>
    </row>
    <row r="138" spans="1:22" x14ac:dyDescent="0.25">
      <c r="A138" s="67"/>
      <c r="B138" s="78" t="s">
        <v>155</v>
      </c>
      <c r="C138" s="44">
        <v>228.06659999999999</v>
      </c>
      <c r="D138" s="44">
        <f t="shared" si="18"/>
        <v>6.6599999999993997E-2</v>
      </c>
      <c r="E138" s="45" t="s">
        <v>48</v>
      </c>
      <c r="F138" s="46">
        <v>229.0736</v>
      </c>
      <c r="G138" s="46"/>
      <c r="H138" s="43" t="s">
        <v>156</v>
      </c>
      <c r="I138" s="71">
        <v>10333992</v>
      </c>
      <c r="J138" s="49">
        <v>1249333</v>
      </c>
      <c r="K138" s="47">
        <v>0.12089548743602666</v>
      </c>
      <c r="L138" s="48">
        <f t="shared" si="19"/>
        <v>1.2089548743602666E-2</v>
      </c>
      <c r="N138" s="5">
        <f t="shared" si="22"/>
        <v>42</v>
      </c>
      <c r="O138" s="5">
        <v>10</v>
      </c>
      <c r="P138" s="30">
        <f t="shared" si="20"/>
        <v>228</v>
      </c>
      <c r="Q138" s="8">
        <f t="shared" si="21"/>
        <v>6.6599999999993997E-2</v>
      </c>
      <c r="R138"/>
      <c r="S138"/>
      <c r="T138" s="8"/>
      <c r="U138" s="8"/>
      <c r="V138" s="111"/>
    </row>
    <row r="139" spans="1:22" x14ac:dyDescent="0.25">
      <c r="A139" s="67"/>
      <c r="B139" s="78" t="s">
        <v>157</v>
      </c>
      <c r="C139" s="44">
        <v>214.05090000000001</v>
      </c>
      <c r="D139" s="44">
        <f t="shared" si="18"/>
        <v>5.0900000000012824E-2</v>
      </c>
      <c r="E139" s="45" t="s">
        <v>48</v>
      </c>
      <c r="F139" s="46">
        <v>215.05799999999999</v>
      </c>
      <c r="G139" s="46"/>
      <c r="H139" s="43" t="s">
        <v>158</v>
      </c>
      <c r="I139" s="71">
        <v>6349026</v>
      </c>
      <c r="J139" s="71">
        <v>701615</v>
      </c>
      <c r="K139" s="47">
        <v>0.11050750146557912</v>
      </c>
      <c r="L139" s="48">
        <f t="shared" si="19"/>
        <v>1.2278611273953237E-2</v>
      </c>
      <c r="N139" s="5">
        <f t="shared" si="22"/>
        <v>43</v>
      </c>
      <c r="O139" s="5">
        <v>9</v>
      </c>
      <c r="P139" s="30">
        <f t="shared" si="20"/>
        <v>214</v>
      </c>
      <c r="Q139" s="8">
        <f t="shared" si="21"/>
        <v>5.0900000000012824E-2</v>
      </c>
      <c r="R139"/>
      <c r="S139"/>
      <c r="T139" s="8"/>
      <c r="U139" s="8"/>
      <c r="V139" s="111"/>
    </row>
    <row r="140" spans="1:22" x14ac:dyDescent="0.25">
      <c r="A140" s="67"/>
      <c r="B140" s="78" t="s">
        <v>159</v>
      </c>
      <c r="C140" s="44">
        <v>229.10939999999999</v>
      </c>
      <c r="D140" s="44">
        <f t="shared" si="18"/>
        <v>0.10939999999999372</v>
      </c>
      <c r="E140" s="45" t="s">
        <v>48</v>
      </c>
      <c r="F140" s="46">
        <v>230.11680000000001</v>
      </c>
      <c r="G140" s="46"/>
      <c r="H140" s="43" t="s">
        <v>160</v>
      </c>
      <c r="I140" s="71">
        <v>10616757</v>
      </c>
      <c r="J140" s="49">
        <v>1276423</v>
      </c>
      <c r="K140" s="47">
        <v>0.12022720309035989</v>
      </c>
      <c r="L140" s="48">
        <f t="shared" si="19"/>
        <v>1.3358578121151099E-2</v>
      </c>
      <c r="N140" s="5">
        <f t="shared" si="22"/>
        <v>44</v>
      </c>
      <c r="O140" s="5">
        <v>9</v>
      </c>
      <c r="P140" s="30">
        <f t="shared" si="20"/>
        <v>229</v>
      </c>
      <c r="Q140" s="8">
        <f t="shared" si="21"/>
        <v>0.10939999999999372</v>
      </c>
      <c r="R140"/>
      <c r="S140" s="114">
        <f>Graphs!$M$26-L140</f>
        <v>-2.2583227634669252E-4</v>
      </c>
      <c r="T140" s="8"/>
      <c r="U140" s="8">
        <f>Graphs!$M$36-'Data summary'!L140</f>
        <v>-9.4984431982080703E-4</v>
      </c>
      <c r="V140" s="111"/>
    </row>
    <row r="141" spans="1:22" x14ac:dyDescent="0.25">
      <c r="A141" s="67"/>
      <c r="B141" s="78" t="s">
        <v>161</v>
      </c>
      <c r="C141" s="44">
        <v>201.07810000000001</v>
      </c>
      <c r="D141" s="44">
        <f t="shared" si="18"/>
        <v>7.8100000000006276E-2</v>
      </c>
      <c r="E141" s="45" t="s">
        <v>48</v>
      </c>
      <c r="F141" s="46">
        <v>202.0849</v>
      </c>
      <c r="G141" s="46"/>
      <c r="H141" s="43" t="s">
        <v>162</v>
      </c>
      <c r="I141" s="71">
        <v>10447405</v>
      </c>
      <c r="J141" s="49">
        <v>1019461</v>
      </c>
      <c r="K141" s="47">
        <v>9.7580308220079529E-2</v>
      </c>
      <c r="L141" s="48">
        <f t="shared" si="19"/>
        <v>1.3940044031439933E-2</v>
      </c>
      <c r="N141" s="5">
        <f t="shared" si="22"/>
        <v>45</v>
      </c>
      <c r="O141" s="5">
        <v>7</v>
      </c>
      <c r="P141" s="30">
        <f t="shared" si="20"/>
        <v>201</v>
      </c>
      <c r="Q141" s="8">
        <f t="shared" si="21"/>
        <v>7.8100000000006276E-2</v>
      </c>
      <c r="R141"/>
      <c r="S141" s="114">
        <f>Graphs!$M$26-L141</f>
        <v>-8.0729818663552617E-4</v>
      </c>
      <c r="T141" s="8"/>
      <c r="U141" s="8">
        <f>Graphs!$M$36-'Data summary'!L141</f>
        <v>-1.5313102301096407E-3</v>
      </c>
      <c r="V141" s="111"/>
    </row>
    <row r="142" spans="1:22" ht="15.75" thickBot="1" x14ac:dyDescent="0.3">
      <c r="A142" s="73"/>
      <c r="B142" s="79" t="s">
        <v>163</v>
      </c>
      <c r="C142" s="54">
        <v>229.10939999999999</v>
      </c>
      <c r="D142" s="54">
        <f t="shared" si="18"/>
        <v>0.10939999999999372</v>
      </c>
      <c r="E142" s="55" t="s">
        <v>48</v>
      </c>
      <c r="F142" s="74">
        <v>230.11680000000001</v>
      </c>
      <c r="G142" s="74"/>
      <c r="H142" s="58" t="s">
        <v>160</v>
      </c>
      <c r="I142" s="75">
        <v>10797958</v>
      </c>
      <c r="J142" s="76">
        <v>1299395</v>
      </c>
      <c r="K142" s="59">
        <v>0.12033710447845787</v>
      </c>
      <c r="L142" s="60">
        <f t="shared" si="19"/>
        <v>1.3370789386495319E-2</v>
      </c>
      <c r="N142" s="5">
        <f t="shared" si="22"/>
        <v>46</v>
      </c>
      <c r="O142" s="5">
        <v>9</v>
      </c>
      <c r="P142" s="30">
        <f t="shared" si="20"/>
        <v>229</v>
      </c>
      <c r="Q142" s="8">
        <f t="shared" si="21"/>
        <v>0.10939999999999372</v>
      </c>
      <c r="R142"/>
      <c r="S142" s="114">
        <f>Graphs!$M$26-L142</f>
        <v>-2.3804354169091289E-4</v>
      </c>
      <c r="T142" s="8"/>
      <c r="U142" s="8">
        <f>Graphs!$M$36-'Data summary'!L142</f>
        <v>-9.620555851650274E-4</v>
      </c>
      <c r="V142" s="111"/>
    </row>
    <row r="143" spans="1:22" ht="15.75" thickTop="1" x14ac:dyDescent="0.25">
      <c r="B143" s="11"/>
      <c r="C143" s="8"/>
      <c r="D143" s="8"/>
      <c r="E143" s="4"/>
      <c r="F143" s="15"/>
      <c r="G143" s="15"/>
      <c r="H143" s="5"/>
      <c r="I143" s="12"/>
      <c r="K143" s="19"/>
      <c r="L143" s="19"/>
      <c r="O143" s="5"/>
      <c r="P143" s="30"/>
      <c r="Q143" s="8"/>
      <c r="R143"/>
      <c r="S143"/>
      <c r="T143" s="8"/>
      <c r="U143" s="8"/>
      <c r="V143" s="111"/>
    </row>
    <row r="144" spans="1:22" ht="15.75" thickBot="1" x14ac:dyDescent="0.3">
      <c r="A144" s="7" t="s">
        <v>164</v>
      </c>
      <c r="B144" s="11"/>
      <c r="C144" s="8"/>
      <c r="D144" s="8"/>
      <c r="E144" s="4"/>
      <c r="F144" s="15"/>
      <c r="G144" s="15"/>
      <c r="H144" s="5"/>
      <c r="I144" s="5"/>
      <c r="J144" s="5"/>
      <c r="K144" s="19"/>
      <c r="L144" s="19"/>
      <c r="O144" s="5"/>
      <c r="P144" s="30"/>
      <c r="Q144" s="8"/>
      <c r="R144"/>
      <c r="S144"/>
      <c r="T144" s="8"/>
      <c r="U144" s="8"/>
      <c r="V144" s="111"/>
    </row>
    <row r="145" spans="1:22" s="3" customFormat="1" ht="42.75" customHeight="1" thickTop="1" x14ac:dyDescent="0.25">
      <c r="A145" s="37" t="s">
        <v>1</v>
      </c>
      <c r="B145" s="61" t="s">
        <v>353</v>
      </c>
      <c r="C145" s="39" t="s">
        <v>3</v>
      </c>
      <c r="D145" s="38" t="s">
        <v>4</v>
      </c>
      <c r="E145" s="38" t="s">
        <v>5</v>
      </c>
      <c r="F145" s="39" t="s">
        <v>6</v>
      </c>
      <c r="G145" s="39" t="s">
        <v>7</v>
      </c>
      <c r="H145" s="38" t="s">
        <v>8</v>
      </c>
      <c r="I145" s="38" t="s">
        <v>368</v>
      </c>
      <c r="J145" s="38" t="s">
        <v>369</v>
      </c>
      <c r="K145" s="40" t="s">
        <v>11</v>
      </c>
      <c r="L145" s="41" t="s">
        <v>12</v>
      </c>
      <c r="N145" s="18" t="s">
        <v>268</v>
      </c>
      <c r="O145" s="6" t="s">
        <v>196</v>
      </c>
      <c r="P145" s="25" t="s">
        <v>225</v>
      </c>
      <c r="Q145" s="25" t="s">
        <v>4</v>
      </c>
      <c r="R145"/>
      <c r="S145"/>
      <c r="T145" s="8"/>
      <c r="U145" s="8"/>
      <c r="V145" s="111"/>
    </row>
    <row r="146" spans="1:22" s="3" customFormat="1" ht="17.45" customHeight="1" thickBot="1" x14ac:dyDescent="0.3">
      <c r="A146" s="87"/>
      <c r="B146" s="88"/>
      <c r="C146" s="89" t="s">
        <v>366</v>
      </c>
      <c r="D146" s="90" t="s">
        <v>366</v>
      </c>
      <c r="E146" s="90"/>
      <c r="F146" s="91" t="s">
        <v>367</v>
      </c>
      <c r="G146" s="91"/>
      <c r="H146" s="90"/>
      <c r="I146" s="90"/>
      <c r="J146" s="90"/>
      <c r="K146" s="92"/>
      <c r="L146" s="93"/>
      <c r="O146" s="6"/>
      <c r="P146" s="25" t="s">
        <v>14</v>
      </c>
      <c r="Q146" s="25" t="s">
        <v>15</v>
      </c>
      <c r="R146"/>
      <c r="S146"/>
      <c r="T146" s="8"/>
      <c r="U146" s="8"/>
      <c r="V146" s="111"/>
    </row>
    <row r="147" spans="1:22" ht="15.75" thickTop="1" x14ac:dyDescent="0.25">
      <c r="A147" s="42" t="s">
        <v>187</v>
      </c>
      <c r="B147" s="85" t="s">
        <v>87</v>
      </c>
      <c r="C147" s="80">
        <v>513.96699999999998</v>
      </c>
      <c r="D147" s="44">
        <f t="shared" ref="D147:D197" si="23">Q147</f>
        <v>-3.3000000000015461E-2</v>
      </c>
      <c r="E147" s="45" t="s">
        <v>16</v>
      </c>
      <c r="F147" s="65">
        <v>512.95910000000003</v>
      </c>
      <c r="G147" s="50"/>
      <c r="H147" s="43" t="s">
        <v>181</v>
      </c>
      <c r="I147" s="66">
        <v>45858</v>
      </c>
      <c r="J147" s="66">
        <v>4126</v>
      </c>
      <c r="K147" s="47">
        <v>8.9973396135897776E-2</v>
      </c>
      <c r="L147" s="48">
        <f t="shared" ref="L147:L197" si="24">K147/O147</f>
        <v>8.997339613589778E-3</v>
      </c>
      <c r="N147">
        <v>1</v>
      </c>
      <c r="O147" s="5">
        <v>10</v>
      </c>
      <c r="P147" s="30">
        <f t="shared" ref="P147:P197" si="25">ROUND(C147,0)</f>
        <v>514</v>
      </c>
      <c r="Q147" s="8">
        <f t="shared" ref="Q147:Q197" si="26">C147-P147</f>
        <v>-3.3000000000015461E-2</v>
      </c>
      <c r="R147">
        <f>L147-Graphs!$M$27</f>
        <v>-8.7829698327165917E-4</v>
      </c>
      <c r="S147"/>
      <c r="T147" s="8">
        <f>L147-Graphs!$M$37</f>
        <v>-1.0779410783748906E-3</v>
      </c>
      <c r="U147" s="8"/>
      <c r="V147" s="111">
        <f>D147-Graphs!$N$27</f>
        <v>-5.2900000000022374E-2</v>
      </c>
    </row>
    <row r="148" spans="1:22" x14ac:dyDescent="0.25">
      <c r="A148" s="42"/>
      <c r="B148" s="85" t="s">
        <v>86</v>
      </c>
      <c r="C148" s="80">
        <v>463.97059999999999</v>
      </c>
      <c r="D148" s="44">
        <f t="shared" si="23"/>
        <v>-2.9400000000009641E-2</v>
      </c>
      <c r="E148" s="45" t="s">
        <v>16</v>
      </c>
      <c r="F148" s="65">
        <v>462.96269999999998</v>
      </c>
      <c r="G148" s="50"/>
      <c r="H148" s="43" t="s">
        <v>180</v>
      </c>
      <c r="I148" s="66">
        <v>36015</v>
      </c>
      <c r="J148" s="66">
        <v>3871</v>
      </c>
      <c r="K148" s="47">
        <v>0.10748299319727891</v>
      </c>
      <c r="L148" s="48">
        <f t="shared" si="24"/>
        <v>1.1942554799697656E-2</v>
      </c>
      <c r="N148" s="5">
        <f t="shared" ref="N148:N197" si="27">1+N147</f>
        <v>2</v>
      </c>
      <c r="O148" s="5">
        <v>9</v>
      </c>
      <c r="P148" s="30">
        <f t="shared" si="25"/>
        <v>464</v>
      </c>
      <c r="Q148" s="8">
        <f t="shared" si="26"/>
        <v>-2.9400000000009641E-2</v>
      </c>
      <c r="R148"/>
      <c r="S148"/>
      <c r="T148" s="8"/>
      <c r="U148" s="8"/>
      <c r="V148" s="116">
        <f>D148-Graphs!$N$27</f>
        <v>-4.9300000000016553E-2</v>
      </c>
    </row>
    <row r="149" spans="1:22" x14ac:dyDescent="0.25">
      <c r="A149" s="42"/>
      <c r="B149" s="85" t="s">
        <v>175</v>
      </c>
      <c r="C149" s="80">
        <v>500.94540000000001</v>
      </c>
      <c r="D149" s="44">
        <f t="shared" si="23"/>
        <v>-5.4599999999993543E-2</v>
      </c>
      <c r="E149" s="45" t="s">
        <v>16</v>
      </c>
      <c r="F149" s="65">
        <v>499.9375</v>
      </c>
      <c r="G149" s="50"/>
      <c r="H149" s="43" t="s">
        <v>188</v>
      </c>
      <c r="I149" s="66">
        <v>1450373</v>
      </c>
      <c r="J149" s="66">
        <v>127897</v>
      </c>
      <c r="K149" s="47">
        <v>8.8182143489984988E-2</v>
      </c>
      <c r="L149" s="48">
        <f t="shared" si="24"/>
        <v>1.1022767936248123E-2</v>
      </c>
      <c r="N149" s="5">
        <f t="shared" si="27"/>
        <v>3</v>
      </c>
      <c r="O149" s="5">
        <v>8</v>
      </c>
      <c r="P149" s="30">
        <f t="shared" si="25"/>
        <v>501</v>
      </c>
      <c r="Q149" s="8">
        <f t="shared" si="26"/>
        <v>-5.4599999999993543E-2</v>
      </c>
      <c r="R149"/>
      <c r="S149"/>
      <c r="T149" s="8"/>
      <c r="U149" s="8"/>
      <c r="V149" s="116">
        <f>D149-Graphs!$N$27</f>
        <v>-7.4500000000000455E-2</v>
      </c>
    </row>
    <row r="150" spans="1:22" x14ac:dyDescent="0.25">
      <c r="A150" s="42"/>
      <c r="B150" s="85" t="s">
        <v>88</v>
      </c>
      <c r="C150" s="80">
        <v>563.96404999999982</v>
      </c>
      <c r="D150" s="44">
        <f t="shared" si="23"/>
        <v>-3.5950000000184446E-2</v>
      </c>
      <c r="E150" s="45" t="s">
        <v>16</v>
      </c>
      <c r="F150" s="65">
        <v>562.95614999999987</v>
      </c>
      <c r="G150" s="50"/>
      <c r="H150" s="43" t="s">
        <v>182</v>
      </c>
      <c r="I150" s="66">
        <v>40878</v>
      </c>
      <c r="J150" s="66">
        <v>4234</v>
      </c>
      <c r="K150" s="47">
        <v>0.10357649591467293</v>
      </c>
      <c r="L150" s="48">
        <f t="shared" si="24"/>
        <v>9.4160450831520838E-3</v>
      </c>
      <c r="N150" s="5">
        <f t="shared" si="27"/>
        <v>4</v>
      </c>
      <c r="O150" s="5">
        <v>11</v>
      </c>
      <c r="P150" s="30">
        <f t="shared" si="25"/>
        <v>564</v>
      </c>
      <c r="Q150" s="8">
        <f t="shared" si="26"/>
        <v>-3.5950000000184446E-2</v>
      </c>
      <c r="R150">
        <f>L150-Graphs!$M$27</f>
        <v>-4.5959151370935335E-4</v>
      </c>
      <c r="S150"/>
      <c r="T150" s="8">
        <f>L150-Graphs!$M$37</f>
        <v>-6.5923560881258475E-4</v>
      </c>
      <c r="U150" s="8"/>
      <c r="V150" s="111">
        <f>D150-Graphs!$N$27</f>
        <v>-5.5850000000191358E-2</v>
      </c>
    </row>
    <row r="151" spans="1:22" x14ac:dyDescent="0.25">
      <c r="A151" s="42" t="s">
        <v>189</v>
      </c>
      <c r="B151" s="85" t="s">
        <v>87</v>
      </c>
      <c r="C151" s="80">
        <v>513.9674</v>
      </c>
      <c r="D151" s="44">
        <f t="shared" si="23"/>
        <v>-3.2600000000002183E-2</v>
      </c>
      <c r="E151" s="45" t="s">
        <v>16</v>
      </c>
      <c r="F151" s="65">
        <v>512.95950000000005</v>
      </c>
      <c r="G151" s="50"/>
      <c r="H151" s="43" t="s">
        <v>181</v>
      </c>
      <c r="I151" s="66">
        <v>73000</v>
      </c>
      <c r="J151" s="66">
        <v>7194</v>
      </c>
      <c r="K151" s="47">
        <v>9.8547945205479451E-2</v>
      </c>
      <c r="L151" s="48">
        <f t="shared" si="24"/>
        <v>9.8547945205479451E-3</v>
      </c>
      <c r="N151" s="5">
        <f t="shared" si="27"/>
        <v>5</v>
      </c>
      <c r="O151" s="5">
        <v>10</v>
      </c>
      <c r="P151" s="30">
        <f t="shared" si="25"/>
        <v>514</v>
      </c>
      <c r="Q151" s="8">
        <f t="shared" si="26"/>
        <v>-3.2600000000002183E-2</v>
      </c>
      <c r="R151">
        <f>L151-Graphs!$M$27</f>
        <v>-2.0842076313492067E-5</v>
      </c>
      <c r="S151"/>
      <c r="T151" s="8">
        <f>L151-Graphs!$M$37</f>
        <v>-2.2048617141672347E-4</v>
      </c>
      <c r="U151" s="8"/>
      <c r="V151" s="111">
        <f>D151-Graphs!$N$27</f>
        <v>-5.2500000000009095E-2</v>
      </c>
    </row>
    <row r="152" spans="1:22" x14ac:dyDescent="0.25">
      <c r="A152" s="42"/>
      <c r="B152" s="85" t="s">
        <v>175</v>
      </c>
      <c r="C152" s="80">
        <v>499.93740000000003</v>
      </c>
      <c r="D152" s="44">
        <f t="shared" si="23"/>
        <v>-6.2599999999974898E-2</v>
      </c>
      <c r="E152" s="45" t="s">
        <v>16</v>
      </c>
      <c r="F152" s="65">
        <v>498.92950000000002</v>
      </c>
      <c r="G152" s="50"/>
      <c r="H152" s="43" t="s">
        <v>188</v>
      </c>
      <c r="I152" s="66">
        <v>2836438</v>
      </c>
      <c r="J152" s="66">
        <v>244432</v>
      </c>
      <c r="K152" s="47">
        <v>8.6175689368144126E-2</v>
      </c>
      <c r="L152" s="48">
        <f t="shared" si="24"/>
        <v>1.0771961171018016E-2</v>
      </c>
      <c r="N152" s="5">
        <f t="shared" si="27"/>
        <v>6</v>
      </c>
      <c r="O152" s="5">
        <v>8</v>
      </c>
      <c r="P152" s="30">
        <f t="shared" si="25"/>
        <v>500</v>
      </c>
      <c r="Q152" s="8">
        <f t="shared" si="26"/>
        <v>-6.2599999999974898E-2</v>
      </c>
      <c r="R152"/>
      <c r="S152"/>
      <c r="T152" s="8"/>
      <c r="U152" s="8"/>
      <c r="V152" s="116">
        <f>D152-Graphs!$N$27</f>
        <v>-8.249999999998181E-2</v>
      </c>
    </row>
    <row r="153" spans="1:22" x14ac:dyDescent="0.25">
      <c r="A153" s="42"/>
      <c r="B153" s="85" t="s">
        <v>85</v>
      </c>
      <c r="C153" s="80">
        <v>413.9726</v>
      </c>
      <c r="D153" s="44">
        <f t="shared" si="23"/>
        <v>-2.7400000000000091E-2</v>
      </c>
      <c r="E153" s="45" t="s">
        <v>16</v>
      </c>
      <c r="F153" s="65">
        <v>412.96469999999999</v>
      </c>
      <c r="G153" s="50"/>
      <c r="H153" s="43" t="s">
        <v>179</v>
      </c>
      <c r="I153" s="66">
        <v>64007</v>
      </c>
      <c r="J153" s="66">
        <v>5425</v>
      </c>
      <c r="K153" s="47">
        <v>8.4756354773696627E-2</v>
      </c>
      <c r="L153" s="48">
        <f t="shared" si="24"/>
        <v>1.0594544346712078E-2</v>
      </c>
      <c r="N153" s="5">
        <f t="shared" si="27"/>
        <v>7</v>
      </c>
      <c r="O153" s="5">
        <v>8</v>
      </c>
      <c r="P153" s="30">
        <f t="shared" si="25"/>
        <v>414</v>
      </c>
      <c r="Q153" s="8">
        <f t="shared" si="26"/>
        <v>-2.7400000000000091E-2</v>
      </c>
      <c r="R153"/>
      <c r="S153"/>
      <c r="T153" s="8"/>
      <c r="U153" s="8"/>
      <c r="V153" s="116">
        <f>D153-Graphs!$N$27</f>
        <v>-4.7300000000007003E-2</v>
      </c>
    </row>
    <row r="154" spans="1:22" x14ac:dyDescent="0.25">
      <c r="A154" s="42" t="s">
        <v>190</v>
      </c>
      <c r="B154" s="85" t="s">
        <v>87</v>
      </c>
      <c r="C154" s="80">
        <v>513.96759999999995</v>
      </c>
      <c r="D154" s="44">
        <f t="shared" si="23"/>
        <v>-3.2400000000052387E-2</v>
      </c>
      <c r="E154" s="45" t="s">
        <v>16</v>
      </c>
      <c r="F154" s="65">
        <v>512.9597</v>
      </c>
      <c r="G154" s="50"/>
      <c r="H154" s="43" t="s">
        <v>181</v>
      </c>
      <c r="I154" s="66">
        <v>702700</v>
      </c>
      <c r="J154" s="66">
        <v>76007</v>
      </c>
      <c r="K154" s="47">
        <v>0.10816422370855272</v>
      </c>
      <c r="L154" s="48">
        <f t="shared" si="24"/>
        <v>1.0816422370855273E-2</v>
      </c>
      <c r="N154" s="5">
        <f t="shared" si="27"/>
        <v>8</v>
      </c>
      <c r="O154" s="5">
        <v>10</v>
      </c>
      <c r="P154" s="30">
        <f t="shared" si="25"/>
        <v>514</v>
      </c>
      <c r="Q154" s="8">
        <f t="shared" si="26"/>
        <v>-3.2400000000052387E-2</v>
      </c>
      <c r="R154"/>
      <c r="S154"/>
      <c r="T154" s="8"/>
      <c r="U154" s="8"/>
      <c r="V154" s="116">
        <f>D154-Graphs!$N$27</f>
        <v>-5.2300000000059299E-2</v>
      </c>
    </row>
    <row r="155" spans="1:22" x14ac:dyDescent="0.25">
      <c r="A155" s="42"/>
      <c r="B155" s="85" t="s">
        <v>89</v>
      </c>
      <c r="C155" s="80">
        <v>613.96109999999999</v>
      </c>
      <c r="D155" s="44">
        <f t="shared" si="23"/>
        <v>-3.8900000000012369E-2</v>
      </c>
      <c r="E155" s="45" t="s">
        <v>16</v>
      </c>
      <c r="F155" s="65">
        <v>612.95320000000004</v>
      </c>
      <c r="G155" s="50"/>
      <c r="H155" s="43" t="s">
        <v>183</v>
      </c>
      <c r="I155" s="66">
        <v>274731</v>
      </c>
      <c r="J155" s="66">
        <v>39942</v>
      </c>
      <c r="K155" s="47">
        <v>0.1453858501588827</v>
      </c>
      <c r="L155" s="48">
        <f t="shared" si="24"/>
        <v>1.2115487513240224E-2</v>
      </c>
      <c r="N155" s="5">
        <f t="shared" si="27"/>
        <v>9</v>
      </c>
      <c r="O155" s="5">
        <v>12</v>
      </c>
      <c r="P155" s="30">
        <f t="shared" si="25"/>
        <v>614</v>
      </c>
      <c r="Q155" s="8">
        <f t="shared" si="26"/>
        <v>-3.8900000000012369E-2</v>
      </c>
      <c r="R155"/>
      <c r="S155"/>
      <c r="T155" s="8"/>
      <c r="U155" s="8"/>
      <c r="V155" s="116">
        <f>D155-Graphs!$N$27</f>
        <v>-5.8800000000019281E-2</v>
      </c>
    </row>
    <row r="156" spans="1:22" x14ac:dyDescent="0.25">
      <c r="A156" s="42"/>
      <c r="B156" s="85" t="s">
        <v>86</v>
      </c>
      <c r="C156" s="80">
        <v>464.9742</v>
      </c>
      <c r="D156" s="44">
        <f t="shared" si="23"/>
        <v>-2.580000000000382E-2</v>
      </c>
      <c r="E156" s="45" t="s">
        <v>16</v>
      </c>
      <c r="F156" s="65">
        <v>463.96629999999999</v>
      </c>
      <c r="G156" s="50"/>
      <c r="H156" s="43" t="s">
        <v>180</v>
      </c>
      <c r="I156" s="66">
        <v>112191</v>
      </c>
      <c r="J156" s="66">
        <v>12134</v>
      </c>
      <c r="K156" s="47">
        <v>0.10815484308010447</v>
      </c>
      <c r="L156" s="48">
        <f t="shared" si="24"/>
        <v>1.2017204786678275E-2</v>
      </c>
      <c r="N156" s="5">
        <f t="shared" si="27"/>
        <v>10</v>
      </c>
      <c r="O156" s="5">
        <v>9</v>
      </c>
      <c r="P156" s="30">
        <f t="shared" si="25"/>
        <v>465</v>
      </c>
      <c r="Q156" s="8">
        <f t="shared" si="26"/>
        <v>-2.580000000000382E-2</v>
      </c>
      <c r="R156"/>
      <c r="S156"/>
      <c r="T156" s="8"/>
      <c r="U156" s="8"/>
      <c r="V156" s="116">
        <f>D156-Graphs!$N$27</f>
        <v>-4.5700000000010732E-2</v>
      </c>
    </row>
    <row r="157" spans="1:22" x14ac:dyDescent="0.25">
      <c r="A157" s="42"/>
      <c r="B157" s="85" t="s">
        <v>85</v>
      </c>
      <c r="C157" s="80">
        <v>413.9744</v>
      </c>
      <c r="D157" s="44">
        <f t="shared" si="23"/>
        <v>-2.5599999999997181E-2</v>
      </c>
      <c r="E157" s="45" t="s">
        <v>16</v>
      </c>
      <c r="F157" s="65">
        <v>412.9665</v>
      </c>
      <c r="G157" s="50"/>
      <c r="H157" s="43" t="s">
        <v>179</v>
      </c>
      <c r="I157" s="66">
        <v>262765</v>
      </c>
      <c r="J157" s="66">
        <v>25364</v>
      </c>
      <c r="K157" s="47">
        <v>9.6527315281715598E-2</v>
      </c>
      <c r="L157" s="48">
        <f t="shared" si="24"/>
        <v>1.206591441021445E-2</v>
      </c>
      <c r="N157" s="5">
        <f t="shared" si="27"/>
        <v>11</v>
      </c>
      <c r="O157" s="5">
        <v>8</v>
      </c>
      <c r="P157" s="30">
        <f t="shared" si="25"/>
        <v>414</v>
      </c>
      <c r="Q157" s="8">
        <f t="shared" si="26"/>
        <v>-2.5599999999997181E-2</v>
      </c>
      <c r="R157"/>
      <c r="S157"/>
      <c r="T157" s="8"/>
      <c r="U157" s="8"/>
      <c r="V157" s="116">
        <f>D157-Graphs!$N$27</f>
        <v>-4.5500000000004093E-2</v>
      </c>
    </row>
    <row r="158" spans="1:22" x14ac:dyDescent="0.25">
      <c r="A158" s="42"/>
      <c r="B158" s="85" t="s">
        <v>88</v>
      </c>
      <c r="C158" s="80">
        <v>563.96489999999994</v>
      </c>
      <c r="D158" s="44">
        <f t="shared" si="23"/>
        <v>-3.5100000000056752E-2</v>
      </c>
      <c r="E158" s="45" t="s">
        <v>16</v>
      </c>
      <c r="F158" s="65">
        <v>562.95699999999999</v>
      </c>
      <c r="G158" s="50"/>
      <c r="H158" s="43" t="s">
        <v>182</v>
      </c>
      <c r="I158" s="66">
        <v>184208</v>
      </c>
      <c r="J158" s="66">
        <v>23652</v>
      </c>
      <c r="K158" s="47">
        <v>0.1283983323199861</v>
      </c>
      <c r="L158" s="48">
        <f t="shared" si="24"/>
        <v>1.1672575665453282E-2</v>
      </c>
      <c r="N158" s="5">
        <f t="shared" si="27"/>
        <v>12</v>
      </c>
      <c r="O158" s="5">
        <v>11</v>
      </c>
      <c r="P158" s="30">
        <f t="shared" si="25"/>
        <v>564</v>
      </c>
      <c r="Q158" s="8">
        <f t="shared" si="26"/>
        <v>-3.5100000000056752E-2</v>
      </c>
      <c r="R158"/>
      <c r="S158"/>
      <c r="T158" s="8"/>
      <c r="U158" s="8"/>
      <c r="V158" s="116">
        <f>D158-Graphs!$N$27</f>
        <v>-5.5000000000063665E-2</v>
      </c>
    </row>
    <row r="159" spans="1:22" x14ac:dyDescent="0.25">
      <c r="A159" s="42" t="s">
        <v>191</v>
      </c>
      <c r="B159" s="62" t="s">
        <v>87</v>
      </c>
      <c r="C159" s="81">
        <v>513.96799999999996</v>
      </c>
      <c r="D159" s="44">
        <f t="shared" si="23"/>
        <v>-3.2000000000039108E-2</v>
      </c>
      <c r="E159" s="45" t="s">
        <v>16</v>
      </c>
      <c r="F159" s="46">
        <v>512.96010000000001</v>
      </c>
      <c r="G159" s="46"/>
      <c r="H159" s="66" t="s">
        <v>181</v>
      </c>
      <c r="I159" s="43">
        <v>703650</v>
      </c>
      <c r="J159" s="43">
        <v>80050</v>
      </c>
      <c r="K159" s="47">
        <v>0.11376394514318199</v>
      </c>
      <c r="L159" s="48">
        <f t="shared" si="24"/>
        <v>1.1376394514318199E-2</v>
      </c>
      <c r="M159" s="5"/>
      <c r="N159" s="5">
        <f t="shared" si="27"/>
        <v>13</v>
      </c>
      <c r="O159" s="9">
        <v>10</v>
      </c>
      <c r="P159" s="30">
        <f t="shared" si="25"/>
        <v>514</v>
      </c>
      <c r="Q159" s="8">
        <f t="shared" si="26"/>
        <v>-3.2000000000039108E-2</v>
      </c>
      <c r="R159"/>
      <c r="S159"/>
      <c r="T159" s="8"/>
      <c r="U159" s="8"/>
      <c r="V159" s="116">
        <f>D159-Graphs!$N$27</f>
        <v>-5.190000000004602E-2</v>
      </c>
    </row>
    <row r="160" spans="1:22" x14ac:dyDescent="0.25">
      <c r="A160" s="42"/>
      <c r="B160" s="62" t="s">
        <v>89</v>
      </c>
      <c r="C160" s="81">
        <v>613.96159999999998</v>
      </c>
      <c r="D160" s="44">
        <f t="shared" si="23"/>
        <v>-3.8400000000024193E-2</v>
      </c>
      <c r="E160" s="45" t="s">
        <v>16</v>
      </c>
      <c r="F160" s="46">
        <v>612.95370000000003</v>
      </c>
      <c r="G160" s="46"/>
      <c r="H160" s="66" t="s">
        <v>183</v>
      </c>
      <c r="I160" s="43">
        <v>978652</v>
      </c>
      <c r="J160" s="43">
        <v>70482</v>
      </c>
      <c r="K160" s="47">
        <v>7.2019471681455713E-2</v>
      </c>
      <c r="L160" s="48">
        <f t="shared" si="24"/>
        <v>6.0016226401213091E-3</v>
      </c>
      <c r="M160" s="5"/>
      <c r="N160" s="5">
        <f t="shared" si="27"/>
        <v>14</v>
      </c>
      <c r="O160" s="9">
        <v>12</v>
      </c>
      <c r="P160" s="30">
        <f t="shared" si="25"/>
        <v>614</v>
      </c>
      <c r="Q160" s="8">
        <f t="shared" si="26"/>
        <v>-3.8400000000024193E-2</v>
      </c>
      <c r="R160">
        <f>L160-Graphs!$M$27</f>
        <v>-3.874013956740128E-3</v>
      </c>
      <c r="S160"/>
      <c r="T160" s="8">
        <f>L160-Graphs!$M$37</f>
        <v>-4.0736580518433594E-3</v>
      </c>
      <c r="U160" s="8"/>
      <c r="V160" s="111">
        <f>D160-Graphs!$N$27</f>
        <v>-5.8300000000031105E-2</v>
      </c>
    </row>
    <row r="161" spans="1:23" x14ac:dyDescent="0.25">
      <c r="A161" s="67"/>
      <c r="B161" s="62" t="s">
        <v>85</v>
      </c>
      <c r="C161" s="81">
        <v>413.97379999999998</v>
      </c>
      <c r="D161" s="44">
        <f t="shared" si="23"/>
        <v>-2.6200000000017099E-2</v>
      </c>
      <c r="E161" s="45" t="s">
        <v>16</v>
      </c>
      <c r="F161" s="46">
        <v>412.96589999999998</v>
      </c>
      <c r="G161" s="46"/>
      <c r="H161" s="66" t="s">
        <v>179</v>
      </c>
      <c r="I161" s="43">
        <v>240149</v>
      </c>
      <c r="J161" s="43">
        <v>17533</v>
      </c>
      <c r="K161" s="47">
        <v>7.3008840344952503E-2</v>
      </c>
      <c r="L161" s="48">
        <f t="shared" si="24"/>
        <v>9.1261050431190628E-3</v>
      </c>
      <c r="M161" s="5"/>
      <c r="N161" s="5">
        <f t="shared" si="27"/>
        <v>15</v>
      </c>
      <c r="O161" s="9">
        <v>8</v>
      </c>
      <c r="P161" s="30">
        <f t="shared" si="25"/>
        <v>414</v>
      </c>
      <c r="Q161" s="8">
        <f t="shared" si="26"/>
        <v>-2.6200000000017099E-2</v>
      </c>
      <c r="R161">
        <f>L161-Graphs!$M$27</f>
        <v>-7.4953155374237433E-4</v>
      </c>
      <c r="S161"/>
      <c r="T161" s="8">
        <f>L161-Graphs!$M$37</f>
        <v>-9.4917564884560574E-4</v>
      </c>
      <c r="U161" s="8"/>
      <c r="V161" s="111">
        <f>D161-Graphs!$N$27</f>
        <v>-4.6100000000024011E-2</v>
      </c>
    </row>
    <row r="162" spans="1:23" x14ac:dyDescent="0.25">
      <c r="A162" s="42"/>
      <c r="B162" s="62" t="s">
        <v>176</v>
      </c>
      <c r="C162" s="81">
        <v>663.95889999999997</v>
      </c>
      <c r="D162" s="44">
        <f t="shared" si="23"/>
        <v>-4.1100000000028558E-2</v>
      </c>
      <c r="E162" s="45" t="s">
        <v>16</v>
      </c>
      <c r="F162" s="46">
        <v>662.95100000000002</v>
      </c>
      <c r="G162" s="46"/>
      <c r="H162" s="66" t="s">
        <v>184</v>
      </c>
      <c r="I162" s="43">
        <v>165971</v>
      </c>
      <c r="J162" s="43">
        <v>21887</v>
      </c>
      <c r="K162" s="47">
        <v>0.13187243554596886</v>
      </c>
      <c r="L162" s="48">
        <f t="shared" si="24"/>
        <v>1.0144033503536067E-2</v>
      </c>
      <c r="M162" s="5"/>
      <c r="N162" s="5">
        <f t="shared" si="27"/>
        <v>16</v>
      </c>
      <c r="O162" s="9">
        <v>13</v>
      </c>
      <c r="P162" s="30">
        <f t="shared" si="25"/>
        <v>664</v>
      </c>
      <c r="Q162" s="8">
        <f t="shared" si="26"/>
        <v>-4.1100000000028558E-2</v>
      </c>
      <c r="R162"/>
      <c r="S162"/>
      <c r="T162" s="8"/>
      <c r="U162" s="8"/>
      <c r="V162" s="116">
        <f>D162-Graphs!$N$27</f>
        <v>-6.100000000003547E-2</v>
      </c>
    </row>
    <row r="163" spans="1:23" x14ac:dyDescent="0.25">
      <c r="A163" s="42"/>
      <c r="B163" s="62" t="s">
        <v>88</v>
      </c>
      <c r="C163" s="81">
        <v>563.96429999999998</v>
      </c>
      <c r="D163" s="44">
        <f t="shared" si="23"/>
        <v>-3.5700000000019827E-2</v>
      </c>
      <c r="E163" s="45" t="s">
        <v>16</v>
      </c>
      <c r="F163" s="46">
        <v>562.95640000000003</v>
      </c>
      <c r="G163" s="46"/>
      <c r="H163" s="66" t="s">
        <v>182</v>
      </c>
      <c r="I163" s="43">
        <v>233651</v>
      </c>
      <c r="J163" s="43">
        <v>27237</v>
      </c>
      <c r="K163" s="47">
        <v>0.11657129650632782</v>
      </c>
      <c r="L163" s="48">
        <f t="shared" si="24"/>
        <v>1.0597390591484348E-2</v>
      </c>
      <c r="M163" s="5"/>
      <c r="N163" s="5">
        <f t="shared" si="27"/>
        <v>17</v>
      </c>
      <c r="O163" s="9">
        <v>11</v>
      </c>
      <c r="P163" s="30">
        <f t="shared" si="25"/>
        <v>564</v>
      </c>
      <c r="Q163" s="8">
        <f t="shared" si="26"/>
        <v>-3.5700000000019827E-2</v>
      </c>
      <c r="R163"/>
      <c r="S163"/>
      <c r="T163" s="8"/>
      <c r="U163" s="8"/>
      <c r="V163" s="116">
        <f>D163-Graphs!$N$27</f>
        <v>-5.5600000000026739E-2</v>
      </c>
    </row>
    <row r="164" spans="1:23" x14ac:dyDescent="0.25">
      <c r="A164" s="67" t="s">
        <v>372</v>
      </c>
      <c r="B164" s="62" t="s">
        <v>373</v>
      </c>
      <c r="C164" s="81">
        <v>191.15214499999999</v>
      </c>
      <c r="D164" s="44">
        <f t="shared" si="23"/>
        <v>0.1521449999999902</v>
      </c>
      <c r="E164" s="45" t="s">
        <v>48</v>
      </c>
      <c r="F164" s="46">
        <v>192.15979999999999</v>
      </c>
      <c r="G164" s="46"/>
      <c r="H164" s="66" t="s">
        <v>374</v>
      </c>
      <c r="I164" s="43">
        <v>212929</v>
      </c>
      <c r="J164" s="43">
        <v>20641</v>
      </c>
      <c r="K164" s="47">
        <f>+J164/I164</f>
        <v>9.69384160917489E-2</v>
      </c>
      <c r="L164" s="48">
        <f t="shared" ref="L164:L169" si="28">K164/O164</f>
        <v>1.0770935121305433E-2</v>
      </c>
      <c r="M164" s="5"/>
      <c r="N164" s="5">
        <f t="shared" si="27"/>
        <v>18</v>
      </c>
      <c r="O164" s="9">
        <v>9</v>
      </c>
      <c r="P164" s="30">
        <f t="shared" ref="P164:P181" si="29">ROUND(C164,0)</f>
        <v>191</v>
      </c>
      <c r="Q164" s="8">
        <f t="shared" ref="Q164:Q181" si="30">C164-P164</f>
        <v>0.1521449999999902</v>
      </c>
      <c r="R164"/>
      <c r="S164"/>
      <c r="T164" s="8"/>
      <c r="U164" s="8"/>
      <c r="V164" s="111"/>
    </row>
    <row r="165" spans="1:23" x14ac:dyDescent="0.25">
      <c r="A165" s="67" t="s">
        <v>214</v>
      </c>
      <c r="B165" s="62" t="s">
        <v>375</v>
      </c>
      <c r="C165" s="81">
        <v>172.07355999999999</v>
      </c>
      <c r="D165" s="44">
        <f t="shared" si="23"/>
        <v>7.3559999999986303E-2</v>
      </c>
      <c r="E165" s="45" t="s">
        <v>48</v>
      </c>
      <c r="F165" s="46">
        <v>173.080602157274</v>
      </c>
      <c r="G165" s="46"/>
      <c r="H165" s="66" t="s">
        <v>376</v>
      </c>
      <c r="I165" s="43">
        <v>740954</v>
      </c>
      <c r="J165" s="43">
        <v>57986</v>
      </c>
      <c r="K165" s="47">
        <f>J165/I165</f>
        <v>7.8258569357881863E-2</v>
      </c>
      <c r="L165" s="48">
        <f t="shared" si="28"/>
        <v>9.7823211697352329E-3</v>
      </c>
      <c r="M165" s="5"/>
      <c r="N165" s="5">
        <f t="shared" si="27"/>
        <v>19</v>
      </c>
      <c r="O165" s="9">
        <v>8</v>
      </c>
      <c r="P165" s="30">
        <f t="shared" si="29"/>
        <v>172</v>
      </c>
      <c r="Q165" s="8">
        <f t="shared" si="30"/>
        <v>7.3559999999986303E-2</v>
      </c>
      <c r="R165" s="114">
        <f>L165-Graphs!$M$27</f>
        <v>-9.3315427126204262E-5</v>
      </c>
      <c r="S165"/>
      <c r="T165" s="8">
        <f>L165-Graphs!$M$37</f>
        <v>-2.9295952222943566E-4</v>
      </c>
      <c r="U165" s="8"/>
      <c r="V165" s="111"/>
    </row>
    <row r="166" spans="1:23" x14ac:dyDescent="0.25">
      <c r="A166" s="67"/>
      <c r="B166" s="62" t="s">
        <v>169</v>
      </c>
      <c r="C166" s="81">
        <v>145.05276385299999</v>
      </c>
      <c r="D166" s="44">
        <f t="shared" si="23"/>
        <v>5.2763852999987648E-2</v>
      </c>
      <c r="E166" s="45" t="s">
        <v>48</v>
      </c>
      <c r="F166" s="46">
        <v>146.05969654563401</v>
      </c>
      <c r="G166" s="46"/>
      <c r="H166" s="66" t="s">
        <v>170</v>
      </c>
      <c r="I166" s="43">
        <v>296001</v>
      </c>
      <c r="J166" s="43">
        <v>21759</v>
      </c>
      <c r="K166" s="47">
        <f>J166/I166</f>
        <v>7.3509886790923004E-2</v>
      </c>
      <c r="L166" s="48">
        <f t="shared" si="28"/>
        <v>8.1677651989914453E-3</v>
      </c>
      <c r="M166" s="5"/>
      <c r="N166" s="5">
        <f t="shared" si="27"/>
        <v>20</v>
      </c>
      <c r="O166" s="9">
        <v>9</v>
      </c>
      <c r="P166" s="30">
        <f t="shared" si="29"/>
        <v>145</v>
      </c>
      <c r="Q166" s="8">
        <f t="shared" si="30"/>
        <v>5.2763852999987648E-2</v>
      </c>
      <c r="R166" s="114">
        <f>L166-Graphs!$M$27</f>
        <v>-1.7078713978699919E-3</v>
      </c>
      <c r="S166"/>
      <c r="T166" s="8">
        <f>L166-Graphs!$M$37</f>
        <v>-1.9075154929732233E-3</v>
      </c>
      <c r="U166" s="8"/>
      <c r="V166" s="111"/>
    </row>
    <row r="167" spans="1:23" x14ac:dyDescent="0.25">
      <c r="A167" s="67"/>
      <c r="B167" s="62" t="s">
        <v>380</v>
      </c>
      <c r="C167" s="81">
        <v>427.88391000000001</v>
      </c>
      <c r="D167" s="44">
        <f t="shared" si="23"/>
        <v>-0.11608999999998559</v>
      </c>
      <c r="E167" s="45" t="s">
        <v>48</v>
      </c>
      <c r="F167" s="46">
        <v>428.89260000000002</v>
      </c>
      <c r="G167" s="46"/>
      <c r="H167" s="66" t="s">
        <v>377</v>
      </c>
      <c r="I167" s="43">
        <v>1382639</v>
      </c>
      <c r="J167" s="43">
        <v>124828</v>
      </c>
      <c r="K167" s="47">
        <f>+J167/I167</f>
        <v>9.0282423683984037E-2</v>
      </c>
      <c r="L167" s="48">
        <f t="shared" si="28"/>
        <v>1.0031380409331559E-2</v>
      </c>
      <c r="M167" s="5"/>
      <c r="N167" s="5">
        <f t="shared" si="27"/>
        <v>21</v>
      </c>
      <c r="O167" s="9">
        <v>9</v>
      </c>
      <c r="P167" s="30">
        <f t="shared" si="29"/>
        <v>428</v>
      </c>
      <c r="Q167" s="8">
        <f t="shared" si="30"/>
        <v>-0.11608999999998559</v>
      </c>
      <c r="R167"/>
      <c r="S167"/>
      <c r="T167" s="115">
        <f>L167-Graphs!$M$37</f>
        <v>-4.3900282633109119E-5</v>
      </c>
      <c r="U167" s="8"/>
      <c r="V167" s="116">
        <f>D167-Graphs!$N$27</f>
        <v>-0.13598999999999251</v>
      </c>
    </row>
    <row r="168" spans="1:23" x14ac:dyDescent="0.25">
      <c r="A168" s="67" t="s">
        <v>220</v>
      </c>
      <c r="B168" s="62" t="s">
        <v>173</v>
      </c>
      <c r="C168" s="81">
        <v>191.13101417199999</v>
      </c>
      <c r="D168" s="44">
        <f t="shared" si="23"/>
        <v>0.13101417199999332</v>
      </c>
      <c r="E168" s="45" t="s">
        <v>48</v>
      </c>
      <c r="F168" s="46">
        <v>192.13829999999999</v>
      </c>
      <c r="G168" s="46"/>
      <c r="H168" s="66" t="s">
        <v>174</v>
      </c>
      <c r="I168" s="43">
        <v>2773843</v>
      </c>
      <c r="J168" s="43">
        <v>324694</v>
      </c>
      <c r="K168" s="47">
        <f>+J168/I168</f>
        <v>0.11705565167170601</v>
      </c>
      <c r="L168" s="48">
        <f t="shared" si="28"/>
        <v>9.7546376393088333E-3</v>
      </c>
      <c r="M168" s="5"/>
      <c r="N168" s="5">
        <f t="shared" si="27"/>
        <v>22</v>
      </c>
      <c r="O168" s="9">
        <v>12</v>
      </c>
      <c r="P168" s="30">
        <f t="shared" si="29"/>
        <v>191</v>
      </c>
      <c r="Q168" s="8">
        <f t="shared" si="30"/>
        <v>0.13101417199999332</v>
      </c>
      <c r="R168" s="114">
        <f>L168-Graphs!$M$27</f>
        <v>-1.2099895755260381E-4</v>
      </c>
      <c r="S168"/>
      <c r="T168" s="8">
        <f>L168-Graphs!$M$37</f>
        <v>-3.2064305265583522E-4</v>
      </c>
      <c r="U168" s="8"/>
      <c r="V168" s="111"/>
    </row>
    <row r="169" spans="1:23" x14ac:dyDescent="0.25">
      <c r="A169" s="67"/>
      <c r="B169" s="62" t="s">
        <v>380</v>
      </c>
      <c r="C169" s="81">
        <v>427.88391000000001</v>
      </c>
      <c r="D169" s="44">
        <f t="shared" si="23"/>
        <v>-0.11608999999998559</v>
      </c>
      <c r="E169" s="45" t="s">
        <v>48</v>
      </c>
      <c r="F169" s="46">
        <v>428.89260000000002</v>
      </c>
      <c r="G169" s="46"/>
      <c r="H169" s="66" t="s">
        <v>377</v>
      </c>
      <c r="I169" s="43">
        <v>448392</v>
      </c>
      <c r="J169" s="43">
        <v>40674</v>
      </c>
      <c r="K169" s="47">
        <f>+J169/I169</f>
        <v>9.0710806615639891E-2</v>
      </c>
      <c r="L169" s="48">
        <f t="shared" si="28"/>
        <v>1.0078978512848877E-2</v>
      </c>
      <c r="M169" s="5"/>
      <c r="N169" s="5">
        <f t="shared" si="27"/>
        <v>23</v>
      </c>
      <c r="O169" s="9">
        <v>9</v>
      </c>
      <c r="P169" s="30">
        <f t="shared" si="29"/>
        <v>428</v>
      </c>
      <c r="Q169" s="8">
        <f t="shared" si="30"/>
        <v>-0.11608999999998559</v>
      </c>
      <c r="R169"/>
      <c r="S169"/>
      <c r="T169" s="8"/>
      <c r="U169" s="8"/>
      <c r="V169" s="116">
        <f>D169-Graphs!$N$27</f>
        <v>-0.13598999999999251</v>
      </c>
    </row>
    <row r="170" spans="1:23" x14ac:dyDescent="0.25">
      <c r="A170" s="67" t="s">
        <v>215</v>
      </c>
      <c r="B170" s="62" t="s">
        <v>169</v>
      </c>
      <c r="C170" s="81">
        <v>145.05187717838399</v>
      </c>
      <c r="D170" s="44">
        <f t="shared" si="23"/>
        <v>5.1877178383989531E-2</v>
      </c>
      <c r="E170" s="45" t="s">
        <v>48</v>
      </c>
      <c r="F170" s="46">
        <v>146.059777178384</v>
      </c>
      <c r="G170" s="46"/>
      <c r="H170" s="66" t="s">
        <v>170</v>
      </c>
      <c r="I170" s="43">
        <v>276303</v>
      </c>
      <c r="J170" s="43">
        <v>26988</v>
      </c>
      <c r="K170" s="47">
        <v>9.7675378117501432E-2</v>
      </c>
      <c r="L170" s="48">
        <f t="shared" si="24"/>
        <v>1.0852819790833492E-2</v>
      </c>
      <c r="M170" s="5"/>
      <c r="N170" s="5">
        <f t="shared" si="27"/>
        <v>24</v>
      </c>
      <c r="O170" s="9">
        <v>9</v>
      </c>
      <c r="P170" s="30">
        <f t="shared" si="29"/>
        <v>145</v>
      </c>
      <c r="Q170" s="8">
        <f t="shared" si="30"/>
        <v>5.1877178383989531E-2</v>
      </c>
      <c r="R170"/>
      <c r="S170"/>
      <c r="T170" s="8"/>
      <c r="U170" s="8"/>
      <c r="V170" s="111"/>
      <c r="W170" t="s">
        <v>315</v>
      </c>
    </row>
    <row r="171" spans="1:23" x14ac:dyDescent="0.25">
      <c r="A171" s="67" t="s">
        <v>221</v>
      </c>
      <c r="B171" s="62" t="s">
        <v>128</v>
      </c>
      <c r="C171" s="81">
        <v>361.20417911329997</v>
      </c>
      <c r="D171" s="44">
        <f t="shared" si="23"/>
        <v>0.20417911329997196</v>
      </c>
      <c r="E171" s="45" t="s">
        <v>48</v>
      </c>
      <c r="F171" s="46">
        <v>362.21230000000003</v>
      </c>
      <c r="G171" s="46"/>
      <c r="H171" s="66" t="s">
        <v>129</v>
      </c>
      <c r="I171" s="43">
        <v>166759</v>
      </c>
      <c r="J171" s="43">
        <v>46075</v>
      </c>
      <c r="K171" s="47">
        <v>0.27629693149994905</v>
      </c>
      <c r="L171" s="48">
        <f t="shared" si="24"/>
        <v>1.151237214583121E-2</v>
      </c>
      <c r="M171" s="5"/>
      <c r="N171" s="5">
        <f t="shared" si="27"/>
        <v>25</v>
      </c>
      <c r="O171" s="9">
        <v>24</v>
      </c>
      <c r="P171" s="30">
        <f t="shared" si="29"/>
        <v>361</v>
      </c>
      <c r="Q171" s="8">
        <f t="shared" si="30"/>
        <v>0.20417911329997196</v>
      </c>
      <c r="R171"/>
      <c r="S171"/>
      <c r="T171" s="8"/>
      <c r="U171" s="8"/>
      <c r="V171" s="111"/>
      <c r="W171" t="s">
        <v>314</v>
      </c>
    </row>
    <row r="172" spans="1:23" x14ac:dyDescent="0.25">
      <c r="A172" s="67"/>
      <c r="B172" s="62" t="s">
        <v>373</v>
      </c>
      <c r="C172" s="81">
        <v>191.15214499999999</v>
      </c>
      <c r="D172" s="44">
        <f t="shared" si="23"/>
        <v>0.1521449999999902</v>
      </c>
      <c r="E172" s="45" t="s">
        <v>48</v>
      </c>
      <c r="F172" s="46">
        <v>192.15979999999999</v>
      </c>
      <c r="G172" s="46"/>
      <c r="H172" s="66" t="s">
        <v>374</v>
      </c>
      <c r="I172" s="43">
        <v>470079</v>
      </c>
      <c r="J172" s="43">
        <v>45957</v>
      </c>
      <c r="K172" s="47">
        <f t="shared" ref="K172:K181" si="31">+J172/I172</f>
        <v>9.77644183211758E-2</v>
      </c>
      <c r="L172" s="48">
        <f t="shared" ref="L172:L181" si="32">K172/O172</f>
        <v>1.0862713146797312E-2</v>
      </c>
      <c r="M172" s="5"/>
      <c r="N172" s="5">
        <f t="shared" si="27"/>
        <v>26</v>
      </c>
      <c r="O172" s="9">
        <v>9</v>
      </c>
      <c r="P172" s="30">
        <f t="shared" si="29"/>
        <v>191</v>
      </c>
      <c r="Q172" s="8">
        <f t="shared" si="30"/>
        <v>0.1521449999999902</v>
      </c>
      <c r="R172"/>
      <c r="S172"/>
      <c r="T172" s="8"/>
      <c r="U172" s="8"/>
      <c r="V172" s="111"/>
    </row>
    <row r="173" spans="1:23" x14ac:dyDescent="0.25">
      <c r="A173" s="67" t="s">
        <v>222</v>
      </c>
      <c r="B173" s="62" t="s">
        <v>173</v>
      </c>
      <c r="C173" s="81">
        <v>191.13101417199999</v>
      </c>
      <c r="D173" s="44">
        <f t="shared" si="23"/>
        <v>0.13101417199999332</v>
      </c>
      <c r="E173" s="45" t="s">
        <v>48</v>
      </c>
      <c r="F173" s="46">
        <v>192.1388</v>
      </c>
      <c r="G173" s="46"/>
      <c r="H173" s="66" t="s">
        <v>174</v>
      </c>
      <c r="I173" s="43">
        <v>3915876</v>
      </c>
      <c r="J173" s="43">
        <v>458480</v>
      </c>
      <c r="K173" s="47">
        <f t="shared" si="31"/>
        <v>0.11708235909410819</v>
      </c>
      <c r="L173" s="48">
        <f t="shared" si="32"/>
        <v>9.7568632578423492E-3</v>
      </c>
      <c r="M173" s="5"/>
      <c r="N173" s="5">
        <f t="shared" si="27"/>
        <v>27</v>
      </c>
      <c r="O173" s="9">
        <v>12</v>
      </c>
      <c r="P173" s="30">
        <f t="shared" si="29"/>
        <v>191</v>
      </c>
      <c r="Q173" s="8">
        <f t="shared" si="30"/>
        <v>0.13101417199999332</v>
      </c>
      <c r="R173" s="114">
        <f>L173-Graphs!$M$27</f>
        <v>-1.1877333901908795E-4</v>
      </c>
      <c r="S173"/>
      <c r="T173" s="8">
        <f>L173-Graphs!$M$37</f>
        <v>-3.1841743412231935E-4</v>
      </c>
      <c r="U173" s="8"/>
      <c r="V173" s="111"/>
    </row>
    <row r="174" spans="1:23" x14ac:dyDescent="0.25">
      <c r="A174" s="67"/>
      <c r="B174" s="62" t="s">
        <v>373</v>
      </c>
      <c r="C174" s="81">
        <v>191.15214499999999</v>
      </c>
      <c r="D174" s="44">
        <f t="shared" si="23"/>
        <v>0.1521449999999902</v>
      </c>
      <c r="E174" s="45" t="s">
        <v>48</v>
      </c>
      <c r="F174" s="46">
        <v>192.15979999999999</v>
      </c>
      <c r="G174" s="46"/>
      <c r="H174" s="66" t="s">
        <v>374</v>
      </c>
      <c r="I174" s="43">
        <v>2944300</v>
      </c>
      <c r="J174" s="43">
        <v>252010</v>
      </c>
      <c r="K174" s="47">
        <f t="shared" si="31"/>
        <v>8.5592500764188437E-2</v>
      </c>
      <c r="L174" s="48">
        <f t="shared" si="32"/>
        <v>9.5102778626876047E-3</v>
      </c>
      <c r="M174" s="5"/>
      <c r="N174" s="5">
        <f t="shared" si="27"/>
        <v>28</v>
      </c>
      <c r="O174" s="9">
        <v>9</v>
      </c>
      <c r="P174" s="30">
        <f t="shared" si="29"/>
        <v>191</v>
      </c>
      <c r="Q174" s="8">
        <f t="shared" si="30"/>
        <v>0.1521449999999902</v>
      </c>
      <c r="R174" s="114">
        <f>L174-Graphs!$M$27</f>
        <v>-3.6535873417383249E-4</v>
      </c>
      <c r="S174"/>
      <c r="T174" s="8">
        <f>L174-Graphs!$M$37</f>
        <v>-5.650028292770639E-4</v>
      </c>
      <c r="U174" s="8"/>
      <c r="V174" s="111"/>
    </row>
    <row r="175" spans="1:23" x14ac:dyDescent="0.25">
      <c r="A175" s="67"/>
      <c r="B175" s="62" t="s">
        <v>101</v>
      </c>
      <c r="C175" s="81">
        <v>246.05279999999999</v>
      </c>
      <c r="D175" s="44">
        <f t="shared" si="23"/>
        <v>5.2799999999990632E-2</v>
      </c>
      <c r="E175" s="45" t="s">
        <v>16</v>
      </c>
      <c r="F175" s="46">
        <v>245.04249999999999</v>
      </c>
      <c r="G175" s="46"/>
      <c r="H175" s="66" t="s">
        <v>102</v>
      </c>
      <c r="I175" s="43">
        <v>112119</v>
      </c>
      <c r="J175" s="43">
        <v>12318</v>
      </c>
      <c r="K175" s="47">
        <f t="shared" si="31"/>
        <v>0.10986541085810612</v>
      </c>
      <c r="L175" s="48">
        <f t="shared" si="32"/>
        <v>8.4511854506235488E-3</v>
      </c>
      <c r="M175" s="5"/>
      <c r="N175" s="5">
        <f t="shared" si="27"/>
        <v>29</v>
      </c>
      <c r="O175" s="9">
        <v>13</v>
      </c>
      <c r="P175" s="30">
        <f t="shared" si="29"/>
        <v>246</v>
      </c>
      <c r="Q175" s="8">
        <f t="shared" si="30"/>
        <v>5.2799999999990632E-2</v>
      </c>
      <c r="R175" s="114">
        <f>L175-Graphs!$M$27</f>
        <v>-1.4244511462378883E-3</v>
      </c>
      <c r="S175"/>
      <c r="T175" s="8">
        <f>L175-Graphs!$M$37</f>
        <v>-1.6240952413411197E-3</v>
      </c>
      <c r="U175" s="8"/>
      <c r="V175" s="111"/>
    </row>
    <row r="176" spans="1:23" x14ac:dyDescent="0.25">
      <c r="A176" s="67" t="s">
        <v>216</v>
      </c>
      <c r="B176" s="62" t="s">
        <v>380</v>
      </c>
      <c r="C176" s="81">
        <v>427.88391000000001</v>
      </c>
      <c r="D176" s="44">
        <f t="shared" si="23"/>
        <v>-0.11608999999998559</v>
      </c>
      <c r="E176" s="45" t="s">
        <v>48</v>
      </c>
      <c r="F176" s="46">
        <v>428.89260000000002</v>
      </c>
      <c r="G176" s="46"/>
      <c r="H176" s="66" t="s">
        <v>377</v>
      </c>
      <c r="I176" s="43">
        <v>8503204</v>
      </c>
      <c r="J176" s="43">
        <v>721396</v>
      </c>
      <c r="K176" s="47">
        <f t="shared" si="31"/>
        <v>8.4838138659263027E-2</v>
      </c>
      <c r="L176" s="48">
        <f t="shared" si="32"/>
        <v>9.4264598510292244E-3</v>
      </c>
      <c r="M176" s="5"/>
      <c r="N176" s="5">
        <f t="shared" si="27"/>
        <v>30</v>
      </c>
      <c r="O176" s="9">
        <v>9</v>
      </c>
      <c r="P176" s="30">
        <f t="shared" si="29"/>
        <v>428</v>
      </c>
      <c r="Q176" s="8">
        <f t="shared" si="30"/>
        <v>-0.11608999999998559</v>
      </c>
      <c r="R176">
        <f>L176-Graphs!$M$27</f>
        <v>-4.4917674583221275E-4</v>
      </c>
      <c r="S176"/>
      <c r="T176" s="8">
        <f>L176-Graphs!$M$37</f>
        <v>-6.4882084093544415E-4</v>
      </c>
      <c r="U176" s="8"/>
      <c r="V176" s="116">
        <f>D176-Graphs!$N$27</f>
        <v>-0.13598999999999251</v>
      </c>
    </row>
    <row r="177" spans="1:24" x14ac:dyDescent="0.25">
      <c r="A177" s="67"/>
      <c r="B177" s="62" t="s">
        <v>99</v>
      </c>
      <c r="C177" s="81">
        <v>152.04730000000001</v>
      </c>
      <c r="D177" s="44">
        <f t="shared" si="23"/>
        <v>4.7300000000007003E-2</v>
      </c>
      <c r="E177" s="45" t="s">
        <v>16</v>
      </c>
      <c r="F177" s="46">
        <v>151.03749999999999</v>
      </c>
      <c r="G177" s="46"/>
      <c r="H177" s="66" t="s">
        <v>100</v>
      </c>
      <c r="I177" s="43">
        <v>426746</v>
      </c>
      <c r="J177" s="43">
        <v>26576</v>
      </c>
      <c r="K177" s="47">
        <f t="shared" si="31"/>
        <v>6.2275920571018828E-2</v>
      </c>
      <c r="L177" s="48">
        <f t="shared" si="32"/>
        <v>7.7844900713773535E-3</v>
      </c>
      <c r="M177" s="5"/>
      <c r="N177" s="5">
        <f t="shared" si="27"/>
        <v>31</v>
      </c>
      <c r="O177" s="9">
        <v>8</v>
      </c>
      <c r="P177" s="30">
        <f t="shared" si="29"/>
        <v>152</v>
      </c>
      <c r="Q177" s="8">
        <f t="shared" si="30"/>
        <v>4.7300000000007003E-2</v>
      </c>
      <c r="R177" s="114">
        <f>L177-Graphs!$M$27</f>
        <v>-2.0911465254840837E-3</v>
      </c>
      <c r="S177"/>
      <c r="T177" s="8">
        <f>L177-Graphs!$M$37</f>
        <v>-2.2907906205873151E-3</v>
      </c>
      <c r="U177" s="8"/>
      <c r="V177" s="111"/>
    </row>
    <row r="178" spans="1:24" x14ac:dyDescent="0.25">
      <c r="A178" s="67" t="s">
        <v>217</v>
      </c>
      <c r="B178" s="62" t="s">
        <v>173</v>
      </c>
      <c r="C178" s="81">
        <v>191.13101417199999</v>
      </c>
      <c r="D178" s="44">
        <f t="shared" si="23"/>
        <v>0.13101417199999332</v>
      </c>
      <c r="E178" s="45" t="s">
        <v>48</v>
      </c>
      <c r="F178" s="46">
        <v>192.1388</v>
      </c>
      <c r="G178" s="46"/>
      <c r="H178" s="66" t="s">
        <v>174</v>
      </c>
      <c r="I178" s="43">
        <v>3915876</v>
      </c>
      <c r="J178" s="43">
        <v>458480</v>
      </c>
      <c r="K178" s="47">
        <f t="shared" si="31"/>
        <v>0.11708235909410819</v>
      </c>
      <c r="L178" s="48">
        <f t="shared" si="32"/>
        <v>9.7568632578423492E-3</v>
      </c>
      <c r="M178" s="5"/>
      <c r="N178" s="5">
        <f t="shared" si="27"/>
        <v>32</v>
      </c>
      <c r="O178" s="9">
        <v>12</v>
      </c>
      <c r="P178" s="30">
        <f t="shared" si="29"/>
        <v>191</v>
      </c>
      <c r="Q178" s="8">
        <f t="shared" si="30"/>
        <v>0.13101417199999332</v>
      </c>
      <c r="R178" s="114">
        <f>L178-Graphs!$M$27</f>
        <v>-1.1877333901908795E-4</v>
      </c>
      <c r="S178"/>
      <c r="T178" s="8">
        <f>L178-Graphs!$M$37</f>
        <v>-3.1841743412231935E-4</v>
      </c>
      <c r="U178" s="8"/>
      <c r="V178" s="111"/>
    </row>
    <row r="179" spans="1:24" x14ac:dyDescent="0.25">
      <c r="A179" s="67"/>
      <c r="B179" s="62" t="s">
        <v>111</v>
      </c>
      <c r="C179" s="81">
        <v>214.062994</v>
      </c>
      <c r="D179" s="44">
        <f t="shared" si="23"/>
        <v>6.2994000000003325E-2</v>
      </c>
      <c r="E179" s="45" t="s">
        <v>16</v>
      </c>
      <c r="F179" s="46">
        <v>213.05350000000001</v>
      </c>
      <c r="G179" s="46"/>
      <c r="H179" s="66" t="s">
        <v>98</v>
      </c>
      <c r="I179" s="43">
        <v>243016</v>
      </c>
      <c r="J179" s="43">
        <v>24735</v>
      </c>
      <c r="K179" s="47">
        <f t="shared" si="31"/>
        <v>0.10178342166770912</v>
      </c>
      <c r="L179" s="48">
        <f t="shared" si="32"/>
        <v>7.8294939744391629E-3</v>
      </c>
      <c r="M179" s="5"/>
      <c r="N179" s="5">
        <f t="shared" si="27"/>
        <v>33</v>
      </c>
      <c r="O179" s="9">
        <v>13</v>
      </c>
      <c r="P179" s="30">
        <f t="shared" si="29"/>
        <v>214</v>
      </c>
      <c r="Q179" s="8">
        <f t="shared" si="30"/>
        <v>6.2994000000003325E-2</v>
      </c>
      <c r="R179" s="114">
        <f>L179-Graphs!$M$27</f>
        <v>-2.0461426224222742E-3</v>
      </c>
      <c r="S179"/>
      <c r="T179" s="8">
        <f>L179-Graphs!$M$37</f>
        <v>-2.2457867175255056E-3</v>
      </c>
      <c r="U179" s="8"/>
      <c r="V179" s="111"/>
    </row>
    <row r="180" spans="1:24" x14ac:dyDescent="0.25">
      <c r="A180" s="67"/>
      <c r="B180" s="62" t="s">
        <v>99</v>
      </c>
      <c r="C180" s="81">
        <v>152.04730000000001</v>
      </c>
      <c r="D180" s="44">
        <f t="shared" si="23"/>
        <v>4.7300000000007003E-2</v>
      </c>
      <c r="E180" s="45" t="s">
        <v>16</v>
      </c>
      <c r="F180" s="46">
        <v>151.03729999999999</v>
      </c>
      <c r="G180" s="46"/>
      <c r="H180" s="66" t="s">
        <v>100</v>
      </c>
      <c r="I180" s="43">
        <v>379222</v>
      </c>
      <c r="J180" s="43">
        <v>22582</v>
      </c>
      <c r="K180" s="47">
        <f t="shared" si="31"/>
        <v>5.9548232961167867E-2</v>
      </c>
      <c r="L180" s="48">
        <f t="shared" si="32"/>
        <v>7.4435291201459834E-3</v>
      </c>
      <c r="M180" s="5"/>
      <c r="N180" s="5">
        <f t="shared" si="27"/>
        <v>34</v>
      </c>
      <c r="O180" s="9">
        <v>8</v>
      </c>
      <c r="P180" s="30">
        <f t="shared" si="29"/>
        <v>152</v>
      </c>
      <c r="Q180" s="8">
        <f t="shared" si="30"/>
        <v>4.7300000000007003E-2</v>
      </c>
      <c r="R180" s="114">
        <f>L180-Graphs!$M$27</f>
        <v>-2.4321074767154538E-3</v>
      </c>
      <c r="S180"/>
      <c r="T180" s="8">
        <f>L180-Graphs!$M$37</f>
        <v>-2.6317515718186852E-3</v>
      </c>
      <c r="U180" s="8"/>
      <c r="V180" s="111"/>
    </row>
    <row r="181" spans="1:24" x14ac:dyDescent="0.25">
      <c r="A181" s="67"/>
      <c r="B181" s="62" t="s">
        <v>109</v>
      </c>
      <c r="C181" s="81">
        <v>180.07859999999999</v>
      </c>
      <c r="D181" s="44">
        <f t="shared" si="23"/>
        <v>7.8599999999994452E-2</v>
      </c>
      <c r="E181" s="45" t="s">
        <v>16</v>
      </c>
      <c r="F181" s="46">
        <v>179.0686</v>
      </c>
      <c r="G181" s="46"/>
      <c r="H181" s="66" t="s">
        <v>110</v>
      </c>
      <c r="I181" s="43">
        <v>307615</v>
      </c>
      <c r="J181" s="43">
        <v>23308</v>
      </c>
      <c r="K181" s="47">
        <f t="shared" si="31"/>
        <v>7.5770037221851994E-2</v>
      </c>
      <c r="L181" s="48">
        <f t="shared" si="32"/>
        <v>7.5770037221851994E-3</v>
      </c>
      <c r="M181" s="5"/>
      <c r="N181" s="5">
        <f t="shared" si="27"/>
        <v>35</v>
      </c>
      <c r="O181" s="9">
        <v>10</v>
      </c>
      <c r="P181" s="30">
        <f t="shared" si="29"/>
        <v>180</v>
      </c>
      <c r="Q181" s="8">
        <f t="shared" si="30"/>
        <v>7.8599999999994452E-2</v>
      </c>
      <c r="R181" s="114">
        <f>L181-Graphs!$M$27</f>
        <v>-2.2986328746762378E-3</v>
      </c>
      <c r="S181"/>
      <c r="T181" s="8">
        <f>L181-Graphs!$M$37</f>
        <v>-2.4982769697794692E-3</v>
      </c>
      <c r="U181" s="8"/>
      <c r="V181" s="111"/>
    </row>
    <row r="182" spans="1:24" x14ac:dyDescent="0.25">
      <c r="A182" s="67" t="s">
        <v>192</v>
      </c>
      <c r="B182" s="63" t="s">
        <v>111</v>
      </c>
      <c r="C182" s="81">
        <v>214.06278520107</v>
      </c>
      <c r="D182" s="44">
        <f t="shared" si="23"/>
        <v>6.278520106999963E-2</v>
      </c>
      <c r="E182" s="45" t="s">
        <v>16</v>
      </c>
      <c r="F182" s="50">
        <v>213.05488520106999</v>
      </c>
      <c r="G182" s="50"/>
      <c r="H182" s="49" t="s">
        <v>177</v>
      </c>
      <c r="I182" s="49">
        <v>454024</v>
      </c>
      <c r="J182" s="49">
        <v>55596</v>
      </c>
      <c r="K182" s="82">
        <v>0.12245167656335348</v>
      </c>
      <c r="L182" s="48">
        <f t="shared" si="24"/>
        <v>9.419359735642575E-3</v>
      </c>
      <c r="N182" s="5">
        <f t="shared" si="27"/>
        <v>36</v>
      </c>
      <c r="O182">
        <v>13</v>
      </c>
      <c r="P182" s="30">
        <f t="shared" si="25"/>
        <v>214</v>
      </c>
      <c r="Q182" s="8">
        <f t="shared" si="26"/>
        <v>6.278520106999963E-2</v>
      </c>
      <c r="R182" s="114">
        <f>L182-Graphs!$M$27</f>
        <v>-4.562768612188621E-4</v>
      </c>
      <c r="S182"/>
      <c r="T182" s="8">
        <f>L182-Graphs!$M$37</f>
        <v>-6.559209563220935E-4</v>
      </c>
      <c r="U182" s="8"/>
      <c r="V182" s="111"/>
      <c r="W182" t="s">
        <v>314</v>
      </c>
    </row>
    <row r="183" spans="1:24" x14ac:dyDescent="0.25">
      <c r="A183" s="67"/>
      <c r="B183" s="63" t="s">
        <v>95</v>
      </c>
      <c r="C183" s="81">
        <v>308.03579196439802</v>
      </c>
      <c r="D183" s="44">
        <f t="shared" si="23"/>
        <v>3.5791964398015352E-2</v>
      </c>
      <c r="E183" s="45" t="s">
        <v>16</v>
      </c>
      <c r="F183" s="50">
        <v>307.02789196439801</v>
      </c>
      <c r="G183" s="50"/>
      <c r="H183" s="49" t="s">
        <v>177</v>
      </c>
      <c r="I183" s="49">
        <v>196881</v>
      </c>
      <c r="J183" s="49">
        <v>29023</v>
      </c>
      <c r="K183" s="82">
        <v>0.14741392008370538</v>
      </c>
      <c r="L183" s="48">
        <f t="shared" si="24"/>
        <v>1.1339532314131182E-2</v>
      </c>
      <c r="N183" s="5">
        <f t="shared" si="27"/>
        <v>37</v>
      </c>
      <c r="O183">
        <v>13</v>
      </c>
      <c r="P183" s="30">
        <f t="shared" si="25"/>
        <v>308</v>
      </c>
      <c r="Q183" s="8">
        <f t="shared" si="26"/>
        <v>3.5791964398015352E-2</v>
      </c>
      <c r="R183"/>
      <c r="S183"/>
      <c r="T183" s="8"/>
      <c r="U183" s="8"/>
      <c r="V183" s="111"/>
      <c r="W183" t="s">
        <v>314</v>
      </c>
      <c r="X183" s="5"/>
    </row>
    <row r="184" spans="1:24" x14ac:dyDescent="0.25">
      <c r="A184" s="67"/>
      <c r="B184" s="63" t="s">
        <v>112</v>
      </c>
      <c r="C184" s="81">
        <v>194.09380870330401</v>
      </c>
      <c r="D184" s="44">
        <f t="shared" si="23"/>
        <v>9.3808703304006258E-2</v>
      </c>
      <c r="E184" s="45" t="s">
        <v>16</v>
      </c>
      <c r="F184" s="50">
        <v>193.085908703304</v>
      </c>
      <c r="G184" s="50"/>
      <c r="H184" s="49" t="s">
        <v>113</v>
      </c>
      <c r="I184" s="49">
        <v>105460</v>
      </c>
      <c r="J184" s="49">
        <v>11871</v>
      </c>
      <c r="K184" s="82">
        <v>0.11256400531007017</v>
      </c>
      <c r="L184" s="48">
        <f t="shared" si="24"/>
        <v>1.023309139182456E-2</v>
      </c>
      <c r="N184" s="5">
        <f t="shared" si="27"/>
        <v>38</v>
      </c>
      <c r="O184">
        <v>11</v>
      </c>
      <c r="P184" s="30">
        <f t="shared" si="25"/>
        <v>194</v>
      </c>
      <c r="Q184" s="8">
        <f t="shared" si="26"/>
        <v>9.3808703304006258E-2</v>
      </c>
      <c r="R184"/>
      <c r="S184"/>
      <c r="T184" s="8"/>
      <c r="U184" s="8"/>
      <c r="V184" s="111"/>
      <c r="W184" t="s">
        <v>332</v>
      </c>
      <c r="X184" s="5"/>
    </row>
    <row r="185" spans="1:24" x14ac:dyDescent="0.25">
      <c r="A185" s="67"/>
      <c r="B185" s="63" t="s">
        <v>109</v>
      </c>
      <c r="C185" s="81">
        <v>180.07853559984699</v>
      </c>
      <c r="D185" s="44">
        <f t="shared" si="23"/>
        <v>7.853559984698677E-2</v>
      </c>
      <c r="E185" s="45" t="s">
        <v>16</v>
      </c>
      <c r="F185" s="50">
        <v>179.07063559984698</v>
      </c>
      <c r="G185" s="50"/>
      <c r="H185" s="49" t="s">
        <v>110</v>
      </c>
      <c r="I185" s="49">
        <v>3775766</v>
      </c>
      <c r="J185" s="49">
        <v>315669</v>
      </c>
      <c r="K185" s="82">
        <v>8.3603962745572691E-2</v>
      </c>
      <c r="L185" s="48">
        <f t="shared" si="24"/>
        <v>8.3603962745572684E-3</v>
      </c>
      <c r="N185" s="5">
        <f t="shared" si="27"/>
        <v>39</v>
      </c>
      <c r="O185">
        <v>10</v>
      </c>
      <c r="P185" s="30">
        <f t="shared" si="25"/>
        <v>180</v>
      </c>
      <c r="Q185" s="8">
        <f t="shared" si="26"/>
        <v>7.853559984698677E-2</v>
      </c>
      <c r="R185" s="114">
        <f>L185-Graphs!$M$27</f>
        <v>-1.5152403223041688E-3</v>
      </c>
      <c r="S185"/>
      <c r="T185" s="8">
        <f>L185-Graphs!$M$37</f>
        <v>-1.7148844174074002E-3</v>
      </c>
      <c r="U185" s="8"/>
      <c r="V185" s="111"/>
      <c r="W185" t="s">
        <v>333</v>
      </c>
      <c r="X185" s="5"/>
    </row>
    <row r="186" spans="1:24" x14ac:dyDescent="0.25">
      <c r="A186" s="67"/>
      <c r="B186" s="63" t="s">
        <v>105</v>
      </c>
      <c r="C186" s="81">
        <v>166.06244118354499</v>
      </c>
      <c r="D186" s="44">
        <f t="shared" si="23"/>
        <v>6.2441183544990508E-2</v>
      </c>
      <c r="E186" s="45" t="s">
        <v>16</v>
      </c>
      <c r="F186" s="50">
        <v>165.05454118354498</v>
      </c>
      <c r="G186" s="50"/>
      <c r="H186" s="49" t="s">
        <v>106</v>
      </c>
      <c r="I186" s="49">
        <v>195105</v>
      </c>
      <c r="J186" s="49">
        <v>21970</v>
      </c>
      <c r="K186" s="82">
        <v>0.11260603264908639</v>
      </c>
      <c r="L186" s="48">
        <f t="shared" si="24"/>
        <v>1.2511781405454043E-2</v>
      </c>
      <c r="N186" s="5">
        <f t="shared" si="27"/>
        <v>40</v>
      </c>
      <c r="O186">
        <v>9</v>
      </c>
      <c r="P186" s="30">
        <f t="shared" si="25"/>
        <v>166</v>
      </c>
      <c r="Q186" s="8">
        <f t="shared" si="26"/>
        <v>6.2441183544990508E-2</v>
      </c>
      <c r="R186"/>
      <c r="S186"/>
      <c r="T186" s="8"/>
      <c r="U186" s="8">
        <f>Graphs!$M$36-'Data summary'!L186</f>
        <v>-1.0304760412375123E-4</v>
      </c>
      <c r="V186" s="111"/>
      <c r="W186" t="s">
        <v>333</v>
      </c>
      <c r="X186" s="5"/>
    </row>
    <row r="187" spans="1:24" x14ac:dyDescent="0.25">
      <c r="A187" s="67" t="s">
        <v>193</v>
      </c>
      <c r="B187" s="63" t="s">
        <v>111</v>
      </c>
      <c r="C187" s="81">
        <v>214.06230985322199</v>
      </c>
      <c r="D187" s="44">
        <f t="shared" si="23"/>
        <v>6.2309853221989897E-2</v>
      </c>
      <c r="E187" s="45" t="s">
        <v>16</v>
      </c>
      <c r="F187" s="50">
        <v>213.05440985322198</v>
      </c>
      <c r="G187" s="50"/>
      <c r="H187" s="49" t="s">
        <v>177</v>
      </c>
      <c r="I187" s="49">
        <v>706033</v>
      </c>
      <c r="J187" s="49">
        <v>88092</v>
      </c>
      <c r="K187" s="82">
        <v>0.1247703719231254</v>
      </c>
      <c r="L187" s="48">
        <f t="shared" si="24"/>
        <v>9.5977209171634915E-3</v>
      </c>
      <c r="N187" s="5">
        <f t="shared" si="27"/>
        <v>41</v>
      </c>
      <c r="O187">
        <v>13</v>
      </c>
      <c r="P187" s="30">
        <f t="shared" si="25"/>
        <v>214</v>
      </c>
      <c r="Q187" s="8">
        <f t="shared" si="26"/>
        <v>6.2309853221989897E-2</v>
      </c>
      <c r="R187" s="114">
        <f>L187-Graphs!$M$27</f>
        <v>-2.779156796979456E-4</v>
      </c>
      <c r="S187"/>
      <c r="T187" s="8">
        <f>L187-Graphs!$M$37</f>
        <v>-4.7755977480117701E-4</v>
      </c>
      <c r="U187" s="8"/>
      <c r="V187" s="111"/>
      <c r="W187" t="s">
        <v>314</v>
      </c>
      <c r="X187" s="5"/>
    </row>
    <row r="188" spans="1:24" x14ac:dyDescent="0.25">
      <c r="A188" s="67"/>
      <c r="B188" s="63" t="s">
        <v>95</v>
      </c>
      <c r="C188" s="81">
        <v>308.03534805258698</v>
      </c>
      <c r="D188" s="44">
        <f t="shared" si="23"/>
        <v>3.5348052586982703E-2</v>
      </c>
      <c r="E188" s="45" t="s">
        <v>16</v>
      </c>
      <c r="F188" s="50">
        <v>307.02744805258698</v>
      </c>
      <c r="G188" s="50"/>
      <c r="H188" s="49" t="s">
        <v>177</v>
      </c>
      <c r="I188" s="49">
        <v>202721</v>
      </c>
      <c r="J188" s="49">
        <v>25975</v>
      </c>
      <c r="K188" s="82">
        <v>0.12813176730580453</v>
      </c>
      <c r="L188" s="48">
        <f t="shared" si="24"/>
        <v>9.8562897927541946E-3</v>
      </c>
      <c r="N188" s="5">
        <f t="shared" si="27"/>
        <v>42</v>
      </c>
      <c r="O188">
        <v>13</v>
      </c>
      <c r="P188" s="30">
        <f t="shared" si="25"/>
        <v>308</v>
      </c>
      <c r="Q188" s="8">
        <f t="shared" si="26"/>
        <v>3.5348052586982703E-2</v>
      </c>
      <c r="R188"/>
      <c r="S188"/>
      <c r="T188" s="8">
        <f>L188-Graphs!$M$37</f>
        <v>-2.1899089921047395E-4</v>
      </c>
      <c r="U188" s="8"/>
      <c r="V188" s="111"/>
      <c r="W188" t="s">
        <v>314</v>
      </c>
      <c r="X188" s="5"/>
    </row>
    <row r="189" spans="1:24" x14ac:dyDescent="0.25">
      <c r="A189" s="67"/>
      <c r="B189" s="63" t="s">
        <v>109</v>
      </c>
      <c r="C189" s="81">
        <v>180.07834448352</v>
      </c>
      <c r="D189" s="44">
        <f t="shared" si="23"/>
        <v>7.8344483519998676E-2</v>
      </c>
      <c r="E189" s="45" t="s">
        <v>16</v>
      </c>
      <c r="F189" s="50">
        <v>179.07044448351999</v>
      </c>
      <c r="G189" s="50"/>
      <c r="H189" s="49" t="s">
        <v>110</v>
      </c>
      <c r="I189" s="49">
        <v>5652639</v>
      </c>
      <c r="J189" s="49">
        <v>553872</v>
      </c>
      <c r="K189" s="82">
        <v>9.7984675830174187E-2</v>
      </c>
      <c r="L189" s="48">
        <f t="shared" si="24"/>
        <v>9.798467583017419E-3</v>
      </c>
      <c r="N189" s="5">
        <f t="shared" si="27"/>
        <v>43</v>
      </c>
      <c r="O189">
        <v>10</v>
      </c>
      <c r="P189" s="30">
        <f t="shared" si="25"/>
        <v>180</v>
      </c>
      <c r="Q189" s="8">
        <f t="shared" si="26"/>
        <v>7.8344483519998676E-2</v>
      </c>
      <c r="R189" s="114">
        <f>L189-Graphs!$M$27</f>
        <v>-7.7169013844018142E-5</v>
      </c>
      <c r="S189"/>
      <c r="T189" s="8">
        <f>L189-Graphs!$M$37</f>
        <v>-2.7681310894724954E-4</v>
      </c>
      <c r="U189" s="8"/>
      <c r="V189" s="111"/>
      <c r="W189" t="s">
        <v>333</v>
      </c>
      <c r="X189" s="5"/>
    </row>
    <row r="190" spans="1:24" x14ac:dyDescent="0.25">
      <c r="A190" s="67"/>
      <c r="B190" s="63" t="s">
        <v>105</v>
      </c>
      <c r="C190" s="81">
        <v>166.06233128074601</v>
      </c>
      <c r="D190" s="44">
        <f t="shared" si="23"/>
        <v>6.2331280746008133E-2</v>
      </c>
      <c r="E190" s="45" t="s">
        <v>16</v>
      </c>
      <c r="F190" s="50">
        <v>165.054431280746</v>
      </c>
      <c r="G190" s="50"/>
      <c r="H190" s="49" t="s">
        <v>106</v>
      </c>
      <c r="I190" s="49">
        <v>255140</v>
      </c>
      <c r="J190" s="49">
        <v>24302</v>
      </c>
      <c r="K190" s="82">
        <v>9.5249666849572784E-2</v>
      </c>
      <c r="L190" s="48">
        <f t="shared" si="24"/>
        <v>1.0583296316619199E-2</v>
      </c>
      <c r="N190" s="5">
        <f t="shared" si="27"/>
        <v>44</v>
      </c>
      <c r="O190">
        <v>9</v>
      </c>
      <c r="P190" s="30">
        <f t="shared" si="25"/>
        <v>166</v>
      </c>
      <c r="Q190" s="8">
        <f t="shared" si="26"/>
        <v>6.2331280746008133E-2</v>
      </c>
      <c r="R190"/>
      <c r="S190"/>
      <c r="T190" s="8"/>
      <c r="U190" s="8"/>
      <c r="V190" s="111"/>
      <c r="W190" t="s">
        <v>333</v>
      </c>
      <c r="X190" s="5"/>
    </row>
    <row r="191" spans="1:24" x14ac:dyDescent="0.25">
      <c r="A191" s="67" t="s">
        <v>194</v>
      </c>
      <c r="B191" s="63" t="s">
        <v>111</v>
      </c>
      <c r="C191" s="81">
        <v>214.06229339776499</v>
      </c>
      <c r="D191" s="44">
        <f t="shared" si="23"/>
        <v>6.2293397764989322E-2</v>
      </c>
      <c r="E191" s="45" t="s">
        <v>16</v>
      </c>
      <c r="F191" s="50">
        <v>213.05439339776498</v>
      </c>
      <c r="G191" s="50"/>
      <c r="H191" s="49" t="s">
        <v>177</v>
      </c>
      <c r="I191" s="49">
        <v>645985</v>
      </c>
      <c r="J191" s="49">
        <v>78359</v>
      </c>
      <c r="K191" s="82">
        <v>0.12130157821002036</v>
      </c>
      <c r="L191" s="48">
        <f t="shared" si="24"/>
        <v>9.3308906315400265E-3</v>
      </c>
      <c r="N191" s="5">
        <f t="shared" si="27"/>
        <v>45</v>
      </c>
      <c r="O191">
        <v>13</v>
      </c>
      <c r="P191" s="30">
        <f t="shared" si="25"/>
        <v>214</v>
      </c>
      <c r="Q191" s="8">
        <f t="shared" si="26"/>
        <v>6.2293397764989322E-2</v>
      </c>
      <c r="R191" s="114">
        <f>L191-Graphs!$M$27</f>
        <v>-5.4474596532141061E-4</v>
      </c>
      <c r="S191"/>
      <c r="T191" s="8">
        <f>L191-Graphs!$M$37</f>
        <v>-7.4439006042464201E-4</v>
      </c>
      <c r="U191" s="8"/>
      <c r="V191" s="111"/>
      <c r="W191" t="s">
        <v>314</v>
      </c>
      <c r="X191" s="5"/>
    </row>
    <row r="192" spans="1:24" x14ac:dyDescent="0.25">
      <c r="A192" s="67"/>
      <c r="B192" s="63" t="s">
        <v>95</v>
      </c>
      <c r="C192" s="81">
        <v>308.03531674730402</v>
      </c>
      <c r="D192" s="44">
        <f t="shared" si="23"/>
        <v>3.5316747304023011E-2</v>
      </c>
      <c r="E192" s="45" t="s">
        <v>16</v>
      </c>
      <c r="F192" s="50">
        <v>307.02741674730402</v>
      </c>
      <c r="G192" s="50"/>
      <c r="H192" s="49" t="s">
        <v>177</v>
      </c>
      <c r="I192" s="49">
        <v>195189</v>
      </c>
      <c r="J192" s="49">
        <v>26920</v>
      </c>
      <c r="K192" s="82">
        <v>0.13791760806192971</v>
      </c>
      <c r="L192" s="48">
        <f t="shared" si="24"/>
        <v>1.0609046773994593E-2</v>
      </c>
      <c r="N192" s="5">
        <f t="shared" si="27"/>
        <v>46</v>
      </c>
      <c r="O192">
        <v>13</v>
      </c>
      <c r="P192" s="30">
        <f t="shared" si="25"/>
        <v>308</v>
      </c>
      <c r="Q192" s="8">
        <f t="shared" si="26"/>
        <v>3.5316747304023011E-2</v>
      </c>
      <c r="R192"/>
      <c r="S192"/>
      <c r="T192" s="8"/>
      <c r="U192" s="8"/>
      <c r="V192" s="111"/>
      <c r="W192" t="s">
        <v>314</v>
      </c>
      <c r="X192" s="5"/>
    </row>
    <row r="193" spans="1:24" x14ac:dyDescent="0.25">
      <c r="A193" s="67"/>
      <c r="B193" s="63" t="s">
        <v>109</v>
      </c>
      <c r="C193" s="81">
        <v>180.07780073309999</v>
      </c>
      <c r="D193" s="44">
        <f t="shared" si="23"/>
        <v>7.7800733099991248E-2</v>
      </c>
      <c r="E193" s="45" t="s">
        <v>16</v>
      </c>
      <c r="F193" s="50">
        <v>179.06990073309998</v>
      </c>
      <c r="G193" s="50"/>
      <c r="H193" s="49" t="s">
        <v>110</v>
      </c>
      <c r="I193" s="49">
        <v>5054021</v>
      </c>
      <c r="J193" s="49">
        <v>495732</v>
      </c>
      <c r="K193" s="82">
        <v>9.808665219238305E-2</v>
      </c>
      <c r="L193" s="48">
        <f t="shared" si="24"/>
        <v>9.8086652192383057E-3</v>
      </c>
      <c r="N193" s="5">
        <f t="shared" si="27"/>
        <v>47</v>
      </c>
      <c r="O193">
        <v>10</v>
      </c>
      <c r="P193" s="30">
        <f t="shared" si="25"/>
        <v>180</v>
      </c>
      <c r="Q193" s="8">
        <f t="shared" si="26"/>
        <v>7.7800733099991248E-2</v>
      </c>
      <c r="R193" s="114">
        <f>L193-Graphs!$M$27</f>
        <v>-6.697137762313142E-5</v>
      </c>
      <c r="S193"/>
      <c r="T193" s="8">
        <f>L193-Graphs!$M$37</f>
        <v>-2.6661547272636282E-4</v>
      </c>
      <c r="U193" s="8"/>
      <c r="V193" s="111"/>
      <c r="W193" t="s">
        <v>333</v>
      </c>
      <c r="X193" s="5"/>
    </row>
    <row r="194" spans="1:24" x14ac:dyDescent="0.25">
      <c r="A194" s="67" t="s">
        <v>195</v>
      </c>
      <c r="B194" s="63" t="s">
        <v>111</v>
      </c>
      <c r="C194" s="81">
        <v>214.06200725364101</v>
      </c>
      <c r="D194" s="44">
        <f t="shared" si="23"/>
        <v>6.2007253641013449E-2</v>
      </c>
      <c r="E194" s="45" t="s">
        <v>16</v>
      </c>
      <c r="F194" s="50">
        <v>213.05410725364101</v>
      </c>
      <c r="G194" s="50"/>
      <c r="H194" s="49" t="s">
        <v>177</v>
      </c>
      <c r="I194" s="49">
        <v>216205</v>
      </c>
      <c r="J194" s="49">
        <v>18370</v>
      </c>
      <c r="K194" s="82">
        <v>8.4965657593487662E-2</v>
      </c>
      <c r="L194" s="48">
        <f t="shared" si="24"/>
        <v>6.5358198148836666E-3</v>
      </c>
      <c r="N194" s="5">
        <f t="shared" si="27"/>
        <v>48</v>
      </c>
      <c r="O194">
        <v>13</v>
      </c>
      <c r="P194" s="30">
        <f t="shared" si="25"/>
        <v>214</v>
      </c>
      <c r="Q194" s="8">
        <f t="shared" si="26"/>
        <v>6.2007253641013449E-2</v>
      </c>
      <c r="R194" s="114">
        <f>L194-Graphs!$M$27</f>
        <v>-3.3398167819777705E-3</v>
      </c>
      <c r="S194"/>
      <c r="T194" s="8">
        <f>L194-Graphs!$M$37</f>
        <v>-3.5394608770810019E-3</v>
      </c>
      <c r="U194" s="8"/>
      <c r="V194" s="111"/>
      <c r="W194" t="s">
        <v>314</v>
      </c>
      <c r="X194" s="5"/>
    </row>
    <row r="195" spans="1:24" x14ac:dyDescent="0.25">
      <c r="A195" s="67"/>
      <c r="B195" s="63" t="s">
        <v>95</v>
      </c>
      <c r="C195" s="81">
        <v>308.03473927000402</v>
      </c>
      <c r="D195" s="44">
        <f t="shared" si="23"/>
        <v>3.4739270004024547E-2</v>
      </c>
      <c r="E195" s="45" t="s">
        <v>16</v>
      </c>
      <c r="F195" s="50">
        <v>307.02683927000402</v>
      </c>
      <c r="G195" s="50"/>
      <c r="H195" s="49" t="s">
        <v>177</v>
      </c>
      <c r="I195" s="49">
        <v>213279</v>
      </c>
      <c r="J195" s="49">
        <v>26489</v>
      </c>
      <c r="K195" s="82">
        <v>0.12419881938681258</v>
      </c>
      <c r="L195" s="48">
        <f t="shared" si="24"/>
        <v>9.5537553374471212E-3</v>
      </c>
      <c r="N195" s="5">
        <f t="shared" si="27"/>
        <v>49</v>
      </c>
      <c r="O195">
        <v>13</v>
      </c>
      <c r="P195" s="30">
        <f t="shared" si="25"/>
        <v>308</v>
      </c>
      <c r="Q195" s="8">
        <f t="shared" si="26"/>
        <v>3.4739270004024547E-2</v>
      </c>
      <c r="R195" s="114">
        <f>L195-Graphs!$M$27</f>
        <v>-3.2188125941431597E-4</v>
      </c>
      <c r="S195"/>
      <c r="T195" s="8">
        <f>L195-Graphs!$M$37</f>
        <v>-5.2152535451754738E-4</v>
      </c>
      <c r="U195" s="8"/>
      <c r="V195" s="111"/>
      <c r="W195" t="s">
        <v>314</v>
      </c>
      <c r="X195" s="5"/>
    </row>
    <row r="196" spans="1:24" x14ac:dyDescent="0.25">
      <c r="A196" s="67"/>
      <c r="B196" s="63" t="s">
        <v>112</v>
      </c>
      <c r="C196" s="81">
        <v>194.09345514250401</v>
      </c>
      <c r="D196" s="44">
        <f t="shared" si="23"/>
        <v>9.3455142504012656E-2</v>
      </c>
      <c r="E196" s="45" t="s">
        <v>16</v>
      </c>
      <c r="F196" s="50">
        <v>193.08555514250401</v>
      </c>
      <c r="G196" s="50"/>
      <c r="H196" s="49" t="s">
        <v>113</v>
      </c>
      <c r="I196" s="49">
        <v>106100</v>
      </c>
      <c r="J196" s="49">
        <v>13117</v>
      </c>
      <c r="K196" s="82">
        <v>0.12362865221489161</v>
      </c>
      <c r="L196" s="48">
        <f t="shared" si="24"/>
        <v>1.1238968383171965E-2</v>
      </c>
      <c r="N196" s="5">
        <f t="shared" si="27"/>
        <v>50</v>
      </c>
      <c r="O196">
        <v>11</v>
      </c>
      <c r="P196" s="30">
        <f t="shared" si="25"/>
        <v>194</v>
      </c>
      <c r="Q196" s="8">
        <f t="shared" si="26"/>
        <v>9.3455142504012656E-2</v>
      </c>
      <c r="R196"/>
      <c r="S196"/>
      <c r="T196" s="8"/>
      <c r="U196" s="8"/>
      <c r="V196" s="111"/>
      <c r="W196" t="s">
        <v>332</v>
      </c>
      <c r="X196" s="5"/>
    </row>
    <row r="197" spans="1:24" ht="15.75" thickBot="1" x14ac:dyDescent="0.3">
      <c r="A197" s="73"/>
      <c r="B197" s="86" t="s">
        <v>99</v>
      </c>
      <c r="C197" s="83">
        <v>152.04673660339</v>
      </c>
      <c r="D197" s="54">
        <f t="shared" si="23"/>
        <v>4.6736603390002074E-2</v>
      </c>
      <c r="E197" s="55" t="s">
        <v>16</v>
      </c>
      <c r="F197" s="57">
        <v>151.03883660339</v>
      </c>
      <c r="G197" s="57"/>
      <c r="H197" s="76" t="s">
        <v>100</v>
      </c>
      <c r="I197" s="76">
        <v>426979</v>
      </c>
      <c r="J197" s="76">
        <v>29499</v>
      </c>
      <c r="K197" s="84">
        <v>6.9087706889566003E-2</v>
      </c>
      <c r="L197" s="60">
        <f t="shared" si="24"/>
        <v>8.6359633611957504E-3</v>
      </c>
      <c r="N197" s="5">
        <f t="shared" si="27"/>
        <v>51</v>
      </c>
      <c r="O197">
        <v>8</v>
      </c>
      <c r="P197" s="30">
        <f t="shared" si="25"/>
        <v>152</v>
      </c>
      <c r="Q197" s="8">
        <f t="shared" si="26"/>
        <v>4.6736603390002074E-2</v>
      </c>
      <c r="R197" s="114">
        <f>L197-Graphs!$M$27</f>
        <v>-1.2396732356656868E-3</v>
      </c>
      <c r="S197"/>
      <c r="T197" s="8">
        <f>L197-Graphs!$M$37</f>
        <v>-1.4393173307689182E-3</v>
      </c>
      <c r="U197" s="8"/>
      <c r="V197" s="111"/>
      <c r="W197" t="s">
        <v>333</v>
      </c>
      <c r="X197" s="5"/>
    </row>
    <row r="198" spans="1:24" ht="15.75" thickTop="1" x14ac:dyDescent="0.25">
      <c r="C198" s="2"/>
      <c r="D198" s="8"/>
      <c r="F198" s="13"/>
      <c r="G198" s="13"/>
      <c r="K198" s="20"/>
      <c r="L198" s="19"/>
      <c r="N198" s="5"/>
      <c r="P198" s="30"/>
      <c r="Q198" s="8"/>
      <c r="R198"/>
      <c r="S198"/>
      <c r="T198" s="8"/>
      <c r="U198" s="8"/>
      <c r="V198" s="111"/>
      <c r="X198" s="23"/>
    </row>
    <row r="199" spans="1:24" x14ac:dyDescent="0.25">
      <c r="C199" s="2"/>
      <c r="D199" s="8"/>
      <c r="F199" s="13"/>
      <c r="G199" s="13"/>
      <c r="K199" s="20"/>
      <c r="L199" s="19"/>
      <c r="N199" s="5"/>
      <c r="P199" s="30"/>
      <c r="Q199" s="95" t="s">
        <v>343</v>
      </c>
      <c r="R199">
        <f>COUNT(R97:R197)</f>
        <v>32</v>
      </c>
      <c r="S199">
        <f>COUNT(S97:S197)</f>
        <v>7</v>
      </c>
      <c r="T199" s="8">
        <f>COUNT(T97:T197)</f>
        <v>35</v>
      </c>
      <c r="U199" s="8">
        <f>COUNT(U97:U197)</f>
        <v>12</v>
      </c>
      <c r="V199" s="111">
        <f>COUNT(V97:V197)</f>
        <v>33</v>
      </c>
      <c r="X199" s="5"/>
    </row>
    <row r="200" spans="1:24" x14ac:dyDescent="0.25">
      <c r="C200" s="2"/>
      <c r="D200" s="8"/>
      <c r="F200" s="13"/>
      <c r="G200" s="13"/>
      <c r="K200" s="20"/>
      <c r="L200" s="19"/>
      <c r="N200" s="5"/>
      <c r="P200" s="30"/>
      <c r="Q200" s="8"/>
      <c r="R200"/>
      <c r="S200"/>
      <c r="T200" s="8"/>
      <c r="U200" s="8"/>
      <c r="V200" s="116">
        <v>23</v>
      </c>
      <c r="X200" s="5"/>
    </row>
    <row r="201" spans="1:24" x14ac:dyDescent="0.25">
      <c r="C201" s="2"/>
      <c r="D201" s="8"/>
      <c r="F201" s="13"/>
      <c r="G201" s="13"/>
      <c r="K201" s="20"/>
      <c r="L201" s="19"/>
      <c r="P201" s="30"/>
      <c r="Q201" s="8"/>
      <c r="R201"/>
      <c r="S201"/>
      <c r="T201" s="8">
        <f>39/89</f>
        <v>0.43820224719101125</v>
      </c>
      <c r="U201" s="8"/>
      <c r="V201" s="111"/>
      <c r="X201" s="5"/>
    </row>
    <row r="202" spans="1:24" x14ac:dyDescent="0.25">
      <c r="C202" s="2"/>
      <c r="D202" s="8"/>
      <c r="F202" s="13"/>
      <c r="G202" s="13"/>
      <c r="K202" s="20"/>
      <c r="L202" s="19"/>
      <c r="P202" s="30"/>
      <c r="Q202" s="8"/>
      <c r="R202" s="114"/>
      <c r="S202" s="114"/>
      <c r="T202" s="8"/>
      <c r="U202" s="8"/>
      <c r="V202" s="111"/>
      <c r="X202" s="5"/>
    </row>
    <row r="203" spans="1:24" x14ac:dyDescent="0.25">
      <c r="A203" s="5" t="s">
        <v>224</v>
      </c>
      <c r="B203" t="s">
        <v>218</v>
      </c>
      <c r="E203" s="3"/>
      <c r="F203" s="13"/>
      <c r="G203" s="13"/>
      <c r="K203" s="19"/>
      <c r="L203" s="20"/>
      <c r="P203" s="30"/>
      <c r="Q203" s="8"/>
      <c r="R203" s="114"/>
      <c r="S203" s="114"/>
      <c r="T203" s="8"/>
      <c r="U203" s="8"/>
      <c r="V203" s="111"/>
      <c r="X203" s="5"/>
    </row>
    <row r="204" spans="1:24" x14ac:dyDescent="0.25">
      <c r="B204" t="s">
        <v>219</v>
      </c>
      <c r="E204" s="3"/>
      <c r="F204" s="13"/>
      <c r="G204" s="13"/>
      <c r="K204" s="19"/>
      <c r="L204" s="20"/>
      <c r="P204" s="30"/>
      <c r="Q204" s="8"/>
      <c r="R204" s="114"/>
      <c r="S204" s="114"/>
      <c r="T204" s="8"/>
      <c r="U204" s="8"/>
      <c r="V204" s="111"/>
    </row>
    <row r="205" spans="1:24" x14ac:dyDescent="0.25">
      <c r="A205" s="7" t="s">
        <v>70</v>
      </c>
      <c r="B205" s="5"/>
      <c r="C205" s="8"/>
      <c r="D205" s="8"/>
      <c r="E205" s="4"/>
      <c r="F205" s="15"/>
      <c r="G205" s="15"/>
      <c r="H205" s="5"/>
      <c r="I205" s="5"/>
      <c r="J205" s="5"/>
      <c r="K205" s="19"/>
      <c r="L205" s="19"/>
      <c r="O205" s="5"/>
      <c r="P205" s="30"/>
      <c r="Q205" s="8"/>
      <c r="R205" s="114"/>
      <c r="S205" s="114"/>
      <c r="T205" s="8"/>
      <c r="U205" s="8"/>
      <c r="V205" s="111"/>
    </row>
    <row r="206" spans="1:24" x14ac:dyDescent="0.25">
      <c r="A206" s="5" t="s">
        <v>71</v>
      </c>
      <c r="B206" s="9" t="s">
        <v>72</v>
      </c>
      <c r="C206" s="10">
        <v>209.12739999999999</v>
      </c>
      <c r="D206" s="8">
        <v>0.12739999999999441</v>
      </c>
      <c r="E206" s="4" t="s">
        <v>48</v>
      </c>
      <c r="F206" s="16">
        <v>210.1353</v>
      </c>
      <c r="G206" s="16">
        <v>100</v>
      </c>
      <c r="H206" s="9" t="s">
        <v>73</v>
      </c>
      <c r="I206" s="9">
        <v>7974494</v>
      </c>
      <c r="J206" s="9">
        <v>803445</v>
      </c>
      <c r="K206" s="21">
        <v>0.10075184707644147</v>
      </c>
      <c r="L206" s="19">
        <f t="shared" ref="L206:L215" si="33">K206/O206</f>
        <v>1.1194649675160163E-2</v>
      </c>
      <c r="O206" s="9">
        <v>9</v>
      </c>
      <c r="P206" s="30">
        <f t="shared" ref="P206:P211" si="34">ROUND(C206,0)</f>
        <v>209</v>
      </c>
      <c r="Q206" s="8">
        <f t="shared" ref="Q206:Q211" si="35">C206-P206</f>
        <v>0.12739999999999441</v>
      </c>
      <c r="R206" s="114"/>
      <c r="S206" s="114"/>
      <c r="T206" s="8"/>
      <c r="U206" s="8"/>
      <c r="V206" s="111"/>
    </row>
    <row r="207" spans="1:24" x14ac:dyDescent="0.25">
      <c r="A207" s="5"/>
      <c r="B207" s="9"/>
      <c r="C207" s="10">
        <v>325.3707</v>
      </c>
      <c r="D207" s="8">
        <v>0.37069999999999936</v>
      </c>
      <c r="E207" s="4" t="s">
        <v>48</v>
      </c>
      <c r="F207" s="16">
        <v>326.37860000000001</v>
      </c>
      <c r="G207" s="16">
        <v>100</v>
      </c>
      <c r="H207" s="9" t="s">
        <v>74</v>
      </c>
      <c r="I207" s="9">
        <v>6314427</v>
      </c>
      <c r="J207" s="9">
        <v>1432575</v>
      </c>
      <c r="K207" s="21">
        <v>0.22687331724636298</v>
      </c>
      <c r="L207" s="19">
        <f t="shared" si="33"/>
        <v>1.0312423511198317E-2</v>
      </c>
      <c r="O207" s="9">
        <v>22</v>
      </c>
      <c r="P207" s="30">
        <f t="shared" si="34"/>
        <v>325</v>
      </c>
      <c r="Q207" s="8">
        <f t="shared" si="35"/>
        <v>0.37069999999999936</v>
      </c>
      <c r="R207" s="114"/>
      <c r="S207" s="114"/>
      <c r="T207" s="8"/>
      <c r="U207" s="8"/>
      <c r="V207" s="111"/>
    </row>
    <row r="208" spans="1:24" x14ac:dyDescent="0.25">
      <c r="A208" s="5"/>
      <c r="B208" s="9"/>
      <c r="C208" s="10">
        <v>297.34019999999998</v>
      </c>
      <c r="D208" s="8">
        <v>0.34019999999998163</v>
      </c>
      <c r="E208" s="4" t="s">
        <v>48</v>
      </c>
      <c r="F208" s="16">
        <v>298.34809999999999</v>
      </c>
      <c r="G208" s="16">
        <v>100</v>
      </c>
      <c r="H208" s="9" t="s">
        <v>75</v>
      </c>
      <c r="I208" s="9">
        <v>2522069</v>
      </c>
      <c r="J208" s="9">
        <v>529189</v>
      </c>
      <c r="K208" s="21">
        <v>0.20982336327832427</v>
      </c>
      <c r="L208" s="19">
        <f t="shared" si="33"/>
        <v>1.0491168163916213E-2</v>
      </c>
      <c r="O208" s="9">
        <v>20</v>
      </c>
      <c r="P208" s="30">
        <f t="shared" si="34"/>
        <v>297</v>
      </c>
      <c r="Q208" s="8">
        <f t="shared" si="35"/>
        <v>0.34019999999998163</v>
      </c>
      <c r="R208" s="114"/>
      <c r="S208" s="114"/>
      <c r="T208" s="8"/>
      <c r="U208" s="8"/>
      <c r="V208" s="111"/>
    </row>
    <row r="209" spans="1:22" x14ac:dyDescent="0.25">
      <c r="A209" s="5"/>
      <c r="B209" s="9"/>
      <c r="C209" s="10">
        <v>155.05699999999999</v>
      </c>
      <c r="D209" s="8">
        <v>5.6999999999987949E-2</v>
      </c>
      <c r="E209" s="4" t="s">
        <v>48</v>
      </c>
      <c r="F209" s="16">
        <v>156.06489999999999</v>
      </c>
      <c r="G209" s="16">
        <v>100</v>
      </c>
      <c r="H209" s="9" t="s">
        <v>76</v>
      </c>
      <c r="I209" s="9">
        <v>3435165</v>
      </c>
      <c r="J209" s="9">
        <v>254285</v>
      </c>
      <c r="K209" s="21">
        <v>7.4024100734608092E-2</v>
      </c>
      <c r="L209" s="19">
        <f t="shared" si="33"/>
        <v>1.0574871533515441E-2</v>
      </c>
      <c r="O209" s="9">
        <v>7</v>
      </c>
      <c r="P209" s="30">
        <f t="shared" si="34"/>
        <v>155</v>
      </c>
      <c r="Q209" s="8">
        <f t="shared" si="35"/>
        <v>5.6999999999987949E-2</v>
      </c>
      <c r="R209" s="114"/>
      <c r="S209" s="114"/>
      <c r="T209" s="8"/>
      <c r="U209" s="8"/>
      <c r="V209" s="111"/>
    </row>
    <row r="210" spans="1:22" x14ac:dyDescent="0.25">
      <c r="A210" s="5"/>
      <c r="B210" s="9"/>
      <c r="C210" s="10">
        <v>400.33370000000002</v>
      </c>
      <c r="D210" s="8">
        <v>0.33370000000002165</v>
      </c>
      <c r="E210" s="4" t="s">
        <v>48</v>
      </c>
      <c r="F210" s="16">
        <v>401.34160000000003</v>
      </c>
      <c r="G210" s="16">
        <v>99.81</v>
      </c>
      <c r="H210" s="9" t="s">
        <v>77</v>
      </c>
      <c r="I210" s="9">
        <v>2321900</v>
      </c>
      <c r="J210" s="9">
        <v>607921</v>
      </c>
      <c r="K210" s="21">
        <v>0.26182049183858047</v>
      </c>
      <c r="L210" s="19">
        <f t="shared" si="33"/>
        <v>9.6970552532807588E-3</v>
      </c>
      <c r="O210" s="9">
        <v>27</v>
      </c>
      <c r="P210" s="30">
        <f t="shared" si="34"/>
        <v>400</v>
      </c>
      <c r="Q210" s="8">
        <f t="shared" si="35"/>
        <v>0.33370000000002165</v>
      </c>
      <c r="R210" s="114"/>
      <c r="S210" s="114"/>
      <c r="T210" s="8"/>
      <c r="U210" s="8"/>
      <c r="V210" s="111"/>
    </row>
    <row r="211" spans="1:22" x14ac:dyDescent="0.25">
      <c r="A211" s="5"/>
      <c r="B211" s="9"/>
      <c r="C211" s="10">
        <v>739.45350000000008</v>
      </c>
      <c r="D211" s="8">
        <v>0.4535000000000764</v>
      </c>
      <c r="E211" s="4" t="s">
        <v>48</v>
      </c>
      <c r="F211" s="16">
        <v>740.46140000000003</v>
      </c>
      <c r="G211" s="16">
        <v>99.12</v>
      </c>
      <c r="H211" s="9" t="s">
        <v>78</v>
      </c>
      <c r="I211" s="9">
        <v>1008507</v>
      </c>
      <c r="J211" s="9">
        <v>361569</v>
      </c>
      <c r="K211" s="21">
        <v>0.35851907820173784</v>
      </c>
      <c r="L211" s="19">
        <f t="shared" si="33"/>
        <v>1.0864214490961753E-2</v>
      </c>
      <c r="O211" s="9">
        <v>33</v>
      </c>
      <c r="P211" s="30">
        <f t="shared" si="34"/>
        <v>739</v>
      </c>
      <c r="Q211" s="8">
        <f t="shared" si="35"/>
        <v>0.4535000000000764</v>
      </c>
      <c r="R211" s="114"/>
      <c r="S211" s="114"/>
      <c r="T211" s="8"/>
      <c r="U211" s="8"/>
      <c r="V211" s="111"/>
    </row>
    <row r="212" spans="1:22" x14ac:dyDescent="0.25">
      <c r="A212" s="5"/>
      <c r="B212" s="9"/>
      <c r="C212" s="10">
        <v>318.27719999999999</v>
      </c>
      <c r="D212" s="8">
        <v>0.27719999999999345</v>
      </c>
      <c r="E212" s="4" t="s">
        <v>48</v>
      </c>
      <c r="F212" s="16">
        <v>319.2851</v>
      </c>
      <c r="G212" s="16">
        <v>98.52</v>
      </c>
      <c r="H212" s="9" t="s">
        <v>79</v>
      </c>
      <c r="I212" s="9">
        <v>2654315</v>
      </c>
      <c r="J212" s="9">
        <v>481209</v>
      </c>
      <c r="K212" s="21">
        <v>0.18129310198676496</v>
      </c>
      <c r="L212" s="19">
        <f t="shared" si="33"/>
        <v>1.0071838999264719E-2</v>
      </c>
      <c r="O212" s="9">
        <v>18</v>
      </c>
      <c r="P212" s="30">
        <f t="shared" ref="P212:P215" si="36">ROUND(C212,0)</f>
        <v>318</v>
      </c>
      <c r="Q212" s="8">
        <f t="shared" ref="Q212:Q215" si="37">C212-P212</f>
        <v>0.27719999999999345</v>
      </c>
      <c r="R212" s="114"/>
      <c r="S212" s="114"/>
      <c r="T212" s="8"/>
      <c r="U212" s="8"/>
      <c r="V212" s="111"/>
    </row>
    <row r="213" spans="1:22" x14ac:dyDescent="0.25">
      <c r="A213" s="5"/>
      <c r="B213" s="9"/>
      <c r="C213" s="10">
        <v>379.33010000000002</v>
      </c>
      <c r="D213" s="8">
        <v>0.33010000000001583</v>
      </c>
      <c r="E213" s="4" t="s">
        <v>48</v>
      </c>
      <c r="F213" s="16">
        <v>380.33800000000002</v>
      </c>
      <c r="G213" s="16">
        <v>96.05</v>
      </c>
      <c r="H213" s="9" t="s">
        <v>80</v>
      </c>
      <c r="I213" s="9">
        <v>1846688</v>
      </c>
      <c r="J213" s="9">
        <v>415420</v>
      </c>
      <c r="K213" s="21">
        <v>0.22495407995286698</v>
      </c>
      <c r="L213" s="19">
        <f t="shared" si="33"/>
        <v>1.0712099045374618E-2</v>
      </c>
      <c r="O213" s="9">
        <v>21</v>
      </c>
      <c r="P213" s="30">
        <f t="shared" si="36"/>
        <v>379</v>
      </c>
      <c r="Q213" s="8">
        <f t="shared" si="37"/>
        <v>0.33010000000001583</v>
      </c>
      <c r="R213" s="114"/>
      <c r="S213" s="114"/>
      <c r="T213" s="8"/>
      <c r="U213" s="8"/>
      <c r="V213" s="111"/>
    </row>
    <row r="214" spans="1:22" x14ac:dyDescent="0.25">
      <c r="A214" s="5"/>
      <c r="B214" s="9"/>
      <c r="C214" s="10">
        <v>306.2407</v>
      </c>
      <c r="D214" s="8">
        <v>0.24070000000000391</v>
      </c>
      <c r="E214" s="4" t="s">
        <v>48</v>
      </c>
      <c r="F214" s="16">
        <v>307.24860000000001</v>
      </c>
      <c r="G214" s="16">
        <v>95.15</v>
      </c>
      <c r="H214" s="9" t="s">
        <v>81</v>
      </c>
      <c r="I214" s="9">
        <v>3814117</v>
      </c>
      <c r="J214" s="9">
        <v>644918</v>
      </c>
      <c r="K214" s="21">
        <v>0.16908710456443785</v>
      </c>
      <c r="L214" s="19">
        <f t="shared" si="33"/>
        <v>1.0567944035277365E-2</v>
      </c>
      <c r="O214" s="9">
        <v>16</v>
      </c>
      <c r="P214" s="30">
        <f t="shared" si="36"/>
        <v>306</v>
      </c>
      <c r="Q214" s="8">
        <f t="shared" si="37"/>
        <v>0.24070000000000391</v>
      </c>
      <c r="R214" s="114"/>
      <c r="S214" s="114"/>
      <c r="T214" s="8"/>
      <c r="U214" s="8"/>
      <c r="V214" s="111"/>
    </row>
    <row r="215" spans="1:22" x14ac:dyDescent="0.25">
      <c r="A215" s="5"/>
      <c r="B215" s="9"/>
      <c r="C215" s="10">
        <v>428.16320000000002</v>
      </c>
      <c r="D215" s="8">
        <v>0.16320000000001755</v>
      </c>
      <c r="E215" s="4" t="s">
        <v>48</v>
      </c>
      <c r="F215" s="16">
        <v>429.17110000000002</v>
      </c>
      <c r="G215" s="16">
        <v>93.38</v>
      </c>
      <c r="H215" s="9" t="s">
        <v>82</v>
      </c>
      <c r="I215" s="9">
        <v>3191557</v>
      </c>
      <c r="J215" s="9">
        <v>536080</v>
      </c>
      <c r="K215" s="21">
        <v>0.16796817352784238</v>
      </c>
      <c r="L215" s="19">
        <f t="shared" si="33"/>
        <v>1.1197878235189493E-2</v>
      </c>
      <c r="O215" s="9">
        <v>15</v>
      </c>
      <c r="P215" s="30">
        <f t="shared" si="36"/>
        <v>428</v>
      </c>
      <c r="Q215" s="8">
        <f t="shared" si="37"/>
        <v>0.16320000000001755</v>
      </c>
      <c r="R215" s="114"/>
      <c r="S215" s="114"/>
      <c r="T215" s="8"/>
      <c r="U215" s="8"/>
      <c r="V215" s="1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19"/>
  <sheetViews>
    <sheetView workbookViewId="0">
      <selection activeCell="S16" sqref="S16"/>
    </sheetView>
  </sheetViews>
  <sheetFormatPr defaultRowHeight="15" x14ac:dyDescent="0.25"/>
  <cols>
    <col min="1" max="1" width="27.140625" customWidth="1"/>
    <col min="2" max="2" width="11.85546875" customWidth="1"/>
    <col min="3" max="4" width="11.7109375" customWidth="1"/>
    <col min="5" max="5" width="15.7109375" customWidth="1"/>
  </cols>
  <sheetData>
    <row r="5" spans="1:5" x14ac:dyDescent="0.25">
      <c r="A5" t="s">
        <v>240</v>
      </c>
    </row>
    <row r="6" spans="1:5" x14ac:dyDescent="0.25">
      <c r="B6" s="31" t="s">
        <v>241</v>
      </c>
    </row>
    <row r="8" spans="1:5" x14ac:dyDescent="0.25">
      <c r="A8" t="s">
        <v>242</v>
      </c>
      <c r="B8">
        <v>-8.1999999999999993</v>
      </c>
      <c r="C8" t="s">
        <v>243</v>
      </c>
      <c r="D8" t="s">
        <v>244</v>
      </c>
    </row>
    <row r="9" spans="1:5" x14ac:dyDescent="0.25">
      <c r="A9" t="s">
        <v>245</v>
      </c>
      <c r="B9" s="24">
        <v>1.1237199999999999E-2</v>
      </c>
    </row>
    <row r="10" spans="1:5" x14ac:dyDescent="0.25">
      <c r="A10" t="s">
        <v>246</v>
      </c>
      <c r="B10" s="24">
        <f>(B8/1000+1)*B9</f>
        <v>1.1145054959999999E-2</v>
      </c>
    </row>
    <row r="11" spans="1:5" x14ac:dyDescent="0.25">
      <c r="A11" t="s">
        <v>247</v>
      </c>
      <c r="B11" s="24">
        <f>(1+B10)^-1</f>
        <v>0.98897778819633253</v>
      </c>
    </row>
    <row r="13" spans="1:5" ht="48.75" customHeight="1" x14ac:dyDescent="0.35">
      <c r="A13" s="25" t="s">
        <v>248</v>
      </c>
      <c r="B13" s="25" t="s">
        <v>249</v>
      </c>
      <c r="C13" s="25" t="s">
        <v>250</v>
      </c>
      <c r="D13" s="25" t="s">
        <v>251</v>
      </c>
      <c r="E13" s="25" t="s">
        <v>252</v>
      </c>
    </row>
    <row r="14" spans="1:5" x14ac:dyDescent="0.25">
      <c r="A14">
        <v>1</v>
      </c>
      <c r="B14" s="24">
        <f>B$11^A14</f>
        <v>0.98897778819633253</v>
      </c>
      <c r="C14" s="24">
        <f>1-B14</f>
        <v>1.102221180366747E-2</v>
      </c>
      <c r="D14" s="24">
        <f>(C14-0)*A14</f>
        <v>1.102221180366747E-2</v>
      </c>
      <c r="E14" s="24">
        <f>D14/B14</f>
        <v>1.1145054960000105E-2</v>
      </c>
    </row>
    <row r="15" spans="1:5" x14ac:dyDescent="0.25">
      <c r="A15">
        <f>1+A14</f>
        <v>2</v>
      </c>
      <c r="B15" s="24">
        <f>B$11^A15</f>
        <v>0.97807706554570994</v>
      </c>
      <c r="C15" s="24">
        <f>1-B15</f>
        <v>2.1922934454290055E-2</v>
      </c>
      <c r="D15" s="24">
        <f>(C15-C14)*A15</f>
        <v>2.180144530124517E-2</v>
      </c>
      <c r="E15" s="24">
        <f>D15/B15</f>
        <v>2.2290109920000255E-2</v>
      </c>
    </row>
    <row r="16" spans="1:5" x14ac:dyDescent="0.25">
      <c r="A16">
        <f t="shared" ref="A16:A79" si="0">1+A15</f>
        <v>3</v>
      </c>
      <c r="B16" s="24">
        <f t="shared" ref="B16:B79" si="1">B$11^A16</f>
        <v>0.96729649296895559</v>
      </c>
      <c r="C16" s="24">
        <f t="shared" ref="C16:C79" si="2">1-B16</f>
        <v>3.270350703104441E-2</v>
      </c>
      <c r="D16" s="24">
        <f t="shared" ref="D16:D79" si="3">(C16-C15)*A16</f>
        <v>3.2341717730263064E-2</v>
      </c>
      <c r="E16" s="24">
        <f t="shared" ref="E16:E79" si="4">D16/B16</f>
        <v>3.3435164880000284E-2</v>
      </c>
    </row>
    <row r="17" spans="1:20" x14ac:dyDescent="0.25">
      <c r="A17">
        <f t="shared" si="0"/>
        <v>4</v>
      </c>
      <c r="B17" s="24">
        <f t="shared" si="1"/>
        <v>0.95663474614650701</v>
      </c>
      <c r="C17" s="24">
        <f t="shared" si="2"/>
        <v>4.3365253853492991E-2</v>
      </c>
      <c r="D17" s="24">
        <f t="shared" si="3"/>
        <v>4.2646987289794325E-2</v>
      </c>
      <c r="E17" s="24">
        <f t="shared" si="4"/>
        <v>4.4580219840000469E-2</v>
      </c>
    </row>
    <row r="18" spans="1:20" x14ac:dyDescent="0.25">
      <c r="A18">
        <f t="shared" si="0"/>
        <v>5</v>
      </c>
      <c r="B18" s="24">
        <f t="shared" si="1"/>
        <v>0.94609051535573252</v>
      </c>
      <c r="C18" s="24">
        <f t="shared" si="2"/>
        <v>5.390948464426748E-2</v>
      </c>
      <c r="D18" s="24">
        <f t="shared" si="3"/>
        <v>5.2721153953872446E-2</v>
      </c>
      <c r="E18" s="24">
        <f t="shared" si="4"/>
        <v>5.5725274800000668E-2</v>
      </c>
    </row>
    <row r="19" spans="1:20" ht="18.75" x14ac:dyDescent="0.35">
      <c r="A19">
        <f t="shared" si="0"/>
        <v>6</v>
      </c>
      <c r="B19" s="24">
        <f t="shared" si="1"/>
        <v>0.93566250531004069</v>
      </c>
      <c r="C19" s="24">
        <f t="shared" si="2"/>
        <v>6.4337494689959307E-2</v>
      </c>
      <c r="D19" s="24">
        <f t="shared" si="3"/>
        <v>6.2568060274150961E-2</v>
      </c>
      <c r="E19" s="24">
        <f t="shared" si="4"/>
        <v>6.6870329760000846E-2</v>
      </c>
      <c r="Q19" t="s">
        <v>253</v>
      </c>
    </row>
    <row r="20" spans="1:20" ht="18.75" x14ac:dyDescent="0.35">
      <c r="A20">
        <f t="shared" si="0"/>
        <v>7</v>
      </c>
      <c r="B20" s="24">
        <f t="shared" si="1"/>
        <v>0.9253494349997633</v>
      </c>
      <c r="C20" s="24">
        <f t="shared" si="2"/>
        <v>7.4650565000236702E-2</v>
      </c>
      <c r="D20" s="24">
        <f t="shared" si="3"/>
        <v>7.2191492171941762E-2</v>
      </c>
      <c r="E20" s="24">
        <f t="shared" si="4"/>
        <v>7.8015384720000649E-2</v>
      </c>
      <c r="Q20" t="s">
        <v>254</v>
      </c>
    </row>
    <row r="21" spans="1:20" ht="18.75" x14ac:dyDescent="0.35">
      <c r="A21">
        <f t="shared" si="0"/>
        <v>8</v>
      </c>
      <c r="B21" s="24">
        <f t="shared" si="1"/>
        <v>0.91515003753479196</v>
      </c>
      <c r="C21" s="24">
        <f t="shared" si="2"/>
        <v>8.484996246520804E-2</v>
      </c>
      <c r="D21" s="24">
        <f t="shared" si="3"/>
        <v>8.1595179719770705E-2</v>
      </c>
      <c r="E21" s="24">
        <f t="shared" si="4"/>
        <v>8.9160439680000161E-2</v>
      </c>
      <c r="Q21" t="s">
        <v>255</v>
      </c>
    </row>
    <row r="22" spans="1:20" ht="18.75" x14ac:dyDescent="0.35">
      <c r="A22">
        <f t="shared" si="0"/>
        <v>9</v>
      </c>
      <c r="B22" s="24">
        <f t="shared" si="1"/>
        <v>0.9050630599889492</v>
      </c>
      <c r="C22" s="24">
        <f t="shared" si="2"/>
        <v>9.4936940011050797E-2</v>
      </c>
      <c r="D22" s="24">
        <f t="shared" si="3"/>
        <v>9.0782797912584812E-2</v>
      </c>
      <c r="E22" s="24">
        <f t="shared" si="4"/>
        <v>0.10030549464000141</v>
      </c>
      <c r="Q22" t="s">
        <v>256</v>
      </c>
    </row>
    <row r="23" spans="1:20" x14ac:dyDescent="0.25">
      <c r="A23">
        <f t="shared" si="0"/>
        <v>10</v>
      </c>
      <c r="B23" s="24">
        <f t="shared" si="1"/>
        <v>0.89508726324607568</v>
      </c>
      <c r="C23" s="24">
        <f t="shared" si="2"/>
        <v>0.10491273675392432</v>
      </c>
      <c r="D23" s="24">
        <f t="shared" si="3"/>
        <v>9.9757967428735217E-2</v>
      </c>
      <c r="E23" s="24">
        <f t="shared" si="4"/>
        <v>0.11145054960000023</v>
      </c>
    </row>
    <row r="24" spans="1:20" x14ac:dyDescent="0.25">
      <c r="A24">
        <f t="shared" si="0"/>
        <v>11</v>
      </c>
      <c r="B24" s="24">
        <f t="shared" si="1"/>
        <v>0.88522142184781238</v>
      </c>
      <c r="C24" s="24">
        <f t="shared" si="2"/>
        <v>0.11477857815218762</v>
      </c>
      <c r="D24" s="24">
        <f t="shared" si="3"/>
        <v>0.10852425538089627</v>
      </c>
      <c r="E24" s="24">
        <f t="shared" si="4"/>
        <v>0.12259560456000104</v>
      </c>
    </row>
    <row r="25" spans="1:20" x14ac:dyDescent="0.25">
      <c r="A25">
        <f t="shared" si="0"/>
        <v>12</v>
      </c>
      <c r="B25" s="24">
        <f t="shared" si="1"/>
        <v>0.87546432384306205</v>
      </c>
      <c r="C25" s="24">
        <f t="shared" si="2"/>
        <v>0.12453567615693795</v>
      </c>
      <c r="D25" s="24">
        <f t="shared" si="3"/>
        <v>0.11708517605700397</v>
      </c>
      <c r="E25" s="24">
        <f t="shared" si="4"/>
        <v>0.13374065952000228</v>
      </c>
      <c r="T25" s="32"/>
    </row>
    <row r="26" spans="1:20" x14ac:dyDescent="0.25">
      <c r="A26">
        <f t="shared" si="0"/>
        <v>13</v>
      </c>
      <c r="B26" s="24">
        <f t="shared" si="1"/>
        <v>0.86581477063910928</v>
      </c>
      <c r="C26" s="24">
        <f t="shared" si="2"/>
        <v>0.13418522936089072</v>
      </c>
      <c r="D26" s="24">
        <f t="shared" si="3"/>
        <v>0.12544419165138609</v>
      </c>
      <c r="E26" s="24">
        <f t="shared" si="4"/>
        <v>0.14488571448000165</v>
      </c>
    </row>
    <row r="27" spans="1:20" x14ac:dyDescent="0.25">
      <c r="A27">
        <f t="shared" si="0"/>
        <v>14</v>
      </c>
      <c r="B27" s="24">
        <f t="shared" si="1"/>
        <v>0.85627157685438127</v>
      </c>
      <c r="C27" s="24">
        <f t="shared" si="2"/>
        <v>0.14372842314561873</v>
      </c>
      <c r="D27" s="24">
        <f t="shared" si="3"/>
        <v>0.13360471298619214</v>
      </c>
      <c r="E27" s="24">
        <f t="shared" si="4"/>
        <v>0.1560307694400011</v>
      </c>
    </row>
    <row r="28" spans="1:20" x14ac:dyDescent="0.25">
      <c r="A28">
        <f t="shared" si="0"/>
        <v>15</v>
      </c>
      <c r="B28" s="24">
        <f t="shared" si="1"/>
        <v>0.8468335701728319</v>
      </c>
      <c r="C28" s="24">
        <f t="shared" si="2"/>
        <v>0.1531664298271681</v>
      </c>
      <c r="D28" s="24">
        <f t="shared" si="3"/>
        <v>0.14157010022324057</v>
      </c>
      <c r="E28" s="24">
        <f t="shared" si="4"/>
        <v>0.16717582440000253</v>
      </c>
    </row>
    <row r="29" spans="1:20" x14ac:dyDescent="0.25">
      <c r="A29">
        <f t="shared" si="0"/>
        <v>16</v>
      </c>
      <c r="B29" s="24">
        <f t="shared" si="1"/>
        <v>0.83749959119993111</v>
      </c>
      <c r="C29" s="24">
        <f t="shared" si="2"/>
        <v>0.16250040880006889</v>
      </c>
      <c r="D29" s="24">
        <f t="shared" si="3"/>
        <v>0.14934366356641249</v>
      </c>
      <c r="E29" s="24">
        <f t="shared" si="4"/>
        <v>0.1783208793600003</v>
      </c>
    </row>
    <row r="30" spans="1:20" x14ac:dyDescent="0.25">
      <c r="A30">
        <f t="shared" si="0"/>
        <v>17</v>
      </c>
      <c r="B30" s="24">
        <f t="shared" si="1"/>
        <v>0.82826849332024055</v>
      </c>
      <c r="C30" s="24">
        <f t="shared" si="2"/>
        <v>0.17173150667975945</v>
      </c>
      <c r="D30" s="24">
        <f t="shared" si="3"/>
        <v>0.15692866395473959</v>
      </c>
      <c r="E30" s="24">
        <f t="shared" si="4"/>
        <v>0.18946593432000186</v>
      </c>
    </row>
    <row r="31" spans="1:20" x14ac:dyDescent="0.25">
      <c r="A31">
        <f t="shared" si="0"/>
        <v>18</v>
      </c>
      <c r="B31" s="24">
        <f t="shared" si="1"/>
        <v>0.81913914255656028</v>
      </c>
      <c r="C31" s="24">
        <f t="shared" si="2"/>
        <v>0.18086085744343972</v>
      </c>
      <c r="D31" s="24">
        <f t="shared" si="3"/>
        <v>0.16432831374624479</v>
      </c>
      <c r="E31" s="24">
        <f t="shared" si="4"/>
        <v>0.20061098928000279</v>
      </c>
    </row>
    <row r="32" spans="1:20" x14ac:dyDescent="0.25">
      <c r="A32">
        <f t="shared" si="0"/>
        <v>19</v>
      </c>
      <c r="B32" s="24">
        <f t="shared" si="1"/>
        <v>0.81011041743062739</v>
      </c>
      <c r="C32" s="24">
        <f t="shared" si="2"/>
        <v>0.18988958256937261</v>
      </c>
      <c r="D32" s="24">
        <f t="shared" si="3"/>
        <v>0.17154577739272492</v>
      </c>
      <c r="E32" s="24">
        <f t="shared" si="4"/>
        <v>0.21175604424000014</v>
      </c>
    </row>
    <row r="33" spans="1:5" x14ac:dyDescent="0.25">
      <c r="A33">
        <f t="shared" si="0"/>
        <v>20</v>
      </c>
      <c r="B33" s="24">
        <f t="shared" si="1"/>
        <v>0.80118120882534949</v>
      </c>
      <c r="C33" s="24">
        <f t="shared" si="2"/>
        <v>0.19881879117465051</v>
      </c>
      <c r="D33" s="24">
        <f t="shared" si="3"/>
        <v>0.1785841721055581</v>
      </c>
      <c r="E33" s="24">
        <f t="shared" si="4"/>
        <v>0.2229010992000037</v>
      </c>
    </row>
    <row r="34" spans="1:5" x14ac:dyDescent="0.25">
      <c r="A34">
        <f t="shared" si="0"/>
        <v>21</v>
      </c>
      <c r="B34" s="24">
        <f t="shared" si="1"/>
        <v>0.79235041984855814</v>
      </c>
      <c r="C34" s="24">
        <f t="shared" si="2"/>
        <v>0.20764958015144186</v>
      </c>
      <c r="D34" s="24">
        <f t="shared" si="3"/>
        <v>0.18544656851261831</v>
      </c>
      <c r="E34" s="24">
        <f t="shared" si="4"/>
        <v>0.23404615416000246</v>
      </c>
    </row>
    <row r="35" spans="1:5" x14ac:dyDescent="0.25">
      <c r="A35">
        <f t="shared" si="0"/>
        <v>22</v>
      </c>
      <c r="B35" s="24">
        <f t="shared" si="1"/>
        <v>0.78361696569826245</v>
      </c>
      <c r="C35" s="24">
        <f t="shared" si="2"/>
        <v>0.21638303430173755</v>
      </c>
      <c r="D35" s="24">
        <f t="shared" si="3"/>
        <v>0.19213599130650527</v>
      </c>
      <c r="E35" s="24">
        <f t="shared" si="4"/>
        <v>0.2451912091200035</v>
      </c>
    </row>
    <row r="36" spans="1:5" x14ac:dyDescent="0.25">
      <c r="A36">
        <f t="shared" si="0"/>
        <v>23</v>
      </c>
      <c r="B36" s="24">
        <f t="shared" si="1"/>
        <v>0.77497977352938896</v>
      </c>
      <c r="C36" s="24">
        <f t="shared" si="2"/>
        <v>0.22502022647061104</v>
      </c>
      <c r="D36" s="24">
        <f t="shared" si="3"/>
        <v>0.19865541988409019</v>
      </c>
      <c r="E36" s="24">
        <f t="shared" si="4"/>
        <v>0.25633626408000276</v>
      </c>
    </row>
    <row r="37" spans="1:5" x14ac:dyDescent="0.25">
      <c r="A37">
        <f t="shared" si="0"/>
        <v>24</v>
      </c>
      <c r="B37" s="24">
        <f t="shared" si="1"/>
        <v>0.76643778232198989</v>
      </c>
      <c r="C37" s="24">
        <f t="shared" si="2"/>
        <v>0.23356221767801011</v>
      </c>
      <c r="D37" s="24">
        <f t="shared" si="3"/>
        <v>0.20500778897757765</v>
      </c>
      <c r="E37" s="24">
        <f t="shared" si="4"/>
        <v>0.26748131903999922</v>
      </c>
    </row>
    <row r="38" spans="1:5" x14ac:dyDescent="0.25">
      <c r="A38">
        <f t="shared" si="0"/>
        <v>25</v>
      </c>
      <c r="B38" s="24">
        <f t="shared" si="1"/>
        <v>0.7579899427509037</v>
      </c>
      <c r="C38" s="24">
        <f t="shared" si="2"/>
        <v>0.2420100572490963</v>
      </c>
      <c r="D38" s="24">
        <f t="shared" si="3"/>
        <v>0.21119598927715477</v>
      </c>
      <c r="E38" s="24">
        <f t="shared" si="4"/>
        <v>0.27862637400000378</v>
      </c>
    </row>
    <row r="39" spans="1:5" x14ac:dyDescent="0.25">
      <c r="A39">
        <f t="shared" si="0"/>
        <v>26</v>
      </c>
      <c r="B39" s="24">
        <f t="shared" si="1"/>
        <v>0.74963521705685354</v>
      </c>
      <c r="C39" s="24">
        <f t="shared" si="2"/>
        <v>0.25036478294314646</v>
      </c>
      <c r="D39" s="24">
        <f t="shared" si="3"/>
        <v>0.21722286804530411</v>
      </c>
      <c r="E39" s="24">
        <f t="shared" si="4"/>
        <v>0.28977142895999985</v>
      </c>
    </row>
    <row r="40" spans="1:5" x14ac:dyDescent="0.25">
      <c r="A40">
        <f t="shared" si="0"/>
        <v>27</v>
      </c>
      <c r="B40" s="24">
        <f t="shared" si="1"/>
        <v>0.74137257891896469</v>
      </c>
      <c r="C40" s="24">
        <f t="shared" si="2"/>
        <v>0.25862742108103531</v>
      </c>
      <c r="D40" s="24">
        <f t="shared" si="3"/>
        <v>0.22309122972299911</v>
      </c>
      <c r="E40" s="24">
        <f t="shared" si="4"/>
        <v>0.30091648392000209</v>
      </c>
    </row>
    <row r="41" spans="1:5" x14ac:dyDescent="0.25">
      <c r="A41">
        <f t="shared" si="0"/>
        <v>28</v>
      </c>
      <c r="B41" s="24">
        <f t="shared" si="1"/>
        <v>0.73320101332868859</v>
      </c>
      <c r="C41" s="24">
        <f t="shared" si="2"/>
        <v>0.26679898667131141</v>
      </c>
      <c r="D41" s="24">
        <f t="shared" si="3"/>
        <v>0.22880383652773073</v>
      </c>
      <c r="E41" s="24">
        <f t="shared" si="4"/>
        <v>0.31206153888000654</v>
      </c>
    </row>
    <row r="42" spans="1:5" x14ac:dyDescent="0.25">
      <c r="A42">
        <f t="shared" si="0"/>
        <v>29</v>
      </c>
      <c r="B42" s="24">
        <f t="shared" si="1"/>
        <v>0.72511951646511619</v>
      </c>
      <c r="C42" s="24">
        <f t="shared" si="2"/>
        <v>0.27488048353488381</v>
      </c>
      <c r="D42" s="24">
        <f t="shared" si="3"/>
        <v>0.23436340904359965</v>
      </c>
      <c r="E42" s="24">
        <f t="shared" si="4"/>
        <v>0.32320659384000228</v>
      </c>
    </row>
    <row r="43" spans="1:5" x14ac:dyDescent="0.25">
      <c r="A43">
        <f t="shared" si="0"/>
        <v>30</v>
      </c>
      <c r="B43" s="24">
        <f t="shared" si="1"/>
        <v>0.71712709557166476</v>
      </c>
      <c r="C43" s="24">
        <f t="shared" si="2"/>
        <v>0.28287290442833524</v>
      </c>
      <c r="D43" s="24">
        <f t="shared" si="3"/>
        <v>0.23977262680354272</v>
      </c>
      <c r="E43" s="24">
        <f t="shared" si="4"/>
        <v>0.33435164880000201</v>
      </c>
    </row>
    <row r="44" spans="1:5" x14ac:dyDescent="0.25">
      <c r="A44">
        <f t="shared" si="0"/>
        <v>31</v>
      </c>
      <c r="B44" s="24">
        <f t="shared" si="1"/>
        <v>0.70922276883412494</v>
      </c>
      <c r="C44" s="24">
        <f t="shared" si="2"/>
        <v>0.29077723116587506</v>
      </c>
      <c r="D44" s="24">
        <f t="shared" si="3"/>
        <v>0.24503412886373455</v>
      </c>
      <c r="E44" s="24">
        <f t="shared" si="4"/>
        <v>0.34549670376000552</v>
      </c>
    </row>
    <row r="45" spans="1:5" x14ac:dyDescent="0.25">
      <c r="A45">
        <f t="shared" si="0"/>
        <v>32</v>
      </c>
      <c r="B45" s="24">
        <f t="shared" si="1"/>
        <v>0.70140556526005171</v>
      </c>
      <c r="C45" s="24">
        <f t="shared" si="2"/>
        <v>0.29859443473994829</v>
      </c>
      <c r="D45" s="24">
        <f t="shared" si="3"/>
        <v>0.2501505143703433</v>
      </c>
      <c r="E45" s="24">
        <f t="shared" si="4"/>
        <v>0.35664175872000387</v>
      </c>
    </row>
    <row r="46" spans="1:5" x14ac:dyDescent="0.25">
      <c r="A46">
        <f t="shared" si="0"/>
        <v>33</v>
      </c>
      <c r="B46" s="24">
        <f t="shared" si="1"/>
        <v>0.69367452455948431</v>
      </c>
      <c r="C46" s="24">
        <f t="shared" si="2"/>
        <v>0.30632547544051569</v>
      </c>
      <c r="D46" s="24">
        <f t="shared" si="3"/>
        <v>0.25512434311872434</v>
      </c>
      <c r="E46" s="24">
        <f t="shared" si="4"/>
        <v>0.36778681368000388</v>
      </c>
    </row>
    <row r="47" spans="1:5" x14ac:dyDescent="0.25">
      <c r="A47">
        <f t="shared" si="0"/>
        <v>34</v>
      </c>
      <c r="B47" s="24">
        <f t="shared" si="1"/>
        <v>0.68602869702698133</v>
      </c>
      <c r="C47" s="24">
        <f t="shared" si="2"/>
        <v>0.31397130297301867</v>
      </c>
      <c r="D47" s="24">
        <f t="shared" si="3"/>
        <v>0.25995813610510132</v>
      </c>
      <c r="E47" s="24">
        <f t="shared" si="4"/>
        <v>0.37893186864000417</v>
      </c>
    </row>
    <row r="48" spans="1:5" x14ac:dyDescent="0.25">
      <c r="A48">
        <f t="shared" si="0"/>
        <v>35</v>
      </c>
      <c r="B48" s="24">
        <f t="shared" si="1"/>
        <v>0.67846714342495595</v>
      </c>
      <c r="C48" s="24">
        <f t="shared" si="2"/>
        <v>0.32153285657504405</v>
      </c>
      <c r="D48" s="24">
        <f t="shared" si="3"/>
        <v>0.26465437607088804</v>
      </c>
      <c r="E48" s="24">
        <f t="shared" si="4"/>
        <v>0.39007692360000185</v>
      </c>
    </row>
    <row r="49" spans="1:5" x14ac:dyDescent="0.25">
      <c r="A49">
        <f t="shared" si="0"/>
        <v>36</v>
      </c>
      <c r="B49" s="24">
        <f t="shared" si="1"/>
        <v>0.6709889348682968</v>
      </c>
      <c r="C49" s="24">
        <f t="shared" si="2"/>
        <v>0.3290110651317032</v>
      </c>
      <c r="D49" s="24">
        <f t="shared" si="3"/>
        <v>0.26921550803972938</v>
      </c>
      <c r="E49" s="24">
        <f t="shared" si="4"/>
        <v>0.40122197856000652</v>
      </c>
    </row>
    <row r="50" spans="1:5" x14ac:dyDescent="0.25">
      <c r="A50">
        <f t="shared" si="0"/>
        <v>37</v>
      </c>
      <c r="B50" s="24">
        <f t="shared" si="1"/>
        <v>0.6635931527102612</v>
      </c>
      <c r="C50" s="24">
        <f t="shared" si="2"/>
        <v>0.3364068472897388</v>
      </c>
      <c r="D50" s="24">
        <f t="shared" si="3"/>
        <v>0.27364393984731727</v>
      </c>
      <c r="E50" s="24">
        <f t="shared" si="4"/>
        <v>0.41236703352000381</v>
      </c>
    </row>
    <row r="51" spans="1:5" x14ac:dyDescent="0.25">
      <c r="A51">
        <f t="shared" si="0"/>
        <v>38</v>
      </c>
      <c r="B51" s="24">
        <f t="shared" si="1"/>
        <v>0.65627888842962523</v>
      </c>
      <c r="C51" s="24">
        <f t="shared" si="2"/>
        <v>0.34372111157037477</v>
      </c>
      <c r="D51" s="24">
        <f t="shared" si="3"/>
        <v>0.277942042664167</v>
      </c>
      <c r="E51" s="24">
        <f t="shared" si="4"/>
        <v>0.42351208848000538</v>
      </c>
    </row>
    <row r="52" spans="1:5" x14ac:dyDescent="0.25">
      <c r="A52">
        <f t="shared" si="0"/>
        <v>39</v>
      </c>
      <c r="B52" s="24">
        <f t="shared" si="1"/>
        <v>0.64904524351907844</v>
      </c>
      <c r="C52" s="24">
        <f t="shared" si="2"/>
        <v>0.35095475648092156</v>
      </c>
      <c r="D52" s="24">
        <f t="shared" si="3"/>
        <v>0.28211215151132474</v>
      </c>
      <c r="E52" s="24">
        <f t="shared" si="4"/>
        <v>0.4346571434400045</v>
      </c>
    </row>
    <row r="53" spans="1:5" x14ac:dyDescent="0.25">
      <c r="A53">
        <f t="shared" si="0"/>
        <v>40</v>
      </c>
      <c r="B53" s="24">
        <f t="shared" si="1"/>
        <v>0.64189132937484827</v>
      </c>
      <c r="C53" s="24">
        <f t="shared" si="2"/>
        <v>0.35810867062515173</v>
      </c>
      <c r="D53" s="24">
        <f t="shared" si="3"/>
        <v>0.28615656576920667</v>
      </c>
      <c r="E53" s="24">
        <f t="shared" si="4"/>
        <v>0.44580219840000129</v>
      </c>
    </row>
    <row r="54" spans="1:5" x14ac:dyDescent="0.25">
      <c r="A54">
        <f t="shared" si="0"/>
        <v>41</v>
      </c>
      <c r="B54" s="24">
        <f t="shared" si="1"/>
        <v>0.63481626718754103</v>
      </c>
      <c r="C54" s="24">
        <f t="shared" si="2"/>
        <v>0.36518373281245897</v>
      </c>
      <c r="D54" s="24">
        <f t="shared" si="3"/>
        <v>0.29007754967959709</v>
      </c>
      <c r="E54" s="24">
        <f t="shared" si="4"/>
        <v>0.45694725336000369</v>
      </c>
    </row>
    <row r="55" spans="1:5" x14ac:dyDescent="0.25">
      <c r="A55">
        <f t="shared" si="0"/>
        <v>42</v>
      </c>
      <c r="B55" s="24">
        <f t="shared" si="1"/>
        <v>0.62781918783418644</v>
      </c>
      <c r="C55" s="24">
        <f t="shared" si="2"/>
        <v>0.37218081216581356</v>
      </c>
      <c r="D55" s="24">
        <f t="shared" si="3"/>
        <v>0.29387733284089257</v>
      </c>
      <c r="E55" s="24">
        <f t="shared" si="4"/>
        <v>0.46809230832000093</v>
      </c>
    </row>
    <row r="56" spans="1:5" x14ac:dyDescent="0.25">
      <c r="A56">
        <f t="shared" si="0"/>
        <v>43</v>
      </c>
      <c r="B56" s="24">
        <f t="shared" si="1"/>
        <v>0.62089923177147155</v>
      </c>
      <c r="C56" s="24">
        <f t="shared" si="2"/>
        <v>0.37910076822852845</v>
      </c>
      <c r="D56" s="24">
        <f t="shared" si="3"/>
        <v>0.29755811069674043</v>
      </c>
      <c r="E56" s="24">
        <f t="shared" si="4"/>
        <v>0.47923736328000449</v>
      </c>
    </row>
    <row r="57" spans="1:5" x14ac:dyDescent="0.25">
      <c r="A57">
        <f t="shared" si="0"/>
        <v>44</v>
      </c>
      <c r="B57" s="24">
        <f t="shared" si="1"/>
        <v>0.61405554893015191</v>
      </c>
      <c r="C57" s="24">
        <f t="shared" si="2"/>
        <v>0.38594445106984809</v>
      </c>
      <c r="D57" s="24">
        <f t="shared" si="3"/>
        <v>0.30112204501806428</v>
      </c>
      <c r="E57" s="24">
        <f t="shared" si="4"/>
        <v>0.49038241824000933</v>
      </c>
    </row>
    <row r="58" spans="1:5" x14ac:dyDescent="0.25">
      <c r="A58">
        <f t="shared" si="0"/>
        <v>45</v>
      </c>
      <c r="B58" s="24">
        <f t="shared" si="1"/>
        <v>0.60728729861062647</v>
      </c>
      <c r="C58" s="24">
        <f t="shared" si="2"/>
        <v>0.39271270138937353</v>
      </c>
      <c r="D58" s="24">
        <f t="shared" si="3"/>
        <v>0.30457126437864468</v>
      </c>
      <c r="E58" s="24">
        <f t="shared" si="4"/>
        <v>0.50152747320000546</v>
      </c>
    </row>
    <row r="59" spans="1:5" x14ac:dyDescent="0.25">
      <c r="A59">
        <f t="shared" si="0"/>
        <v>46</v>
      </c>
      <c r="B59" s="24">
        <f t="shared" si="1"/>
        <v>0.60059364937966309</v>
      </c>
      <c r="C59" s="24">
        <f t="shared" si="2"/>
        <v>0.39940635062033691</v>
      </c>
      <c r="D59" s="24">
        <f t="shared" si="3"/>
        <v>0.30790786462431563</v>
      </c>
      <c r="E59" s="24">
        <f t="shared" si="4"/>
        <v>0.51267252816000519</v>
      </c>
    </row>
    <row r="60" spans="1:5" x14ac:dyDescent="0.25">
      <c r="A60">
        <f t="shared" si="0"/>
        <v>47</v>
      </c>
      <c r="B60" s="24">
        <f t="shared" si="1"/>
        <v>0.59397377896826287</v>
      </c>
      <c r="C60" s="24">
        <f t="shared" si="2"/>
        <v>0.40602622103173713</v>
      </c>
      <c r="D60" s="24">
        <f t="shared" si="3"/>
        <v>0.31113390933581031</v>
      </c>
      <c r="E60" s="24">
        <f t="shared" si="4"/>
        <v>0.52381758312000293</v>
      </c>
    </row>
    <row r="61" spans="1:5" x14ac:dyDescent="0.25">
      <c r="A61">
        <f t="shared" si="0"/>
        <v>48</v>
      </c>
      <c r="B61" s="24">
        <f t="shared" si="1"/>
        <v>0.58742687417064987</v>
      </c>
      <c r="C61" s="24">
        <f t="shared" si="2"/>
        <v>0.41257312582935013</v>
      </c>
      <c r="D61" s="24">
        <f t="shared" si="3"/>
        <v>0.31425143028542379</v>
      </c>
      <c r="E61" s="24">
        <f t="shared" si="4"/>
        <v>0.5349626380800081</v>
      </c>
    </row>
    <row r="62" spans="1:5" x14ac:dyDescent="0.25">
      <c r="A62">
        <f t="shared" si="0"/>
        <v>49</v>
      </c>
      <c r="B62" s="24">
        <f t="shared" si="1"/>
        <v>0.58095213074437468</v>
      </c>
      <c r="C62" s="24">
        <f t="shared" si="2"/>
        <v>0.41904786925562532</v>
      </c>
      <c r="D62" s="24">
        <f t="shared" si="3"/>
        <v>0.31726242788748416</v>
      </c>
      <c r="E62" s="24">
        <f t="shared" si="4"/>
        <v>0.54610769304000217</v>
      </c>
    </row>
    <row r="63" spans="1:5" x14ac:dyDescent="0.25">
      <c r="A63">
        <f t="shared" si="0"/>
        <v>50</v>
      </c>
      <c r="B63" s="24">
        <f t="shared" si="1"/>
        <v>0.57454875331151822</v>
      </c>
      <c r="C63" s="24">
        <f t="shared" si="2"/>
        <v>0.42545124668848178</v>
      </c>
      <c r="D63" s="24">
        <f t="shared" si="3"/>
        <v>0.32016887164282304</v>
      </c>
      <c r="E63" s="24">
        <f t="shared" si="4"/>
        <v>0.55725274800000946</v>
      </c>
    </row>
    <row r="64" spans="1:5" x14ac:dyDescent="0.25">
      <c r="A64">
        <f t="shared" si="0"/>
        <v>51</v>
      </c>
      <c r="B64" s="24">
        <f t="shared" si="1"/>
        <v>0.56821595526098567</v>
      </c>
      <c r="C64" s="24">
        <f t="shared" si="2"/>
        <v>0.43178404473901433</v>
      </c>
      <c r="D64" s="24">
        <f t="shared" si="3"/>
        <v>0.3229727005771601</v>
      </c>
      <c r="E64" s="24">
        <f t="shared" si="4"/>
        <v>0.56839780295999687</v>
      </c>
    </row>
    <row r="65" spans="1:5" x14ac:dyDescent="0.25">
      <c r="A65">
        <f t="shared" si="0"/>
        <v>52</v>
      </c>
      <c r="B65" s="24">
        <f t="shared" si="1"/>
        <v>0.56195295865187578</v>
      </c>
      <c r="C65" s="24">
        <f t="shared" si="2"/>
        <v>0.43804704134812422</v>
      </c>
      <c r="D65" s="24">
        <f t="shared" si="3"/>
        <v>0.3256758236737145</v>
      </c>
      <c r="E65" s="24">
        <f t="shared" si="4"/>
        <v>0.57954285792001214</v>
      </c>
    </row>
    <row r="66" spans="1:5" x14ac:dyDescent="0.25">
      <c r="A66">
        <f t="shared" si="0"/>
        <v>53</v>
      </c>
      <c r="B66" s="24">
        <f t="shared" si="1"/>
        <v>0.55575899411791718</v>
      </c>
      <c r="C66" s="24">
        <f t="shared" si="2"/>
        <v>0.44424100588208282</v>
      </c>
      <c r="D66" s="24">
        <f t="shared" si="3"/>
        <v>0.32828012029980558</v>
      </c>
      <c r="E66" s="24">
        <f t="shared" si="4"/>
        <v>0.59068791288000877</v>
      </c>
    </row>
    <row r="67" spans="1:5" x14ac:dyDescent="0.25">
      <c r="A67">
        <f t="shared" si="0"/>
        <v>54</v>
      </c>
      <c r="B67" s="24">
        <f t="shared" si="1"/>
        <v>0.54963330077295636</v>
      </c>
      <c r="C67" s="24">
        <f t="shared" si="2"/>
        <v>0.45036669922704364</v>
      </c>
      <c r="D67" s="24">
        <f t="shared" si="3"/>
        <v>0.33078744062788457</v>
      </c>
      <c r="E67" s="24">
        <f t="shared" si="4"/>
        <v>0.60183296784000162</v>
      </c>
    </row>
    <row r="68" spans="1:5" x14ac:dyDescent="0.25">
      <c r="A68">
        <f t="shared" si="0"/>
        <v>55</v>
      </c>
      <c r="B68" s="24">
        <f t="shared" si="1"/>
        <v>0.54357512611748793</v>
      </c>
      <c r="C68" s="24">
        <f t="shared" si="2"/>
        <v>0.45642487388251207</v>
      </c>
      <c r="D68" s="24">
        <f t="shared" si="3"/>
        <v>0.3331996060507636</v>
      </c>
      <c r="E68" s="24">
        <f t="shared" si="4"/>
        <v>0.61297802280000957</v>
      </c>
    </row>
    <row r="69" spans="1:5" x14ac:dyDescent="0.25">
      <c r="A69">
        <f t="shared" si="0"/>
        <v>56</v>
      </c>
      <c r="B69" s="24">
        <f t="shared" si="1"/>
        <v>0.53758372594621584</v>
      </c>
      <c r="C69" s="24">
        <f t="shared" si="2"/>
        <v>0.46241627405378416</v>
      </c>
      <c r="D69" s="24">
        <f t="shared" si="3"/>
        <v>0.33551840959123691</v>
      </c>
      <c r="E69" s="24">
        <f t="shared" si="4"/>
        <v>0.62412307775999309</v>
      </c>
    </row>
    <row r="70" spans="1:5" x14ac:dyDescent="0.25">
      <c r="A70">
        <f t="shared" si="0"/>
        <v>57</v>
      </c>
      <c r="B70" s="24">
        <f t="shared" si="1"/>
        <v>0.53165836425663182</v>
      </c>
      <c r="C70" s="24">
        <f t="shared" si="2"/>
        <v>0.46834163574336818</v>
      </c>
      <c r="D70" s="24">
        <f t="shared" si="3"/>
        <v>0.33774561630628908</v>
      </c>
      <c r="E70" s="24">
        <f t="shared" si="4"/>
        <v>0.63526813272001692</v>
      </c>
    </row>
    <row r="71" spans="1:5" x14ac:dyDescent="0.25">
      <c r="A71">
        <f t="shared" si="0"/>
        <v>58</v>
      </c>
      <c r="B71" s="24">
        <f t="shared" si="1"/>
        <v>0.52579831315860392</v>
      </c>
      <c r="C71" s="24">
        <f t="shared" si="2"/>
        <v>0.47420168684139608</v>
      </c>
      <c r="D71" s="24">
        <f t="shared" si="3"/>
        <v>0.33988296368561799</v>
      </c>
      <c r="E71" s="24">
        <f t="shared" si="4"/>
        <v>0.64641318767999612</v>
      </c>
    </row>
    <row r="72" spans="1:5" x14ac:dyDescent="0.25">
      <c r="A72">
        <f t="shared" si="0"/>
        <v>59</v>
      </c>
      <c r="B72" s="24">
        <f t="shared" si="1"/>
        <v>0.52000285278495872</v>
      </c>
      <c r="C72" s="24">
        <f t="shared" si="2"/>
        <v>0.47999714721504128</v>
      </c>
      <c r="D72" s="24">
        <f t="shared" si="3"/>
        <v>0.34193216204506682</v>
      </c>
      <c r="E72" s="24">
        <f t="shared" si="4"/>
        <v>0.65755824264000529</v>
      </c>
    </row>
    <row r="73" spans="1:5" x14ac:dyDescent="0.25">
      <c r="A73">
        <f t="shared" si="0"/>
        <v>60</v>
      </c>
      <c r="B73" s="24">
        <f t="shared" si="1"/>
        <v>0.51427127120305149</v>
      </c>
      <c r="C73" s="24">
        <f t="shared" si="2"/>
        <v>0.48572872879694851</v>
      </c>
      <c r="D73" s="24">
        <f t="shared" si="3"/>
        <v>0.34389489491443381</v>
      </c>
      <c r="E73" s="24">
        <f t="shared" si="4"/>
        <v>0.66870329760001823</v>
      </c>
    </row>
    <row r="74" spans="1:5" x14ac:dyDescent="0.25">
      <c r="A74">
        <f t="shared" si="0"/>
        <v>61</v>
      </c>
      <c r="B74" s="24">
        <f t="shared" si="1"/>
        <v>0.50860286432731017</v>
      </c>
      <c r="C74" s="24">
        <f t="shared" si="2"/>
        <v>0.49139713567268983</v>
      </c>
      <c r="D74" s="24">
        <f t="shared" si="3"/>
        <v>0.34577281942022098</v>
      </c>
      <c r="E74" s="24">
        <f t="shared" si="4"/>
        <v>0.67984835256000387</v>
      </c>
    </row>
    <row r="75" spans="1:5" x14ac:dyDescent="0.25">
      <c r="A75">
        <f t="shared" si="0"/>
        <v>62</v>
      </c>
      <c r="B75" s="24">
        <f t="shared" si="1"/>
        <v>0.50299693583274263</v>
      </c>
      <c r="C75" s="24">
        <f t="shared" si="2"/>
        <v>0.49700306416725737</v>
      </c>
      <c r="D75" s="24">
        <f t="shared" si="3"/>
        <v>0.34756756666318722</v>
      </c>
      <c r="E75" s="24">
        <f t="shared" si="4"/>
        <v>0.69099340752000316</v>
      </c>
    </row>
    <row r="76" spans="1:5" x14ac:dyDescent="0.25">
      <c r="A76">
        <f t="shared" si="0"/>
        <v>63</v>
      </c>
      <c r="B76" s="24">
        <f t="shared" si="1"/>
        <v>0.49745279706939838</v>
      </c>
      <c r="C76" s="24">
        <f t="shared" si="2"/>
        <v>0.50254720293060162</v>
      </c>
      <c r="D76" s="24">
        <f t="shared" si="3"/>
        <v>0.34928074209068793</v>
      </c>
      <c r="E76" s="24">
        <f t="shared" si="4"/>
        <v>0.70213846248001022</v>
      </c>
    </row>
    <row r="77" spans="1:5" x14ac:dyDescent="0.25">
      <c r="A77">
        <f t="shared" si="0"/>
        <v>64</v>
      </c>
      <c r="B77" s="24">
        <f t="shared" si="1"/>
        <v>0.49196976697777267</v>
      </c>
      <c r="C77" s="24">
        <f t="shared" si="2"/>
        <v>0.50803023302222727</v>
      </c>
      <c r="D77" s="24">
        <f t="shared" si="3"/>
        <v>0.35091392586404169</v>
      </c>
      <c r="E77" s="24">
        <f t="shared" si="4"/>
        <v>0.71328351743999763</v>
      </c>
    </row>
    <row r="78" spans="1:5" x14ac:dyDescent="0.25">
      <c r="A78">
        <f t="shared" si="0"/>
        <v>65</v>
      </c>
      <c r="B78" s="24">
        <f t="shared" si="1"/>
        <v>0.48654717200514275</v>
      </c>
      <c r="C78" s="24">
        <f t="shared" si="2"/>
        <v>0.51345282799485725</v>
      </c>
      <c r="D78" s="24">
        <f t="shared" si="3"/>
        <v>0.35246867322094866</v>
      </c>
      <c r="E78" s="24">
        <f t="shared" si="4"/>
        <v>0.72442857240001202</v>
      </c>
    </row>
    <row r="79" spans="1:5" x14ac:dyDescent="0.25">
      <c r="A79">
        <f t="shared" si="0"/>
        <v>66</v>
      </c>
      <c r="B79" s="24">
        <f t="shared" si="1"/>
        <v>0.48118434602282661</v>
      </c>
      <c r="C79" s="24">
        <f t="shared" si="2"/>
        <v>0.51881565397717333</v>
      </c>
      <c r="D79" s="24">
        <f t="shared" si="3"/>
        <v>0.3539465148328611</v>
      </c>
      <c r="E79" s="24">
        <f t="shared" si="4"/>
        <v>0.73557362736000242</v>
      </c>
    </row>
    <row r="80" spans="1:5" x14ac:dyDescent="0.25">
      <c r="A80">
        <f t="shared" ref="A80:A143" si="5">1+A79</f>
        <v>67</v>
      </c>
      <c r="B80" s="24">
        <f t="shared" ref="B80:B143" si="6">B$11^A80</f>
        <v>0.47588063024435379</v>
      </c>
      <c r="C80" s="24">
        <f t="shared" ref="C80:C143" si="7">1-B80</f>
        <v>0.52411936975564621</v>
      </c>
      <c r="D80" s="24">
        <f t="shared" ref="D80:D143" si="8">(C80-C79)*A80</f>
        <v>0.35534895715768322</v>
      </c>
      <c r="E80" s="24">
        <f t="shared" ref="E80:E143" si="9">D80/B80</f>
        <v>0.74671868232001726</v>
      </c>
    </row>
    <row r="81" spans="1:5" x14ac:dyDescent="0.25">
      <c r="A81">
        <f t="shared" si="5"/>
        <v>68</v>
      </c>
      <c r="B81" s="24">
        <f t="shared" si="6"/>
        <v>0.47063537314453774</v>
      </c>
      <c r="C81" s="24">
        <f t="shared" si="7"/>
        <v>0.52936462685546226</v>
      </c>
      <c r="D81" s="24">
        <f t="shared" si="8"/>
        <v>0.35667748278749123</v>
      </c>
      <c r="E81" s="24">
        <f t="shared" si="9"/>
        <v>0.75786373728000955</v>
      </c>
    </row>
    <row r="82" spans="1:5" x14ac:dyDescent="0.25">
      <c r="A82">
        <f t="shared" si="5"/>
        <v>69</v>
      </c>
      <c r="B82" s="24">
        <f t="shared" si="6"/>
        <v>0.4654479303794406</v>
      </c>
      <c r="C82" s="24">
        <f t="shared" si="7"/>
        <v>0.53455206962055946</v>
      </c>
      <c r="D82" s="24">
        <f t="shared" si="8"/>
        <v>0.35793355079170641</v>
      </c>
      <c r="E82" s="24">
        <f t="shared" si="9"/>
        <v>0.76900879224001117</v>
      </c>
    </row>
    <row r="83" spans="1:5" x14ac:dyDescent="0.25">
      <c r="A83">
        <f t="shared" si="5"/>
        <v>70</v>
      </c>
      <c r="B83" s="24">
        <f t="shared" si="6"/>
        <v>0.46031766470721969</v>
      </c>
      <c r="C83" s="24">
        <f t="shared" si="7"/>
        <v>0.53968233529278031</v>
      </c>
      <c r="D83" s="24">
        <f t="shared" si="8"/>
        <v>0.35911859705546001</v>
      </c>
      <c r="E83" s="24">
        <f t="shared" si="9"/>
        <v>0.78015384720000636</v>
      </c>
    </row>
    <row r="84" spans="1:5" x14ac:dyDescent="0.25">
      <c r="A84">
        <f t="shared" si="5"/>
        <v>71</v>
      </c>
      <c r="B84" s="24">
        <f t="shared" si="6"/>
        <v>0.45524394590984713</v>
      </c>
      <c r="C84" s="24">
        <f t="shared" si="7"/>
        <v>0.54475605409015282</v>
      </c>
      <c r="D84" s="24">
        <f t="shared" si="8"/>
        <v>0.36023403461344794</v>
      </c>
      <c r="E84" s="24">
        <f t="shared" si="9"/>
        <v>0.79129890215999887</v>
      </c>
    </row>
    <row r="85" spans="1:5" x14ac:dyDescent="0.25">
      <c r="A85">
        <f t="shared" si="5"/>
        <v>72</v>
      </c>
      <c r="B85" s="24">
        <f t="shared" si="6"/>
        <v>0.4502261507156915</v>
      </c>
      <c r="C85" s="24">
        <f t="shared" si="7"/>
        <v>0.5497738492843085</v>
      </c>
      <c r="D85" s="24">
        <f t="shared" si="8"/>
        <v>0.36128125397920918</v>
      </c>
      <c r="E85" s="24">
        <f t="shared" si="9"/>
        <v>0.80244395712000927</v>
      </c>
    </row>
    <row r="86" spans="1:5" x14ac:dyDescent="0.25">
      <c r="A86">
        <f t="shared" si="5"/>
        <v>73</v>
      </c>
      <c r="B86" s="24">
        <f t="shared" si="6"/>
        <v>0.4452636627229532</v>
      </c>
      <c r="C86" s="24">
        <f t="shared" si="7"/>
        <v>0.55473633727704685</v>
      </c>
      <c r="D86" s="24">
        <f t="shared" si="8"/>
        <v>0.36226162346989965</v>
      </c>
      <c r="E86" s="24">
        <f t="shared" si="9"/>
        <v>0.8135890120800221</v>
      </c>
    </row>
    <row r="87" spans="1:5" x14ac:dyDescent="0.25">
      <c r="A87">
        <f t="shared" si="5"/>
        <v>74</v>
      </c>
      <c r="B87" s="24">
        <f t="shared" si="6"/>
        <v>0.44035587232394413</v>
      </c>
      <c r="C87" s="24">
        <f t="shared" si="7"/>
        <v>0.55964412767605587</v>
      </c>
      <c r="D87" s="24">
        <f t="shared" si="8"/>
        <v>0.36317648952666715</v>
      </c>
      <c r="E87" s="24">
        <f t="shared" si="9"/>
        <v>0.82473406703998575</v>
      </c>
    </row>
    <row r="88" spans="1:5" x14ac:dyDescent="0.25">
      <c r="A88">
        <f t="shared" si="5"/>
        <v>75</v>
      </c>
      <c r="B88" s="24">
        <f t="shared" si="6"/>
        <v>0.43550217663020085</v>
      </c>
      <c r="C88" s="24">
        <f t="shared" si="7"/>
        <v>0.56449782336979915</v>
      </c>
      <c r="D88" s="24">
        <f t="shared" si="8"/>
        <v>0.36402717703074572</v>
      </c>
      <c r="E88" s="24">
        <f t="shared" si="9"/>
        <v>0.83587912200001036</v>
      </c>
    </row>
    <row r="89" spans="1:5" x14ac:dyDescent="0.25">
      <c r="A89">
        <f t="shared" si="5"/>
        <v>76</v>
      </c>
      <c r="B89" s="24">
        <f t="shared" si="6"/>
        <v>0.43070197939842453</v>
      </c>
      <c r="C89" s="24">
        <f t="shared" si="7"/>
        <v>0.56929802060157542</v>
      </c>
      <c r="D89" s="24">
        <f t="shared" si="8"/>
        <v>0.36481498961499659</v>
      </c>
      <c r="E89" s="24">
        <f t="shared" si="9"/>
        <v>0.84702417696000742</v>
      </c>
    </row>
    <row r="90" spans="1:5" x14ac:dyDescent="0.25">
      <c r="A90">
        <f t="shared" si="5"/>
        <v>77</v>
      </c>
      <c r="B90" s="24">
        <f t="shared" si="6"/>
        <v>0.42595469095723626</v>
      </c>
      <c r="C90" s="24">
        <f t="shared" si="7"/>
        <v>0.57404530904276374</v>
      </c>
      <c r="D90" s="24">
        <f t="shared" si="8"/>
        <v>0.36554120997150097</v>
      </c>
      <c r="E90" s="24">
        <f t="shared" si="9"/>
        <v>0.85816923192002015</v>
      </c>
    </row>
    <row r="91" spans="1:5" x14ac:dyDescent="0.25">
      <c r="A91">
        <f t="shared" si="5"/>
        <v>78</v>
      </c>
      <c r="B91" s="24">
        <f t="shared" si="6"/>
        <v>0.42125972813473994</v>
      </c>
      <c r="C91" s="24">
        <f t="shared" si="7"/>
        <v>0.57874027186526011</v>
      </c>
      <c r="D91" s="24">
        <f t="shared" si="8"/>
        <v>0.36620710015471714</v>
      </c>
      <c r="E91" s="24">
        <f t="shared" si="9"/>
        <v>0.86931428688000711</v>
      </c>
    </row>
    <row r="92" spans="1:5" x14ac:dyDescent="0.25">
      <c r="A92">
        <f t="shared" si="5"/>
        <v>79</v>
      </c>
      <c r="B92" s="24">
        <f t="shared" si="6"/>
        <v>0.41661651418688339</v>
      </c>
      <c r="C92" s="24">
        <f t="shared" si="7"/>
        <v>0.58338348581311661</v>
      </c>
      <c r="D92" s="24">
        <f t="shared" si="8"/>
        <v>0.3668139018806631</v>
      </c>
      <c r="E92" s="24">
        <f t="shared" si="9"/>
        <v>0.88045934184001129</v>
      </c>
    </row>
    <row r="93" spans="1:5" x14ac:dyDescent="0.25">
      <c r="A93">
        <f t="shared" si="5"/>
        <v>80</v>
      </c>
      <c r="B93" s="24">
        <f t="shared" si="6"/>
        <v>0.41202447872660997</v>
      </c>
      <c r="C93" s="24">
        <f t="shared" si="7"/>
        <v>0.58797552127339003</v>
      </c>
      <c r="D93" s="24">
        <f t="shared" si="8"/>
        <v>0.36736283682187398</v>
      </c>
      <c r="E93" s="24">
        <f t="shared" si="9"/>
        <v>0.89160439680000114</v>
      </c>
    </row>
    <row r="94" spans="1:5" x14ac:dyDescent="0.25">
      <c r="A94">
        <f t="shared" si="5"/>
        <v>81</v>
      </c>
      <c r="B94" s="24">
        <f t="shared" si="6"/>
        <v>0.40748305765378962</v>
      </c>
      <c r="C94" s="24">
        <f t="shared" si="7"/>
        <v>0.59251694234621044</v>
      </c>
      <c r="D94" s="24">
        <f t="shared" si="8"/>
        <v>0.36785510689845291</v>
      </c>
      <c r="E94" s="24">
        <f t="shared" si="9"/>
        <v>0.90274945176001442</v>
      </c>
    </row>
    <row r="95" spans="1:5" x14ac:dyDescent="0.25">
      <c r="A95">
        <f t="shared" si="5"/>
        <v>82</v>
      </c>
      <c r="B95" s="24">
        <f t="shared" si="6"/>
        <v>0.40299169308592347</v>
      </c>
      <c r="C95" s="24">
        <f t="shared" si="7"/>
        <v>0.59700830691407658</v>
      </c>
      <c r="D95" s="24">
        <f t="shared" si="8"/>
        <v>0.36829189456502354</v>
      </c>
      <c r="E95" s="24">
        <f t="shared" si="9"/>
        <v>0.9138945067200146</v>
      </c>
    </row>
    <row r="96" spans="1:5" x14ac:dyDescent="0.25">
      <c r="A96">
        <f t="shared" si="5"/>
        <v>83</v>
      </c>
      <c r="B96" s="24">
        <f t="shared" si="6"/>
        <v>0.39854983328961191</v>
      </c>
      <c r="C96" s="24">
        <f t="shared" si="7"/>
        <v>0.60145016671038809</v>
      </c>
      <c r="D96" s="24">
        <f t="shared" si="8"/>
        <v>0.36867436309385526</v>
      </c>
      <c r="E96" s="24">
        <f t="shared" si="9"/>
        <v>0.92503956167998891</v>
      </c>
    </row>
    <row r="97" spans="1:6" x14ac:dyDescent="0.25">
      <c r="A97">
        <f t="shared" si="5"/>
        <v>84</v>
      </c>
      <c r="B97" s="24">
        <f t="shared" si="6"/>
        <v>0.3941569326127774</v>
      </c>
      <c r="C97" s="24">
        <f t="shared" si="7"/>
        <v>0.6058430673872226</v>
      </c>
      <c r="D97" s="24">
        <f t="shared" si="8"/>
        <v>0.36900365685409886</v>
      </c>
      <c r="E97" s="24">
        <f t="shared" si="9"/>
        <v>0.93618461664001917</v>
      </c>
    </row>
    <row r="98" spans="1:6" x14ac:dyDescent="0.25">
      <c r="A98">
        <f t="shared" si="5"/>
        <v>85</v>
      </c>
      <c r="B98" s="24">
        <f t="shared" si="6"/>
        <v>0.38981245141763549</v>
      </c>
      <c r="C98" s="24">
        <f t="shared" si="7"/>
        <v>0.61018754858236446</v>
      </c>
      <c r="D98" s="24">
        <f t="shared" si="8"/>
        <v>0.36928090158705795</v>
      </c>
      <c r="E98" s="24">
        <f t="shared" si="9"/>
        <v>0.94732967159999582</v>
      </c>
    </row>
    <row r="99" spans="1:6" x14ac:dyDescent="0.25">
      <c r="A99">
        <f t="shared" si="5"/>
        <v>86</v>
      </c>
      <c r="B99" s="24">
        <f t="shared" si="6"/>
        <v>0.38551585601440347</v>
      </c>
      <c r="C99" s="24">
        <f t="shared" si="7"/>
        <v>0.61448414398559659</v>
      </c>
      <c r="D99" s="24">
        <f t="shared" si="8"/>
        <v>0.36950720467796305</v>
      </c>
      <c r="E99" s="24">
        <f t="shared" si="9"/>
        <v>0.95847472656003463</v>
      </c>
    </row>
    <row r="100" spans="1:6" x14ac:dyDescent="0.25">
      <c r="A100">
        <f t="shared" si="5"/>
        <v>87</v>
      </c>
      <c r="B100" s="24">
        <f t="shared" si="6"/>
        <v>0.38126661859574051</v>
      </c>
      <c r="C100" s="24">
        <f t="shared" si="7"/>
        <v>0.61873338140425949</v>
      </c>
      <c r="D100" s="24">
        <f t="shared" si="8"/>
        <v>0.36968365542367221</v>
      </c>
      <c r="E100" s="24">
        <f t="shared" si="9"/>
        <v>0.96961978152000294</v>
      </c>
    </row>
    <row r="101" spans="1:6" x14ac:dyDescent="0.25">
      <c r="A101">
        <f t="shared" si="5"/>
        <v>88</v>
      </c>
      <c r="B101" s="24">
        <f t="shared" si="6"/>
        <v>0.37706421717191024</v>
      </c>
      <c r="C101" s="24">
        <f t="shared" si="7"/>
        <v>0.6229357828280897</v>
      </c>
      <c r="D101" s="24">
        <f t="shared" si="8"/>
        <v>0.36981132529705896</v>
      </c>
      <c r="E101" s="24">
        <f t="shared" si="9"/>
        <v>0.9807648364799767</v>
      </c>
    </row>
    <row r="102" spans="1:6" x14ac:dyDescent="0.25">
      <c r="A102">
        <f t="shared" si="5"/>
        <v>89</v>
      </c>
      <c r="B102" s="24">
        <f t="shared" si="6"/>
        <v>0.37290813550665736</v>
      </c>
      <c r="C102" s="24">
        <f t="shared" si="7"/>
        <v>0.62709186449334264</v>
      </c>
      <c r="D102" s="24">
        <f t="shared" si="8"/>
        <v>0.36989126820751184</v>
      </c>
      <c r="E102" s="24">
        <f t="shared" si="9"/>
        <v>0.99190989144002828</v>
      </c>
    </row>
    <row r="103" spans="1:6" x14ac:dyDescent="0.25">
      <c r="A103" s="33">
        <f t="shared" si="5"/>
        <v>90</v>
      </c>
      <c r="B103" s="34">
        <f t="shared" si="6"/>
        <v>0.36879786305379225</v>
      </c>
      <c r="C103" s="34">
        <f t="shared" si="7"/>
        <v>0.63120213694620775</v>
      </c>
      <c r="D103" s="34">
        <f t="shared" si="8"/>
        <v>0.36992452075785942</v>
      </c>
      <c r="E103" s="34">
        <f t="shared" si="9"/>
        <v>1.0030549464000089</v>
      </c>
      <c r="F103" t="s">
        <v>257</v>
      </c>
    </row>
    <row r="104" spans="1:6" x14ac:dyDescent="0.25">
      <c r="A104">
        <f t="shared" si="5"/>
        <v>91</v>
      </c>
      <c r="B104" s="24">
        <f t="shared" si="6"/>
        <v>0.36473289489447341</v>
      </c>
      <c r="C104" s="24">
        <f t="shared" si="7"/>
        <v>0.63526710510552653</v>
      </c>
      <c r="D104" s="24">
        <f t="shared" si="8"/>
        <v>0.36991210249800921</v>
      </c>
      <c r="E104" s="24">
        <f t="shared" si="9"/>
        <v>1.0142000013599932</v>
      </c>
    </row>
    <row r="105" spans="1:6" x14ac:dyDescent="0.25">
      <c r="A105">
        <f t="shared" si="5"/>
        <v>92</v>
      </c>
      <c r="B105" s="24">
        <f t="shared" si="6"/>
        <v>0.3607127316751817</v>
      </c>
      <c r="C105" s="24">
        <f t="shared" si="7"/>
        <v>0.6392872683248183</v>
      </c>
      <c r="D105" s="24">
        <f t="shared" si="8"/>
        <v>0.36985501617484307</v>
      </c>
      <c r="E105" s="24">
        <f t="shared" si="9"/>
        <v>1.0253450563200357</v>
      </c>
    </row>
    <row r="106" spans="1:6" x14ac:dyDescent="0.25">
      <c r="A106">
        <f t="shared" si="5"/>
        <v>93</v>
      </c>
      <c r="B106" s="24">
        <f t="shared" si="6"/>
        <v>0.35673687954637839</v>
      </c>
      <c r="C106" s="24">
        <f t="shared" si="7"/>
        <v>0.64326312045362166</v>
      </c>
      <c r="D106" s="24">
        <f t="shared" si="8"/>
        <v>0.36975424797871237</v>
      </c>
      <c r="E106" s="24">
        <f t="shared" si="9"/>
        <v>1.0364901112800187</v>
      </c>
    </row>
    <row r="107" spans="1:6" x14ac:dyDescent="0.25">
      <c r="A107">
        <f t="shared" si="5"/>
        <v>94</v>
      </c>
      <c r="B107" s="24">
        <f t="shared" si="6"/>
        <v>0.35280485010183882</v>
      </c>
      <c r="C107" s="24">
        <f t="shared" si="7"/>
        <v>0.64719514989816118</v>
      </c>
      <c r="D107" s="24">
        <f t="shared" si="8"/>
        <v>0.36961076778671487</v>
      </c>
      <c r="E107" s="24">
        <f t="shared" si="9"/>
        <v>1.0476351662399905</v>
      </c>
    </row>
    <row r="108" spans="1:6" x14ac:dyDescent="0.25">
      <c r="A108">
        <f t="shared" si="5"/>
        <v>95</v>
      </c>
      <c r="B108" s="24">
        <f t="shared" si="6"/>
        <v>0.34891616031865519</v>
      </c>
      <c r="C108" s="24">
        <f t="shared" si="7"/>
        <v>0.65108383968134476</v>
      </c>
      <c r="D108" s="24">
        <f t="shared" si="8"/>
        <v>0.36942552940243956</v>
      </c>
      <c r="E108" s="24">
        <f t="shared" si="9"/>
        <v>1.0587802211999975</v>
      </c>
    </row>
    <row r="109" spans="1:6" x14ac:dyDescent="0.25">
      <c r="A109">
        <f t="shared" si="5"/>
        <v>96</v>
      </c>
      <c r="B109" s="24">
        <f t="shared" si="6"/>
        <v>0.34507033249790059</v>
      </c>
      <c r="C109" s="24">
        <f t="shared" si="7"/>
        <v>0.65492966750209947</v>
      </c>
      <c r="D109" s="24">
        <f t="shared" si="8"/>
        <v>0.36919947079245219</v>
      </c>
      <c r="E109" s="24">
        <f t="shared" si="9"/>
        <v>1.0699252761600373</v>
      </c>
    </row>
    <row r="110" spans="1:6" x14ac:dyDescent="0.25">
      <c r="A110">
        <f t="shared" si="5"/>
        <v>97</v>
      </c>
      <c r="B110" s="24">
        <f t="shared" si="6"/>
        <v>0.34126689420594675</v>
      </c>
      <c r="C110" s="24">
        <f t="shared" si="7"/>
        <v>0.65873310579405331</v>
      </c>
      <c r="D110" s="24">
        <f t="shared" si="8"/>
        <v>0.3689335143195227</v>
      </c>
      <c r="E110" s="24">
        <f t="shared" si="9"/>
        <v>1.0810703311200172</v>
      </c>
    </row>
    <row r="111" spans="1:6" x14ac:dyDescent="0.25">
      <c r="A111">
        <f t="shared" si="5"/>
        <v>98</v>
      </c>
      <c r="B111" s="24">
        <f t="shared" si="6"/>
        <v>0.33750537821642901</v>
      </c>
      <c r="C111" s="24">
        <f t="shared" si="7"/>
        <v>0.66249462178357099</v>
      </c>
      <c r="D111" s="24">
        <f t="shared" si="8"/>
        <v>0.36862856697273294</v>
      </c>
      <c r="E111" s="24">
        <f t="shared" si="9"/>
        <v>1.0922153860799986</v>
      </c>
    </row>
    <row r="112" spans="1:6" x14ac:dyDescent="0.25">
      <c r="A112">
        <f t="shared" si="5"/>
        <v>99</v>
      </c>
      <c r="B112" s="24">
        <f t="shared" si="6"/>
        <v>0.33378532245285064</v>
      </c>
      <c r="C112" s="24">
        <f t="shared" si="7"/>
        <v>0.66621467754714936</v>
      </c>
      <c r="D112" s="24">
        <f t="shared" si="8"/>
        <v>0.36828552059425834</v>
      </c>
      <c r="E112" s="24">
        <f t="shared" si="9"/>
        <v>1.1033604410400073</v>
      </c>
    </row>
    <row r="113" spans="1:5" x14ac:dyDescent="0.25">
      <c r="A113">
        <f t="shared" si="5"/>
        <v>100</v>
      </c>
      <c r="B113" s="24">
        <f t="shared" si="6"/>
        <v>0.33010626993181985</v>
      </c>
      <c r="C113" s="24">
        <f t="shared" si="7"/>
        <v>0.6698937300681802</v>
      </c>
      <c r="D113" s="24">
        <f t="shared" si="8"/>
        <v>0.36790525210308456</v>
      </c>
      <c r="E113" s="24">
        <f t="shared" si="9"/>
        <v>1.1145054960000358</v>
      </c>
    </row>
    <row r="114" spans="1:5" x14ac:dyDescent="0.25">
      <c r="A114">
        <f t="shared" si="5"/>
        <v>101</v>
      </c>
      <c r="B114" s="24">
        <f t="shared" si="6"/>
        <v>0.32646776870691274</v>
      </c>
      <c r="C114" s="24">
        <f t="shared" si="7"/>
        <v>0.67353223129308726</v>
      </c>
      <c r="D114" s="24">
        <f t="shared" si="8"/>
        <v>0.36748862371561242</v>
      </c>
      <c r="E114" s="24">
        <f t="shared" si="9"/>
        <v>1.1256505509599823</v>
      </c>
    </row>
    <row r="115" spans="1:5" x14ac:dyDescent="0.25">
      <c r="A115">
        <f t="shared" si="5"/>
        <v>102</v>
      </c>
      <c r="B115" s="24">
        <f t="shared" si="6"/>
        <v>0.32286937181315439</v>
      </c>
      <c r="C115" s="24">
        <f t="shared" si="7"/>
        <v>0.67713062818684566</v>
      </c>
      <c r="D115" s="24">
        <f t="shared" si="8"/>
        <v>0.36703648316335724</v>
      </c>
      <c r="E115" s="24">
        <f t="shared" si="9"/>
        <v>1.136795605920039</v>
      </c>
    </row>
    <row r="116" spans="1:5" x14ac:dyDescent="0.25">
      <c r="A116">
        <f t="shared" si="5"/>
        <v>103</v>
      </c>
      <c r="B116" s="24">
        <f t="shared" si="6"/>
        <v>0.31931063721211272</v>
      </c>
      <c r="C116" s="24">
        <f t="shared" si="7"/>
        <v>0.68068936278788728</v>
      </c>
      <c r="D116" s="24">
        <f t="shared" si="8"/>
        <v>0.36654966390728616</v>
      </c>
      <c r="E116" s="24">
        <f t="shared" si="9"/>
        <v>1.1479406608799987</v>
      </c>
    </row>
    <row r="117" spans="1:5" x14ac:dyDescent="0.25">
      <c r="A117">
        <f t="shared" si="5"/>
        <v>104</v>
      </c>
      <c r="B117" s="24">
        <f t="shared" si="6"/>
        <v>0.31579112773759682</v>
      </c>
      <c r="C117" s="24">
        <f t="shared" si="7"/>
        <v>0.68420887226240312</v>
      </c>
      <c r="D117" s="24">
        <f t="shared" si="8"/>
        <v>0.36602898534964812</v>
      </c>
      <c r="E117" s="24">
        <f t="shared" si="9"/>
        <v>1.1590857158399837</v>
      </c>
    </row>
    <row r="118" spans="1:5" x14ac:dyDescent="0.25">
      <c r="A118">
        <f t="shared" si="5"/>
        <v>105</v>
      </c>
      <c r="B118" s="24">
        <f t="shared" si="6"/>
        <v>0.31231041104195406</v>
      </c>
      <c r="C118" s="24">
        <f t="shared" si="7"/>
        <v>0.68768958895804588</v>
      </c>
      <c r="D118" s="24">
        <f t="shared" si="8"/>
        <v>0.36547525304248984</v>
      </c>
      <c r="E118" s="24">
        <f t="shared" si="9"/>
        <v>1.1702307707999973</v>
      </c>
    </row>
    <row r="119" spans="1:5" x14ac:dyDescent="0.25">
      <c r="A119">
        <f t="shared" si="5"/>
        <v>106</v>
      </c>
      <c r="B119" s="24">
        <f t="shared" si="6"/>
        <v>0.30886805954295921</v>
      </c>
      <c r="C119" s="24">
        <f t="shared" si="7"/>
        <v>0.69113194045704085</v>
      </c>
      <c r="D119" s="24">
        <f t="shared" si="8"/>
        <v>0.36488925889346646</v>
      </c>
      <c r="E119" s="24">
        <f t="shared" si="9"/>
        <v>1.181375825760046</v>
      </c>
    </row>
    <row r="120" spans="1:5" x14ac:dyDescent="0.25">
      <c r="A120">
        <f t="shared" si="5"/>
        <v>107</v>
      </c>
      <c r="B120" s="24">
        <f t="shared" si="6"/>
        <v>0.30546365037128892</v>
      </c>
      <c r="C120" s="24">
        <f t="shared" si="7"/>
        <v>0.69453634962871114</v>
      </c>
      <c r="D120" s="24">
        <f t="shared" si="8"/>
        <v>0.36427178136872063</v>
      </c>
      <c r="E120" s="24">
        <f t="shared" si="9"/>
        <v>1.1925208807200165</v>
      </c>
    </row>
    <row r="121" spans="1:5" x14ac:dyDescent="0.25">
      <c r="A121">
        <f t="shared" si="5"/>
        <v>108</v>
      </c>
      <c r="B121" s="24">
        <f t="shared" si="6"/>
        <v>0.3020967653185751</v>
      </c>
      <c r="C121" s="24">
        <f t="shared" si="7"/>
        <v>0.6979032346814249</v>
      </c>
      <c r="D121" s="24">
        <f t="shared" si="8"/>
        <v>0.3636235856930865</v>
      </c>
      <c r="E121" s="24">
        <f t="shared" si="9"/>
        <v>1.2036659356800081</v>
      </c>
    </row>
    <row r="122" spans="1:5" x14ac:dyDescent="0.25">
      <c r="A122">
        <f t="shared" si="5"/>
        <v>109</v>
      </c>
      <c r="B122" s="24">
        <f t="shared" si="6"/>
        <v>0.29876699078603097</v>
      </c>
      <c r="C122" s="24">
        <f t="shared" si="7"/>
        <v>0.70123300921396903</v>
      </c>
      <c r="D122" s="24">
        <f t="shared" si="8"/>
        <v>0.36294542404730989</v>
      </c>
      <c r="E122" s="24">
        <f t="shared" si="9"/>
        <v>1.2148109906399995</v>
      </c>
    </row>
    <row r="123" spans="1:5" x14ac:dyDescent="0.25">
      <c r="A123">
        <f t="shared" si="5"/>
        <v>110</v>
      </c>
      <c r="B123" s="24">
        <f t="shared" si="6"/>
        <v>0.29547391773364295</v>
      </c>
      <c r="C123" s="24">
        <f t="shared" si="7"/>
        <v>0.70452608226635705</v>
      </c>
      <c r="D123" s="24">
        <f t="shared" si="8"/>
        <v>0.36223803576268199</v>
      </c>
      <c r="E123" s="24">
        <f t="shared" si="9"/>
        <v>1.225956045600018</v>
      </c>
    </row>
    <row r="124" spans="1:5" x14ac:dyDescent="0.25">
      <c r="A124">
        <f t="shared" si="5"/>
        <v>111</v>
      </c>
      <c r="B124" s="24">
        <f t="shared" si="6"/>
        <v>0.29221714162992335</v>
      </c>
      <c r="C124" s="24">
        <f t="shared" si="7"/>
        <v>0.70778285837007671</v>
      </c>
      <c r="D124" s="24">
        <f t="shared" si="8"/>
        <v>0.36150214751288234</v>
      </c>
      <c r="E124" s="24">
        <f t="shared" si="9"/>
        <v>1.2371011005600232</v>
      </c>
    </row>
    <row r="125" spans="1:5" x14ac:dyDescent="0.25">
      <c r="A125">
        <f t="shared" si="5"/>
        <v>112</v>
      </c>
      <c r="B125" s="24">
        <f t="shared" si="6"/>
        <v>0.28899626240221599</v>
      </c>
      <c r="C125" s="24">
        <f t="shared" si="7"/>
        <v>0.71100373759778401</v>
      </c>
      <c r="D125" s="24">
        <f t="shared" si="8"/>
        <v>0.36073847350321842</v>
      </c>
      <c r="E125" s="24">
        <f t="shared" si="9"/>
        <v>1.2482461555200111</v>
      </c>
    </row>
    <row r="126" spans="1:5" x14ac:dyDescent="0.25">
      <c r="A126">
        <f t="shared" si="5"/>
        <v>113</v>
      </c>
      <c r="B126" s="24">
        <f t="shared" si="6"/>
        <v>0.28581088438755053</v>
      </c>
      <c r="C126" s="24">
        <f t="shared" si="7"/>
        <v>0.71418911561244947</v>
      </c>
      <c r="D126" s="24">
        <f t="shared" si="8"/>
        <v>0.35994771565719608</v>
      </c>
      <c r="E126" s="24">
        <f t="shared" si="9"/>
        <v>1.2593912104799982</v>
      </c>
    </row>
    <row r="127" spans="1:5" x14ac:dyDescent="0.25">
      <c r="A127">
        <f t="shared" si="5"/>
        <v>114</v>
      </c>
      <c r="B127" s="24">
        <f t="shared" si="6"/>
        <v>0.28266061628403744</v>
      </c>
      <c r="C127" s="24">
        <f t="shared" si="7"/>
        <v>0.71733938371596251</v>
      </c>
      <c r="D127" s="24">
        <f t="shared" si="8"/>
        <v>0.35913056380048691</v>
      </c>
      <c r="E127" s="24">
        <f t="shared" si="9"/>
        <v>1.2705362654399899</v>
      </c>
    </row>
    <row r="128" spans="1:5" x14ac:dyDescent="0.25">
      <c r="A128">
        <f t="shared" si="5"/>
        <v>115</v>
      </c>
      <c r="B128" s="24">
        <f t="shared" si="6"/>
        <v>0.27954507110279964</v>
      </c>
      <c r="C128" s="24">
        <f t="shared" si="7"/>
        <v>0.72045492889720042</v>
      </c>
      <c r="D128" s="24">
        <f t="shared" si="8"/>
        <v>0.35828769584235975</v>
      </c>
      <c r="E128" s="24">
        <f t="shared" si="9"/>
        <v>1.2816813204000417</v>
      </c>
    </row>
    <row r="129" spans="1:5" x14ac:dyDescent="0.25">
      <c r="A129">
        <f t="shared" si="5"/>
        <v>116</v>
      </c>
      <c r="B129" s="24">
        <f t="shared" si="6"/>
        <v>0.27646386612043322</v>
      </c>
      <c r="C129" s="24">
        <f t="shared" si="7"/>
        <v>0.72353613387956672</v>
      </c>
      <c r="D129" s="24">
        <f t="shared" si="8"/>
        <v>0.3574197779544912</v>
      </c>
      <c r="E129" s="24">
        <f t="shared" si="9"/>
        <v>1.2928263753599971</v>
      </c>
    </row>
    <row r="130" spans="1:5" x14ac:dyDescent="0.25">
      <c r="A130">
        <f t="shared" si="5"/>
        <v>117</v>
      </c>
      <c r="B130" s="24">
        <f t="shared" si="6"/>
        <v>0.27341662283199303</v>
      </c>
      <c r="C130" s="24">
        <f t="shared" si="7"/>
        <v>0.72658337716800703</v>
      </c>
      <c r="D130" s="24">
        <f t="shared" si="8"/>
        <v>0.35652746474751562</v>
      </c>
      <c r="E130" s="24">
        <f t="shared" si="9"/>
        <v>1.3039714303200647</v>
      </c>
    </row>
    <row r="131" spans="1:5" x14ac:dyDescent="0.25">
      <c r="A131">
        <f t="shared" si="5"/>
        <v>118</v>
      </c>
      <c r="B131" s="24">
        <f t="shared" si="6"/>
        <v>0.27040296690449539</v>
      </c>
      <c r="C131" s="24">
        <f t="shared" si="7"/>
        <v>0.72959703309550461</v>
      </c>
      <c r="D131" s="24">
        <f t="shared" si="8"/>
        <v>0.35561139944471476</v>
      </c>
      <c r="E131" s="24">
        <f t="shared" si="9"/>
        <v>1.3151164852799653</v>
      </c>
    </row>
    <row r="132" spans="1:5" x14ac:dyDescent="0.25">
      <c r="A132">
        <f t="shared" si="5"/>
        <v>119</v>
      </c>
      <c r="B132" s="24">
        <f t="shared" si="6"/>
        <v>0.26742252813093392</v>
      </c>
      <c r="C132" s="24">
        <f t="shared" si="7"/>
        <v>0.73257747186906608</v>
      </c>
      <c r="D132" s="24">
        <f t="shared" si="8"/>
        <v>0.35467221405381455</v>
      </c>
      <c r="E132" s="24">
        <f t="shared" si="9"/>
        <v>1.3262615402400277</v>
      </c>
    </row>
    <row r="133" spans="1:5" x14ac:dyDescent="0.25">
      <c r="A133">
        <f t="shared" si="5"/>
        <v>120</v>
      </c>
      <c r="B133" s="24">
        <f t="shared" si="6"/>
        <v>0.26447494038480263</v>
      </c>
      <c r="C133" s="24">
        <f t="shared" si="7"/>
        <v>0.73552505961519743</v>
      </c>
      <c r="D133" s="24">
        <f t="shared" si="8"/>
        <v>0.35371052953576232</v>
      </c>
      <c r="E133" s="24">
        <f t="shared" si="9"/>
        <v>1.3374065952000018</v>
      </c>
    </row>
    <row r="134" spans="1:5" x14ac:dyDescent="0.25">
      <c r="A134">
        <f t="shared" si="5"/>
        <v>121</v>
      </c>
      <c r="B134" s="24">
        <f t="shared" si="6"/>
        <v>0.26155984157511897</v>
      </c>
      <c r="C134" s="24">
        <f t="shared" si="7"/>
        <v>0.73844015842488098</v>
      </c>
      <c r="D134" s="24">
        <f t="shared" si="8"/>
        <v>0.35272695597170922</v>
      </c>
      <c r="E134" s="24">
        <f t="shared" si="9"/>
        <v>1.3485516501599784</v>
      </c>
    </row>
    <row r="135" spans="1:5" x14ac:dyDescent="0.25">
      <c r="A135">
        <f t="shared" si="5"/>
        <v>122</v>
      </c>
      <c r="B135" s="24">
        <f t="shared" si="6"/>
        <v>0.2586768736019443</v>
      </c>
      <c r="C135" s="24">
        <f t="shared" si="7"/>
        <v>0.74132312639805575</v>
      </c>
      <c r="D135" s="24">
        <f t="shared" si="8"/>
        <v>0.3517220927273228</v>
      </c>
      <c r="E135" s="24">
        <f t="shared" si="9"/>
        <v>1.3596967051200635</v>
      </c>
    </row>
    <row r="136" spans="1:5" x14ac:dyDescent="0.25">
      <c r="A136">
        <f t="shared" si="5"/>
        <v>123</v>
      </c>
      <c r="B136" s="24">
        <f t="shared" si="6"/>
        <v>0.25582568231239317</v>
      </c>
      <c r="C136" s="24">
        <f t="shared" si="7"/>
        <v>0.74417431768760678</v>
      </c>
      <c r="D136" s="24">
        <f t="shared" si="8"/>
        <v>0.35069652861477607</v>
      </c>
      <c r="E136" s="24">
        <f t="shared" si="9"/>
        <v>1.3708417600799534</v>
      </c>
    </row>
    <row r="137" spans="1:5" x14ac:dyDescent="0.25">
      <c r="A137">
        <f t="shared" si="5"/>
        <v>124</v>
      </c>
      <c r="B137" s="24">
        <f t="shared" si="6"/>
        <v>0.25300591745712819</v>
      </c>
      <c r="C137" s="24">
        <f t="shared" si="7"/>
        <v>0.74699408254287181</v>
      </c>
      <c r="D137" s="24">
        <f t="shared" si="8"/>
        <v>0.34965084205286345</v>
      </c>
      <c r="E137" s="24">
        <f t="shared" si="9"/>
        <v>1.3819868150400543</v>
      </c>
    </row>
    <row r="138" spans="1:5" x14ac:dyDescent="0.25">
      <c r="A138">
        <f t="shared" si="5"/>
        <v>125</v>
      </c>
      <c r="B138" s="24">
        <f t="shared" si="6"/>
        <v>0.25021723264733453</v>
      </c>
      <c r="C138" s="24">
        <f t="shared" si="7"/>
        <v>0.74978276735266547</v>
      </c>
      <c r="D138" s="24">
        <f t="shared" si="8"/>
        <v>0.34858560122420779</v>
      </c>
      <c r="E138" s="24">
        <f t="shared" si="9"/>
        <v>1.3931318700000064</v>
      </c>
    </row>
    <row r="139" spans="1:5" x14ac:dyDescent="0.25">
      <c r="A139">
        <f t="shared" si="5"/>
        <v>126</v>
      </c>
      <c r="B139" s="24">
        <f t="shared" si="6"/>
        <v>0.24745928531216807</v>
      </c>
      <c r="C139" s="24">
        <f t="shared" si="7"/>
        <v>0.7525407146878319</v>
      </c>
      <c r="D139" s="24">
        <f t="shared" si="8"/>
        <v>0.34750136423097056</v>
      </c>
      <c r="E139" s="24">
        <f t="shared" si="9"/>
        <v>1.4042769249599996</v>
      </c>
    </row>
    <row r="140" spans="1:5" x14ac:dyDescent="0.25">
      <c r="A140">
        <f t="shared" si="5"/>
        <v>127</v>
      </c>
      <c r="B140" s="24">
        <f t="shared" si="6"/>
        <v>0.24473173665667317</v>
      </c>
      <c r="C140" s="24">
        <f t="shared" si="7"/>
        <v>0.75526826334332686</v>
      </c>
      <c r="D140" s="24">
        <f t="shared" si="8"/>
        <v>0.34639867924785994</v>
      </c>
      <c r="E140" s="24">
        <f t="shared" si="9"/>
        <v>1.4154219799200474</v>
      </c>
    </row>
    <row r="141" spans="1:5" x14ac:dyDescent="0.25">
      <c r="A141">
        <f t="shared" si="5"/>
        <v>128</v>
      </c>
      <c r="B141" s="24">
        <f t="shared" si="6"/>
        <v>0.24203425162016395</v>
      </c>
      <c r="C141" s="24">
        <f t="shared" si="7"/>
        <v>0.7579657483798361</v>
      </c>
      <c r="D141" s="24">
        <f t="shared" si="8"/>
        <v>0.34527808467318266</v>
      </c>
      <c r="E141" s="24">
        <f t="shared" si="9"/>
        <v>1.4265670348800228</v>
      </c>
    </row>
    <row r="142" spans="1:5" x14ac:dyDescent="0.25">
      <c r="A142">
        <f t="shared" si="5"/>
        <v>129</v>
      </c>
      <c r="B142" s="24">
        <f t="shared" si="6"/>
        <v>0.23936649883506436</v>
      </c>
      <c r="C142" s="24">
        <f t="shared" si="7"/>
        <v>0.76063350116493567</v>
      </c>
      <c r="D142" s="24">
        <f t="shared" si="8"/>
        <v>0.34414010927784378</v>
      </c>
      <c r="E142" s="24">
        <f t="shared" si="9"/>
        <v>1.4377120898399978</v>
      </c>
    </row>
    <row r="143" spans="1:5" x14ac:dyDescent="0.25">
      <c r="A143">
        <f t="shared" si="5"/>
        <v>130</v>
      </c>
      <c r="B143" s="24">
        <f t="shared" si="6"/>
        <v>0.23672815058620195</v>
      </c>
      <c r="C143" s="24">
        <f t="shared" si="7"/>
        <v>0.763271849413798</v>
      </c>
      <c r="D143" s="24">
        <f t="shared" si="8"/>
        <v>0.34298527235210319</v>
      </c>
      <c r="E143" s="24">
        <f t="shared" si="9"/>
        <v>1.4488571447999754</v>
      </c>
    </row>
    <row r="144" spans="1:5" x14ac:dyDescent="0.25">
      <c r="A144">
        <f t="shared" ref="A144:A207" si="10">1+A143</f>
        <v>131</v>
      </c>
      <c r="B144" s="24">
        <f t="shared" ref="B144:B207" si="11">B$11^A144</f>
        <v>0.23411888277055035</v>
      </c>
      <c r="C144" s="24">
        <f t="shared" ref="C144:C207" si="12">1-B144</f>
        <v>0.76588111722944963</v>
      </c>
      <c r="D144" s="24">
        <f t="shared" ref="D144:D207" si="13">(C144-C143)*A144</f>
        <v>0.34181408385036327</v>
      </c>
      <c r="E144" s="24">
        <f t="shared" ref="E144:E207" si="14">D144/B144</f>
        <v>1.4600021997600265</v>
      </c>
    </row>
    <row r="145" spans="1:5" x14ac:dyDescent="0.25">
      <c r="A145">
        <f t="shared" si="10"/>
        <v>132</v>
      </c>
      <c r="B145" s="24">
        <f t="shared" si="11"/>
        <v>0.23153837485741535</v>
      </c>
      <c r="C145" s="24">
        <f t="shared" si="12"/>
        <v>0.76846162514258465</v>
      </c>
      <c r="D145" s="24">
        <f t="shared" si="13"/>
        <v>0.34062704453382286</v>
      </c>
      <c r="E145" s="24">
        <f t="shared" si="14"/>
        <v>1.4711472547200259</v>
      </c>
    </row>
    <row r="146" spans="1:5" x14ac:dyDescent="0.25">
      <c r="A146">
        <f t="shared" si="10"/>
        <v>133</v>
      </c>
      <c r="B146" s="24">
        <f t="shared" si="11"/>
        <v>0.22898630984905996</v>
      </c>
      <c r="C146" s="24">
        <f t="shared" si="12"/>
        <v>0.77101369015094001</v>
      </c>
      <c r="D146" s="24">
        <f t="shared" si="13"/>
        <v>0.33942464611126344</v>
      </c>
      <c r="E146" s="24">
        <f t="shared" si="14"/>
        <v>1.4822923096800009</v>
      </c>
    </row>
    <row r="147" spans="1:5" x14ac:dyDescent="0.25">
      <c r="A147">
        <f t="shared" si="10"/>
        <v>134</v>
      </c>
      <c r="B147" s="24">
        <f t="shared" si="11"/>
        <v>0.22646237424176338</v>
      </c>
      <c r="C147" s="24">
        <f t="shared" si="12"/>
        <v>0.77353762575823659</v>
      </c>
      <c r="D147" s="24">
        <f t="shared" si="13"/>
        <v>0.33820737137774159</v>
      </c>
      <c r="E147" s="24">
        <f t="shared" si="14"/>
        <v>1.4934373646400223</v>
      </c>
    </row>
    <row r="148" spans="1:5" x14ac:dyDescent="0.25">
      <c r="A148">
        <f t="shared" si="10"/>
        <v>135</v>
      </c>
      <c r="B148" s="24">
        <f t="shared" si="11"/>
        <v>0.22396625798730926</v>
      </c>
      <c r="C148" s="24">
        <f t="shared" si="12"/>
        <v>0.77603374201269071</v>
      </c>
      <c r="D148" s="24">
        <f t="shared" si="13"/>
        <v>0.33697569435130581</v>
      </c>
      <c r="E148" s="24">
        <f t="shared" si="14"/>
        <v>1.5045824196000099</v>
      </c>
    </row>
    <row r="149" spans="1:5" x14ac:dyDescent="0.25">
      <c r="A149">
        <f t="shared" si="10"/>
        <v>136</v>
      </c>
      <c r="B149" s="24">
        <f t="shared" si="11"/>
        <v>0.22149765445489833</v>
      </c>
      <c r="C149" s="24">
        <f t="shared" si="12"/>
        <v>0.77850234554510167</v>
      </c>
      <c r="D149" s="24">
        <f t="shared" si="13"/>
        <v>0.33573008040789087</v>
      </c>
      <c r="E149" s="24">
        <f t="shared" si="14"/>
        <v>1.5157274745600193</v>
      </c>
    </row>
    <row r="150" spans="1:5" x14ac:dyDescent="0.25">
      <c r="A150">
        <f t="shared" si="10"/>
        <v>137</v>
      </c>
      <c r="B150" s="24">
        <f t="shared" si="11"/>
        <v>0.21905626039348086</v>
      </c>
      <c r="C150" s="24">
        <f t="shared" si="12"/>
        <v>0.78094373960651908</v>
      </c>
      <c r="D150" s="24">
        <f t="shared" si="13"/>
        <v>0.33447098641418549</v>
      </c>
      <c r="E150" s="24">
        <f t="shared" si="14"/>
        <v>1.5268725295199981</v>
      </c>
    </row>
    <row r="151" spans="1:5" x14ac:dyDescent="0.25">
      <c r="A151">
        <f t="shared" si="10"/>
        <v>138</v>
      </c>
      <c r="B151" s="24">
        <f t="shared" si="11"/>
        <v>0.21664177589450462</v>
      </c>
      <c r="C151" s="24">
        <f t="shared" si="12"/>
        <v>0.78335822410549538</v>
      </c>
      <c r="D151" s="24">
        <f t="shared" si="13"/>
        <v>0.3331988608587293</v>
      </c>
      <c r="E151" s="24">
        <f t="shared" si="14"/>
        <v>1.5380175844800268</v>
      </c>
    </row>
    <row r="152" spans="1:5" x14ac:dyDescent="0.25">
      <c r="A152">
        <f t="shared" si="10"/>
        <v>139</v>
      </c>
      <c r="B152" s="24">
        <f t="shared" si="11"/>
        <v>0.21425390435507272</v>
      </c>
      <c r="C152" s="24">
        <f t="shared" si="12"/>
        <v>0.78574609564492726</v>
      </c>
      <c r="D152" s="24">
        <f t="shared" si="13"/>
        <v>0.33191414398103047</v>
      </c>
      <c r="E152" s="24">
        <f t="shared" si="14"/>
        <v>1.5491626394400033</v>
      </c>
    </row>
    <row r="153" spans="1:5" x14ac:dyDescent="0.25">
      <c r="A153">
        <f t="shared" si="10"/>
        <v>140</v>
      </c>
      <c r="B153" s="24">
        <f t="shared" si="11"/>
        <v>0.21189235244150839</v>
      </c>
      <c r="C153" s="24">
        <f t="shared" si="12"/>
        <v>0.78810764755849161</v>
      </c>
      <c r="D153" s="24">
        <f t="shared" si="13"/>
        <v>0.33061726789900936</v>
      </c>
      <c r="E153" s="24">
        <f t="shared" si="14"/>
        <v>1.560307694400034</v>
      </c>
    </row>
    <row r="154" spans="1:5" x14ac:dyDescent="0.25">
      <c r="A154">
        <f t="shared" si="10"/>
        <v>141</v>
      </c>
      <c r="B154" s="24">
        <f t="shared" si="11"/>
        <v>0.20955683005332071</v>
      </c>
      <c r="C154" s="24">
        <f t="shared" si="12"/>
        <v>0.79044316994667929</v>
      </c>
      <c r="D154" s="24">
        <f t="shared" si="13"/>
        <v>0.3293086567344633</v>
      </c>
      <c r="E154" s="24">
        <f t="shared" si="14"/>
        <v>1.5714527493600297</v>
      </c>
    </row>
    <row r="155" spans="1:5" x14ac:dyDescent="0.25">
      <c r="A155">
        <f t="shared" si="10"/>
        <v>142</v>
      </c>
      <c r="B155" s="24">
        <f t="shared" si="11"/>
        <v>0.20724705028756787</v>
      </c>
      <c r="C155" s="24">
        <f t="shared" si="12"/>
        <v>0.79275294971243215</v>
      </c>
      <c r="D155" s="24">
        <f t="shared" si="13"/>
        <v>0.32798872673690638</v>
      </c>
      <c r="E155" s="24">
        <f t="shared" si="14"/>
        <v>1.5825978043200233</v>
      </c>
    </row>
    <row r="156" spans="1:5" x14ac:dyDescent="0.25">
      <c r="A156">
        <f t="shared" si="10"/>
        <v>143</v>
      </c>
      <c r="B156" s="24">
        <f t="shared" si="11"/>
        <v>0.20496272940361296</v>
      </c>
      <c r="C156" s="24">
        <f t="shared" si="12"/>
        <v>0.79503727059638707</v>
      </c>
      <c r="D156" s="24">
        <f t="shared" si="13"/>
        <v>0.32665788640555293</v>
      </c>
      <c r="E156" s="24">
        <f t="shared" si="14"/>
        <v>1.5937428592800287</v>
      </c>
    </row>
    <row r="157" spans="1:5" x14ac:dyDescent="0.25">
      <c r="A157">
        <f t="shared" si="10"/>
        <v>144</v>
      </c>
      <c r="B157" s="24">
        <f t="shared" si="11"/>
        <v>0.20270358678826858</v>
      </c>
      <c r="C157" s="24">
        <f t="shared" si="12"/>
        <v>0.79729641321173139</v>
      </c>
      <c r="D157" s="24">
        <f t="shared" si="13"/>
        <v>0.32531653660958249</v>
      </c>
      <c r="E157" s="24">
        <f t="shared" si="14"/>
        <v>1.604887914239957</v>
      </c>
    </row>
    <row r="158" spans="1:5" x14ac:dyDescent="0.25">
      <c r="A158">
        <f t="shared" si="10"/>
        <v>145</v>
      </c>
      <c r="B158" s="24">
        <f t="shared" si="11"/>
        <v>0.20046934492132518</v>
      </c>
      <c r="C158" s="24">
        <f t="shared" si="12"/>
        <v>0.79953065507867482</v>
      </c>
      <c r="D158" s="24">
        <f t="shared" si="13"/>
        <v>0.32396507070679759</v>
      </c>
      <c r="E158" s="24">
        <f t="shared" si="14"/>
        <v>1.6160329692000475</v>
      </c>
    </row>
    <row r="159" spans="1:5" x14ac:dyDescent="0.25">
      <c r="A159">
        <f t="shared" si="10"/>
        <v>146</v>
      </c>
      <c r="B159" s="24">
        <f t="shared" si="11"/>
        <v>0.19825972934145986</v>
      </c>
      <c r="C159" s="24">
        <f t="shared" si="12"/>
        <v>0.80174027065854014</v>
      </c>
      <c r="D159" s="24">
        <f t="shared" si="13"/>
        <v>0.3226038746603368</v>
      </c>
      <c r="E159" s="24">
        <f t="shared" si="14"/>
        <v>1.6271780241600191</v>
      </c>
    </row>
    <row r="160" spans="1:5" x14ac:dyDescent="0.25">
      <c r="A160">
        <f t="shared" si="10"/>
        <v>147</v>
      </c>
      <c r="B160" s="24">
        <f t="shared" si="11"/>
        <v>0.19607446861252054</v>
      </c>
      <c r="C160" s="24">
        <f t="shared" si="12"/>
        <v>0.80392553138747946</v>
      </c>
      <c r="D160" s="24">
        <f t="shared" si="13"/>
        <v>0.32123332715408004</v>
      </c>
      <c r="E160" s="24">
        <f t="shared" si="14"/>
        <v>1.6383230791199879</v>
      </c>
    </row>
    <row r="161" spans="1:5" x14ac:dyDescent="0.25">
      <c r="A161">
        <f t="shared" si="10"/>
        <v>148</v>
      </c>
      <c r="B161" s="24">
        <f t="shared" si="11"/>
        <v>0.19391329429018175</v>
      </c>
      <c r="C161" s="24">
        <f t="shared" si="12"/>
        <v>0.80608670570981822</v>
      </c>
      <c r="D161" s="24">
        <f t="shared" si="13"/>
        <v>0.3198537997061357</v>
      </c>
      <c r="E161" s="24">
        <f t="shared" si="14"/>
        <v>1.649468134080019</v>
      </c>
    </row>
    <row r="162" spans="1:5" x14ac:dyDescent="0.25">
      <c r="A162">
        <f t="shared" si="10"/>
        <v>149</v>
      </c>
      <c r="B162" s="24">
        <f t="shared" si="11"/>
        <v>0.19177594088896846</v>
      </c>
      <c r="C162" s="24">
        <f t="shared" si="12"/>
        <v>0.80822405911103157</v>
      </c>
      <c r="D162" s="24">
        <f t="shared" si="13"/>
        <v>0.31846565678078897</v>
      </c>
      <c r="E162" s="24">
        <f t="shared" si="14"/>
        <v>1.6606131890400653</v>
      </c>
    </row>
    <row r="163" spans="1:5" x14ac:dyDescent="0.25">
      <c r="A163">
        <f t="shared" si="10"/>
        <v>150</v>
      </c>
      <c r="B163" s="24">
        <f t="shared" si="11"/>
        <v>0.18966214584964264</v>
      </c>
      <c r="C163" s="24">
        <f t="shared" si="12"/>
        <v>0.81033785415035742</v>
      </c>
      <c r="D163" s="24">
        <f t="shared" si="13"/>
        <v>0.31706925589887747</v>
      </c>
      <c r="E163" s="24">
        <f t="shared" si="14"/>
        <v>1.6717582440000369</v>
      </c>
    </row>
    <row r="164" spans="1:5" x14ac:dyDescent="0.25">
      <c r="A164">
        <f t="shared" si="10"/>
        <v>151</v>
      </c>
      <c r="B164" s="24">
        <f t="shared" si="11"/>
        <v>0.18757164950694979</v>
      </c>
      <c r="C164" s="24">
        <f t="shared" si="12"/>
        <v>0.81242835049305018</v>
      </c>
      <c r="D164" s="24">
        <f t="shared" si="13"/>
        <v>0.31566494774660681</v>
      </c>
      <c r="E164" s="24">
        <f t="shared" si="14"/>
        <v>1.6829032989599582</v>
      </c>
    </row>
    <row r="165" spans="1:5" x14ac:dyDescent="0.25">
      <c r="A165">
        <f t="shared" si="10"/>
        <v>152</v>
      </c>
      <c r="B165" s="24">
        <f t="shared" si="11"/>
        <v>0.18550419505772095</v>
      </c>
      <c r="C165" s="24">
        <f t="shared" si="12"/>
        <v>0.81449580494227902</v>
      </c>
      <c r="D165" s="24">
        <f t="shared" si="13"/>
        <v>0.31425307628278443</v>
      </c>
      <c r="E165" s="24">
        <f t="shared" si="14"/>
        <v>1.6940483539199873</v>
      </c>
    </row>
    <row r="166" spans="1:5" x14ac:dyDescent="0.25">
      <c r="A166">
        <f t="shared" si="10"/>
        <v>153</v>
      </c>
      <c r="B166" s="24">
        <f t="shared" si="11"/>
        <v>0.1834595285293259</v>
      </c>
      <c r="C166" s="24">
        <f t="shared" si="12"/>
        <v>0.8165404714706741</v>
      </c>
      <c r="D166" s="24">
        <f t="shared" si="13"/>
        <v>0.31283397884444697</v>
      </c>
      <c r="E166" s="24">
        <f t="shared" si="14"/>
        <v>1.7051934088800442</v>
      </c>
    </row>
    <row r="167" spans="1:5" x14ac:dyDescent="0.25">
      <c r="A167">
        <f t="shared" si="10"/>
        <v>154</v>
      </c>
      <c r="B167" s="24">
        <f t="shared" si="11"/>
        <v>0.1814373987484747</v>
      </c>
      <c r="C167" s="24">
        <f t="shared" si="12"/>
        <v>0.81856260125152525</v>
      </c>
      <c r="D167" s="24">
        <f t="shared" si="13"/>
        <v>0.31140798625107635</v>
      </c>
      <c r="E167" s="24">
        <f t="shared" si="14"/>
        <v>1.7163384638399655</v>
      </c>
    </row>
    <row r="168" spans="1:5" x14ac:dyDescent="0.25">
      <c r="A168">
        <f t="shared" si="10"/>
        <v>155</v>
      </c>
      <c r="B168" s="24">
        <f t="shared" si="11"/>
        <v>0.17943755731036257</v>
      </c>
      <c r="C168" s="24">
        <f t="shared" si="12"/>
        <v>0.82056244268963741</v>
      </c>
      <c r="D168" s="24">
        <f t="shared" si="13"/>
        <v>0.30997542290738478</v>
      </c>
      <c r="E168" s="24">
        <f t="shared" si="14"/>
        <v>1.7274835188000166</v>
      </c>
    </row>
    <row r="169" spans="1:5" x14ac:dyDescent="0.25">
      <c r="A169">
        <f t="shared" si="10"/>
        <v>156</v>
      </c>
      <c r="B169" s="24">
        <f t="shared" si="11"/>
        <v>0.17745975854815499</v>
      </c>
      <c r="C169" s="24">
        <f t="shared" si="12"/>
        <v>0.82254024145184501</v>
      </c>
      <c r="D169" s="24">
        <f t="shared" si="13"/>
        <v>0.30853660690438645</v>
      </c>
      <c r="E169" s="24">
        <f t="shared" si="14"/>
        <v>1.7386285737600775</v>
      </c>
    </row>
    <row r="170" spans="1:5" x14ac:dyDescent="0.25">
      <c r="A170">
        <f t="shared" si="10"/>
        <v>157</v>
      </c>
      <c r="B170" s="24">
        <f t="shared" si="11"/>
        <v>0.17550375950280955</v>
      </c>
      <c r="C170" s="24">
        <f t="shared" si="12"/>
        <v>0.8244962404971905</v>
      </c>
      <c r="D170" s="24">
        <f t="shared" si="13"/>
        <v>0.30709185011924212</v>
      </c>
      <c r="E170" s="24">
        <f t="shared" si="14"/>
        <v>1.7497736287200505</v>
      </c>
    </row>
    <row r="171" spans="1:5" x14ac:dyDescent="0.25">
      <c r="A171">
        <f t="shared" si="10"/>
        <v>158</v>
      </c>
      <c r="B171" s="24">
        <f t="shared" si="11"/>
        <v>0.17356931989322968</v>
      </c>
      <c r="C171" s="24">
        <f t="shared" si="12"/>
        <v>0.82643068010677034</v>
      </c>
      <c r="D171" s="24">
        <f t="shared" si="13"/>
        <v>0.30564145831361489</v>
      </c>
      <c r="E171" s="24">
        <f t="shared" si="14"/>
        <v>1.7609186836799771</v>
      </c>
    </row>
    <row r="172" spans="1:5" x14ac:dyDescent="0.25">
      <c r="A172">
        <f t="shared" si="10"/>
        <v>159</v>
      </c>
      <c r="B172" s="24">
        <f t="shared" si="11"/>
        <v>0.17165620208674798</v>
      </c>
      <c r="C172" s="24">
        <f t="shared" si="12"/>
        <v>0.82834379791325197</v>
      </c>
      <c r="D172" s="24">
        <f t="shared" si="13"/>
        <v>0.30418573123057813</v>
      </c>
      <c r="E172" s="24">
        <f t="shared" si="14"/>
        <v>1.7720637386399543</v>
      </c>
    </row>
    <row r="173" spans="1:5" x14ac:dyDescent="0.25">
      <c r="A173">
        <f t="shared" si="10"/>
        <v>160</v>
      </c>
      <c r="B173" s="24">
        <f t="shared" si="11"/>
        <v>0.16976417106993469</v>
      </c>
      <c r="C173" s="24">
        <f t="shared" si="12"/>
        <v>0.83023582893006531</v>
      </c>
      <c r="D173" s="24">
        <f t="shared" si="13"/>
        <v>0.30272496269013516</v>
      </c>
      <c r="E173" s="24">
        <f t="shared" si="14"/>
        <v>1.783208793600076</v>
      </c>
    </row>
    <row r="174" spans="1:5" x14ac:dyDescent="0.25">
      <c r="A174">
        <f t="shared" si="10"/>
        <v>161</v>
      </c>
      <c r="B174" s="24">
        <f t="shared" si="11"/>
        <v>0.16789299441972783</v>
      </c>
      <c r="C174" s="24">
        <f t="shared" si="12"/>
        <v>0.83210700558027217</v>
      </c>
      <c r="D174" s="24">
        <f t="shared" si="13"/>
        <v>0.3012594406833049</v>
      </c>
      <c r="E174" s="24">
        <f t="shared" si="14"/>
        <v>1.7943538485600219</v>
      </c>
    </row>
    <row r="175" spans="1:5" x14ac:dyDescent="0.25">
      <c r="A175">
        <f t="shared" si="10"/>
        <v>162</v>
      </c>
      <c r="B175" s="24">
        <f t="shared" si="11"/>
        <v>0.16604244227488163</v>
      </c>
      <c r="C175" s="24">
        <f t="shared" si="12"/>
        <v>0.83395755772511837</v>
      </c>
      <c r="D175" s="24">
        <f t="shared" si="13"/>
        <v>0.29978944746508374</v>
      </c>
      <c r="E175" s="24">
        <f t="shared" si="14"/>
        <v>1.8054989035200124</v>
      </c>
    </row>
    <row r="176" spans="1:5" x14ac:dyDescent="0.25">
      <c r="A176">
        <f t="shared" si="10"/>
        <v>163</v>
      </c>
      <c r="B176" s="24">
        <f t="shared" si="11"/>
        <v>0.16421228730772966</v>
      </c>
      <c r="C176" s="24">
        <f t="shared" si="12"/>
        <v>0.83578771269227037</v>
      </c>
      <c r="D176" s="24">
        <f t="shared" si="13"/>
        <v>0.29831525964577565</v>
      </c>
      <c r="E176" s="24">
        <f t="shared" si="14"/>
        <v>1.81664395848004</v>
      </c>
    </row>
    <row r="177" spans="1:5" x14ac:dyDescent="0.25">
      <c r="A177">
        <f t="shared" si="10"/>
        <v>164</v>
      </c>
      <c r="B177" s="24">
        <f t="shared" si="11"/>
        <v>0.16240230469625916</v>
      </c>
      <c r="C177" s="24">
        <f t="shared" si="12"/>
        <v>0.83759769530374084</v>
      </c>
      <c r="D177" s="24">
        <f t="shared" si="13"/>
        <v>0.29683714828115759</v>
      </c>
      <c r="E177" s="24">
        <f t="shared" si="14"/>
        <v>1.8277890134399988</v>
      </c>
    </row>
    <row r="178" spans="1:5" x14ac:dyDescent="0.25">
      <c r="A178">
        <f t="shared" si="10"/>
        <v>165</v>
      </c>
      <c r="B178" s="24">
        <f t="shared" si="11"/>
        <v>0.16061227209649323</v>
      </c>
      <c r="C178" s="24">
        <f t="shared" si="12"/>
        <v>0.8393877279035068</v>
      </c>
      <c r="D178" s="24">
        <f t="shared" si="13"/>
        <v>0.29535537896138275</v>
      </c>
      <c r="E178" s="24">
        <f t="shared" si="14"/>
        <v>1.8389340684000663</v>
      </c>
    </row>
    <row r="179" spans="1:5" x14ac:dyDescent="0.25">
      <c r="A179">
        <f t="shared" si="10"/>
        <v>166</v>
      </c>
      <c r="B179" s="24">
        <f t="shared" si="11"/>
        <v>0.15884196961517741</v>
      </c>
      <c r="C179" s="24">
        <f t="shared" si="12"/>
        <v>0.84115803038482262</v>
      </c>
      <c r="D179" s="24">
        <f t="shared" si="13"/>
        <v>0.29387021189842644</v>
      </c>
      <c r="E179" s="24">
        <f t="shared" si="14"/>
        <v>1.8500791233600204</v>
      </c>
    </row>
    <row r="180" spans="1:5" x14ac:dyDescent="0.25">
      <c r="A180">
        <f t="shared" si="10"/>
        <v>167</v>
      </c>
      <c r="B180" s="24">
        <f t="shared" si="11"/>
        <v>0.15709117978276721</v>
      </c>
      <c r="C180" s="24">
        <f t="shared" si="12"/>
        <v>0.84290882021723279</v>
      </c>
      <c r="D180" s="24">
        <f t="shared" si="13"/>
        <v>0.29238190201249858</v>
      </c>
      <c r="E180" s="24">
        <f t="shared" si="14"/>
        <v>1.8612241783199892</v>
      </c>
    </row>
    <row r="181" spans="1:5" x14ac:dyDescent="0.25">
      <c r="A181">
        <f t="shared" si="10"/>
        <v>168</v>
      </c>
      <c r="B181" s="24">
        <f t="shared" si="11"/>
        <v>0.15535968752671356</v>
      </c>
      <c r="C181" s="24">
        <f t="shared" si="12"/>
        <v>0.84464031247328641</v>
      </c>
      <c r="D181" s="24">
        <f t="shared" si="13"/>
        <v>0.29089069901700881</v>
      </c>
      <c r="E181" s="24">
        <f t="shared" si="14"/>
        <v>1.8723692332799728</v>
      </c>
    </row>
    <row r="182" spans="1:5" x14ac:dyDescent="0.25">
      <c r="A182">
        <f t="shared" si="10"/>
        <v>169</v>
      </c>
      <c r="B182" s="24">
        <f t="shared" si="11"/>
        <v>0.15364728014504253</v>
      </c>
      <c r="C182" s="24">
        <f t="shared" si="12"/>
        <v>0.84635271985495741</v>
      </c>
      <c r="D182" s="24">
        <f t="shared" si="13"/>
        <v>0.28939684750239891</v>
      </c>
      <c r="E182" s="24">
        <f t="shared" si="14"/>
        <v>1.883514288239982</v>
      </c>
    </row>
    <row r="183" spans="1:5" x14ac:dyDescent="0.25">
      <c r="A183">
        <f t="shared" si="10"/>
        <v>170</v>
      </c>
      <c r="B183" s="24">
        <f t="shared" si="11"/>
        <v>0.15195374728022645</v>
      </c>
      <c r="C183" s="24">
        <f t="shared" si="12"/>
        <v>0.84804625271977352</v>
      </c>
      <c r="D183" s="24">
        <f t="shared" si="13"/>
        <v>0.28790058701873789</v>
      </c>
      <c r="E183" s="24">
        <f t="shared" si="14"/>
        <v>1.8946593432000345</v>
      </c>
    </row>
    <row r="184" spans="1:5" x14ac:dyDescent="0.25">
      <c r="A184">
        <f t="shared" si="10"/>
        <v>171</v>
      </c>
      <c r="B184" s="24">
        <f t="shared" si="11"/>
        <v>0.15027888089334285</v>
      </c>
      <c r="C184" s="24">
        <f t="shared" si="12"/>
        <v>0.84972111910665715</v>
      </c>
      <c r="D184" s="24">
        <f t="shared" si="13"/>
        <v>0.2864021521571013</v>
      </c>
      <c r="E184" s="24">
        <f t="shared" si="14"/>
        <v>1.9058043981600379</v>
      </c>
    </row>
    <row r="185" spans="1:5" x14ac:dyDescent="0.25">
      <c r="A185">
        <f t="shared" si="10"/>
        <v>172</v>
      </c>
      <c r="B185" s="24">
        <f t="shared" si="11"/>
        <v>0.14862247523851829</v>
      </c>
      <c r="C185" s="24">
        <f t="shared" si="12"/>
        <v>0.85137752476148165</v>
      </c>
      <c r="D185" s="24">
        <f t="shared" si="13"/>
        <v>0.28490177262981398</v>
      </c>
      <c r="E185" s="24">
        <f t="shared" si="14"/>
        <v>1.9169494531199704</v>
      </c>
    </row>
    <row r="186" spans="1:5" x14ac:dyDescent="0.25">
      <c r="A186">
        <f t="shared" si="10"/>
        <v>173</v>
      </c>
      <c r="B186" s="24">
        <f t="shared" si="11"/>
        <v>0.146984326837654</v>
      </c>
      <c r="C186" s="24">
        <f t="shared" si="12"/>
        <v>0.85301567316234594</v>
      </c>
      <c r="D186" s="24">
        <f t="shared" si="13"/>
        <v>0.28339967334952254</v>
      </c>
      <c r="E186" s="24">
        <f t="shared" si="14"/>
        <v>1.9280945080800416</v>
      </c>
    </row>
    <row r="187" spans="1:5" x14ac:dyDescent="0.25">
      <c r="A187">
        <f t="shared" si="10"/>
        <v>174</v>
      </c>
      <c r="B187" s="24">
        <f t="shared" si="11"/>
        <v>0.1453642344554299</v>
      </c>
      <c r="C187" s="24">
        <f t="shared" si="12"/>
        <v>0.8546357655445701</v>
      </c>
      <c r="D187" s="24">
        <f t="shared" si="13"/>
        <v>0.2818960745070036</v>
      </c>
      <c r="E187" s="24">
        <f t="shared" si="14"/>
        <v>1.9392395630400798</v>
      </c>
    </row>
    <row r="188" spans="1:5" x14ac:dyDescent="0.25">
      <c r="A188">
        <f t="shared" si="10"/>
        <v>175</v>
      </c>
      <c r="B188" s="24">
        <f t="shared" si="11"/>
        <v>0.14376199907458417</v>
      </c>
      <c r="C188" s="24">
        <f t="shared" si="12"/>
        <v>0.8562380009254158</v>
      </c>
      <c r="D188" s="24">
        <f t="shared" si="13"/>
        <v>0.28039119164799675</v>
      </c>
      <c r="E188" s="24">
        <f t="shared" si="14"/>
        <v>1.9503846179999829</v>
      </c>
    </row>
    <row r="189" spans="1:5" x14ac:dyDescent="0.25">
      <c r="A189">
        <f t="shared" si="10"/>
        <v>176</v>
      </c>
      <c r="B189" s="24">
        <f t="shared" si="11"/>
        <v>0.14217742387146545</v>
      </c>
      <c r="C189" s="24">
        <f t="shared" si="12"/>
        <v>0.85782257612853452</v>
      </c>
      <c r="D189" s="24">
        <f t="shared" si="13"/>
        <v>0.2788852357488949</v>
      </c>
      <c r="E189" s="24">
        <f t="shared" si="14"/>
        <v>1.961529672960028</v>
      </c>
    </row>
    <row r="190" spans="1:5" x14ac:dyDescent="0.25">
      <c r="A190">
        <f t="shared" si="10"/>
        <v>177</v>
      </c>
      <c r="B190" s="24">
        <f t="shared" si="11"/>
        <v>0.14061031419185438</v>
      </c>
      <c r="C190" s="24">
        <f t="shared" si="12"/>
        <v>0.85938968580814556</v>
      </c>
      <c r="D190" s="24">
        <f t="shared" si="13"/>
        <v>0.27737841329115498</v>
      </c>
      <c r="E190" s="24">
        <f t="shared" si="14"/>
        <v>1.9726747279199497</v>
      </c>
    </row>
    <row r="191" spans="1:5" x14ac:dyDescent="0.25">
      <c r="A191">
        <f t="shared" si="10"/>
        <v>178</v>
      </c>
      <c r="B191" s="24">
        <f t="shared" si="11"/>
        <v>0.1390604775270515</v>
      </c>
      <c r="C191" s="24">
        <f t="shared" si="12"/>
        <v>0.86093952247294847</v>
      </c>
      <c r="D191" s="24">
        <f t="shared" si="13"/>
        <v>0.27587092633491728</v>
      </c>
      <c r="E191" s="24">
        <f t="shared" si="14"/>
        <v>1.9838197828800923</v>
      </c>
    </row>
    <row r="192" spans="1:5" x14ac:dyDescent="0.25">
      <c r="A192">
        <f t="shared" si="10"/>
        <v>179</v>
      </c>
      <c r="B192" s="24">
        <f t="shared" si="11"/>
        <v>0.13752772349022924</v>
      </c>
      <c r="C192" s="24">
        <f t="shared" si="12"/>
        <v>0.86247227650977076</v>
      </c>
      <c r="D192" s="24">
        <f t="shared" si="13"/>
        <v>0.27436297259119036</v>
      </c>
      <c r="E192" s="24">
        <f t="shared" si="14"/>
        <v>1.994964837840006</v>
      </c>
    </row>
    <row r="193" spans="1:5" x14ac:dyDescent="0.25">
      <c r="A193">
        <f t="shared" si="10"/>
        <v>180</v>
      </c>
      <c r="B193" s="24">
        <f t="shared" si="11"/>
        <v>0.1360118637930437</v>
      </c>
      <c r="C193" s="24">
        <f t="shared" si="12"/>
        <v>0.86398813620695636</v>
      </c>
      <c r="D193" s="24">
        <f t="shared" si="13"/>
        <v>0.27285474549340716</v>
      </c>
      <c r="E193" s="24">
        <f t="shared" si="14"/>
        <v>2.0061098928001182</v>
      </c>
    </row>
    <row r="194" spans="1:5" x14ac:dyDescent="0.25">
      <c r="A194">
        <f t="shared" si="10"/>
        <v>181</v>
      </c>
      <c r="B194" s="24">
        <f t="shared" si="11"/>
        <v>0.13451271222250519</v>
      </c>
      <c r="C194" s="24">
        <f t="shared" si="12"/>
        <v>0.86548728777749484</v>
      </c>
      <c r="D194" s="24">
        <f t="shared" si="13"/>
        <v>0.27134643426746519</v>
      </c>
      <c r="E194" s="24">
        <f t="shared" si="14"/>
        <v>2.017254947759997</v>
      </c>
    </row>
    <row r="195" spans="1:5" x14ac:dyDescent="0.25">
      <c r="A195">
        <f t="shared" si="10"/>
        <v>182</v>
      </c>
      <c r="B195" s="24">
        <f t="shared" si="11"/>
        <v>0.13303008461810298</v>
      </c>
      <c r="C195" s="24">
        <f t="shared" si="12"/>
        <v>0.86696991538189705</v>
      </c>
      <c r="D195" s="24">
        <f t="shared" si="13"/>
        <v>0.26983822400120205</v>
      </c>
      <c r="E195" s="24">
        <f t="shared" si="14"/>
        <v>2.0284000027200011</v>
      </c>
    </row>
    <row r="196" spans="1:5" x14ac:dyDescent="0.25">
      <c r="A196">
        <f t="shared" si="10"/>
        <v>183</v>
      </c>
      <c r="B196" s="24">
        <f t="shared" si="11"/>
        <v>0.13156379884918243</v>
      </c>
      <c r="C196" s="24">
        <f t="shared" si="12"/>
        <v>0.86843620115081754</v>
      </c>
      <c r="D196" s="24">
        <f t="shared" si="13"/>
        <v>0.26833029571245048</v>
      </c>
      <c r="E196" s="24">
        <f t="shared" si="14"/>
        <v>2.0395450576799603</v>
      </c>
    </row>
    <row r="197" spans="1:5" x14ac:dyDescent="0.25">
      <c r="A197">
        <f t="shared" si="10"/>
        <v>184</v>
      </c>
      <c r="B197" s="24">
        <f t="shared" si="11"/>
        <v>0.13011367479257166</v>
      </c>
      <c r="C197" s="24">
        <f t="shared" si="12"/>
        <v>0.86988632520742837</v>
      </c>
      <c r="D197" s="24">
        <f t="shared" si="13"/>
        <v>0.26682282641639166</v>
      </c>
      <c r="E197" s="24">
        <f t="shared" si="14"/>
        <v>2.0506901126400656</v>
      </c>
    </row>
    <row r="198" spans="1:5" x14ac:dyDescent="0.25">
      <c r="A198">
        <f t="shared" si="10"/>
        <v>185</v>
      </c>
      <c r="B198" s="24">
        <f t="shared" si="11"/>
        <v>0.1286795343104544</v>
      </c>
      <c r="C198" s="24">
        <f t="shared" si="12"/>
        <v>0.87132046568954558</v>
      </c>
      <c r="D198" s="24">
        <f t="shared" si="13"/>
        <v>0.26531598919168342</v>
      </c>
      <c r="E198" s="24">
        <f t="shared" si="14"/>
        <v>2.0618351675999822</v>
      </c>
    </row>
    <row r="199" spans="1:5" x14ac:dyDescent="0.25">
      <c r="A199">
        <f t="shared" si="10"/>
        <v>186</v>
      </c>
      <c r="B199" s="24">
        <f t="shared" si="11"/>
        <v>0.1272612012284873</v>
      </c>
      <c r="C199" s="24">
        <f t="shared" si="12"/>
        <v>0.87273879877151272</v>
      </c>
      <c r="D199" s="24">
        <f t="shared" si="13"/>
        <v>0.26380995324588974</v>
      </c>
      <c r="E199" s="24">
        <f t="shared" si="14"/>
        <v>2.0729802225600564</v>
      </c>
    </row>
    <row r="200" spans="1:5" x14ac:dyDescent="0.25">
      <c r="A200">
        <f t="shared" si="10"/>
        <v>187</v>
      </c>
      <c r="B200" s="24">
        <f t="shared" si="11"/>
        <v>0.12585850131415777</v>
      </c>
      <c r="C200" s="24">
        <f t="shared" si="12"/>
        <v>0.87414149868584223</v>
      </c>
      <c r="D200" s="24">
        <f t="shared" si="13"/>
        <v>0.26230488397961804</v>
      </c>
      <c r="E200" s="24">
        <f t="shared" si="14"/>
        <v>2.0841252775199819</v>
      </c>
    </row>
    <row r="201" spans="1:5" x14ac:dyDescent="0.25">
      <c r="A201">
        <f t="shared" si="10"/>
        <v>188</v>
      </c>
      <c r="B201" s="24">
        <f t="shared" si="11"/>
        <v>0.12447126225538094</v>
      </c>
      <c r="C201" s="24">
        <f t="shared" si="12"/>
        <v>0.87552873774461903</v>
      </c>
      <c r="D201" s="24">
        <f t="shared" si="13"/>
        <v>0.26080094305003865</v>
      </c>
      <c r="E201" s="24">
        <f t="shared" si="14"/>
        <v>2.0952703324800108</v>
      </c>
    </row>
    <row r="202" spans="1:5" x14ac:dyDescent="0.25">
      <c r="A202">
        <f t="shared" si="10"/>
        <v>189</v>
      </c>
      <c r="B202" s="24">
        <f t="shared" si="11"/>
        <v>0.1230993136393323</v>
      </c>
      <c r="C202" s="24">
        <f t="shared" si="12"/>
        <v>0.87690068636066765</v>
      </c>
      <c r="D202" s="24">
        <f t="shared" si="13"/>
        <v>0.25929828843318781</v>
      </c>
      <c r="E202" s="24">
        <f t="shared" si="14"/>
        <v>2.1064153874399643</v>
      </c>
    </row>
    <row r="203" spans="1:5" x14ac:dyDescent="0.25">
      <c r="A203">
        <f t="shared" si="10"/>
        <v>190</v>
      </c>
      <c r="B203" s="24">
        <f t="shared" si="11"/>
        <v>0.12174248693151349</v>
      </c>
      <c r="C203" s="24">
        <f t="shared" si="12"/>
        <v>0.87825751306848654</v>
      </c>
      <c r="D203" s="24">
        <f t="shared" si="13"/>
        <v>0.25779707448558953</v>
      </c>
      <c r="E203" s="24">
        <f t="shared" si="14"/>
        <v>2.1175604424001446</v>
      </c>
    </row>
    <row r="204" spans="1:5" x14ac:dyDescent="0.25">
      <c r="A204">
        <f t="shared" si="10"/>
        <v>191</v>
      </c>
      <c r="B204" s="24">
        <f t="shared" si="11"/>
        <v>0.12040061545504913</v>
      </c>
      <c r="C204" s="24">
        <f t="shared" si="12"/>
        <v>0.8795993845449509</v>
      </c>
      <c r="D204" s="24">
        <f t="shared" si="13"/>
        <v>0.25629745200469323</v>
      </c>
      <c r="E204" s="24">
        <f t="shared" si="14"/>
        <v>2.128705497360023</v>
      </c>
    </row>
    <row r="205" spans="1:5" x14ac:dyDescent="0.25">
      <c r="A205">
        <f t="shared" si="10"/>
        <v>192</v>
      </c>
      <c r="B205" s="24">
        <f t="shared" si="11"/>
        <v>0.11907353437021166</v>
      </c>
      <c r="C205" s="24">
        <f t="shared" si="12"/>
        <v>0.88092646562978838</v>
      </c>
      <c r="D205" s="24">
        <f t="shared" si="13"/>
        <v>0.2547995682887958</v>
      </c>
      <c r="E205" s="24">
        <f t="shared" si="14"/>
        <v>2.1398505523200324</v>
      </c>
    </row>
    <row r="206" spans="1:5" x14ac:dyDescent="0.25">
      <c r="A206">
        <f t="shared" si="10"/>
        <v>193</v>
      </c>
      <c r="B206" s="24">
        <f t="shared" si="11"/>
        <v>0.11776108065417192</v>
      </c>
      <c r="C206" s="24">
        <f t="shared" si="12"/>
        <v>0.8822389193458281</v>
      </c>
      <c r="D206" s="24">
        <f t="shared" si="13"/>
        <v>0.25330356719566571</v>
      </c>
      <c r="E206" s="24">
        <f t="shared" si="14"/>
        <v>2.1509956072799672</v>
      </c>
    </row>
    <row r="207" spans="1:5" x14ac:dyDescent="0.25">
      <c r="A207">
        <f t="shared" si="10"/>
        <v>194</v>
      </c>
      <c r="B207" s="24">
        <f t="shared" si="11"/>
        <v>0.11646309308097286</v>
      </c>
      <c r="C207" s="24">
        <f t="shared" si="12"/>
        <v>0.88353690691902709</v>
      </c>
      <c r="D207" s="24">
        <f t="shared" si="13"/>
        <v>0.25180958920060381</v>
      </c>
      <c r="E207" s="24">
        <f t="shared" si="14"/>
        <v>2.1621406622399175</v>
      </c>
    </row>
    <row r="208" spans="1:5" x14ac:dyDescent="0.25">
      <c r="A208">
        <f t="shared" ref="A208:A213" si="15">1+A207</f>
        <v>195</v>
      </c>
      <c r="B208" s="24">
        <f t="shared" ref="B208:B213" si="16">B$11^A208</f>
        <v>0.11517941220172413</v>
      </c>
      <c r="C208" s="24">
        <f t="shared" ref="C208:C213" si="17">1-B208</f>
        <v>0.88482058779827588</v>
      </c>
      <c r="D208" s="24">
        <f t="shared" ref="D208:D213" si="18">(C208-C207)*A208</f>
        <v>0.25031777145351486</v>
      </c>
      <c r="E208" s="24">
        <f t="shared" ref="E208:E213" si="19">D208/B208</f>
        <v>2.1732857172001423</v>
      </c>
    </row>
    <row r="209" spans="1:5" x14ac:dyDescent="0.25">
      <c r="A209">
        <f t="shared" si="15"/>
        <v>196</v>
      </c>
      <c r="B209" s="24">
        <f t="shared" si="16"/>
        <v>0.1139098803250148</v>
      </c>
      <c r="C209" s="24">
        <f t="shared" si="17"/>
        <v>0.88609011967498519</v>
      </c>
      <c r="D209" s="24">
        <f t="shared" si="18"/>
        <v>0.24882824783502411</v>
      </c>
      <c r="E209" s="24">
        <f t="shared" si="19"/>
        <v>2.18443077215999</v>
      </c>
    </row>
    <row r="210" spans="1:5" x14ac:dyDescent="0.25">
      <c r="A210">
        <f t="shared" si="15"/>
        <v>197</v>
      </c>
      <c r="B210" s="24">
        <f t="shared" si="16"/>
        <v>0.11265434149754208</v>
      </c>
      <c r="C210" s="24">
        <f t="shared" si="17"/>
        <v>0.88734565850245795</v>
      </c>
      <c r="D210" s="24">
        <f t="shared" si="18"/>
        <v>0.24734114901213322</v>
      </c>
      <c r="E210" s="24">
        <f t="shared" si="19"/>
        <v>2.195575827120074</v>
      </c>
    </row>
    <row r="211" spans="1:5" x14ac:dyDescent="0.25">
      <c r="A211">
        <f t="shared" si="15"/>
        <v>198</v>
      </c>
      <c r="B211" s="24">
        <f t="shared" si="16"/>
        <v>0.11141264148495347</v>
      </c>
      <c r="C211" s="24">
        <f t="shared" si="17"/>
        <v>0.88858735851504655</v>
      </c>
      <c r="D211" s="24">
        <f t="shared" si="18"/>
        <v>0.2458566024925446</v>
      </c>
      <c r="E211" s="24">
        <f t="shared" si="19"/>
        <v>2.2067208820800475</v>
      </c>
    </row>
    <row r="212" spans="1:5" x14ac:dyDescent="0.25">
      <c r="A212">
        <f t="shared" si="15"/>
        <v>199</v>
      </c>
      <c r="B212" s="24">
        <f t="shared" si="16"/>
        <v>0.11018462775290025</v>
      </c>
      <c r="C212" s="24">
        <f t="shared" si="17"/>
        <v>0.88981537224709972</v>
      </c>
      <c r="D212" s="24">
        <f t="shared" si="18"/>
        <v>0.24437473267858045</v>
      </c>
      <c r="E212" s="24">
        <f t="shared" si="19"/>
        <v>2.2178659370399161</v>
      </c>
    </row>
    <row r="213" spans="1:5" x14ac:dyDescent="0.25">
      <c r="A213">
        <f t="shared" si="15"/>
        <v>200</v>
      </c>
      <c r="B213" s="24">
        <f t="shared" si="16"/>
        <v>0.10897014944829954</v>
      </c>
      <c r="C213" s="24">
        <f t="shared" si="17"/>
        <v>0.89102985055170048</v>
      </c>
      <c r="D213" s="24">
        <f t="shared" si="18"/>
        <v>0.24289566092015047</v>
      </c>
      <c r="E213" s="24">
        <f t="shared" si="19"/>
        <v>2.2290109920000738</v>
      </c>
    </row>
    <row r="214" spans="1:5" x14ac:dyDescent="0.25">
      <c r="B214" s="24"/>
      <c r="C214" s="24"/>
      <c r="D214" s="24"/>
      <c r="E214" s="24"/>
    </row>
    <row r="215" spans="1:5" x14ac:dyDescent="0.25">
      <c r="B215" s="24"/>
      <c r="C215" s="24"/>
      <c r="D215" s="24"/>
      <c r="E215" s="24"/>
    </row>
    <row r="216" spans="1:5" x14ac:dyDescent="0.25">
      <c r="B216" s="24"/>
      <c r="C216" s="24"/>
      <c r="D216" s="24"/>
      <c r="E216" s="24"/>
    </row>
    <row r="217" spans="1:5" x14ac:dyDescent="0.25">
      <c r="B217" s="24"/>
      <c r="C217" s="24"/>
      <c r="D217" s="24"/>
      <c r="E217" s="24"/>
    </row>
    <row r="218" spans="1:5" x14ac:dyDescent="0.25">
      <c r="B218" s="24"/>
      <c r="C218" s="24"/>
      <c r="D218" s="24"/>
      <c r="E218" s="24"/>
    </row>
    <row r="219" spans="1:5" x14ac:dyDescent="0.25">
      <c r="B219" s="24"/>
      <c r="C219" s="24"/>
      <c r="D219" s="24"/>
      <c r="E219" s="24"/>
    </row>
  </sheetData>
  <hyperlinks>
    <hyperlink ref="B6" r:id="rId1" display="https://remoteworkplacedr.epa.gov/gmd/outreach/isotopes/,DanaInfo=.awxyCixxsHwylmMu3.,SSL+c13tellsus.html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A61" zoomScaleNormal="100" workbookViewId="0">
      <selection activeCell="D81" sqref="D81"/>
    </sheetView>
  </sheetViews>
  <sheetFormatPr defaultRowHeight="15" x14ac:dyDescent="0.25"/>
  <cols>
    <col min="12" max="13" width="12.28515625" customWidth="1"/>
  </cols>
  <sheetData>
    <row r="1" spans="1:15" x14ac:dyDescent="0.25">
      <c r="A1" s="1" t="s">
        <v>328</v>
      </c>
    </row>
    <row r="5" spans="1:15" x14ac:dyDescent="0.25">
      <c r="A5" s="1" t="s">
        <v>258</v>
      </c>
    </row>
    <row r="7" spans="1:15" x14ac:dyDescent="0.25">
      <c r="L7" t="s">
        <v>259</v>
      </c>
    </row>
    <row r="8" spans="1:15" x14ac:dyDescent="0.25">
      <c r="L8" t="s">
        <v>196</v>
      </c>
      <c r="M8" t="s">
        <v>260</v>
      </c>
    </row>
    <row r="9" spans="1:15" x14ac:dyDescent="0.25">
      <c r="L9">
        <v>0</v>
      </c>
      <c r="M9">
        <f>'Atmospheric carbon'!B10</f>
        <v>1.1145054959999999E-2</v>
      </c>
      <c r="N9">
        <f>M9</f>
        <v>1.1145054959999999E-2</v>
      </c>
      <c r="O9">
        <v>-0.6</v>
      </c>
    </row>
    <row r="10" spans="1:15" x14ac:dyDescent="0.25">
      <c r="L10">
        <v>60</v>
      </c>
      <c r="M10">
        <f>M9*60</f>
        <v>0.66870329759999991</v>
      </c>
      <c r="N10">
        <f>M9</f>
        <v>1.1145054959999999E-2</v>
      </c>
      <c r="O10">
        <v>0.6</v>
      </c>
    </row>
    <row r="24" spans="12:15" x14ac:dyDescent="0.25">
      <c r="L24" t="s">
        <v>317</v>
      </c>
    </row>
    <row r="25" spans="12:15" x14ac:dyDescent="0.25">
      <c r="L25" t="s">
        <v>262</v>
      </c>
      <c r="M25" t="s">
        <v>264</v>
      </c>
      <c r="N25" t="s">
        <v>320</v>
      </c>
    </row>
    <row r="26" spans="12:15" x14ac:dyDescent="0.25">
      <c r="L26" t="s">
        <v>261</v>
      </c>
      <c r="M26">
        <f>MAX('Data summary'!L8:L74)</f>
        <v>1.3132745844804406E-2</v>
      </c>
      <c r="N26">
        <f>MAX('Data summary'!D8:D74)</f>
        <v>0.49289999999996326</v>
      </c>
    </row>
    <row r="27" spans="12:15" x14ac:dyDescent="0.25">
      <c r="L27" t="s">
        <v>263</v>
      </c>
      <c r="M27">
        <f>MIN('Data summary'!L8:L74)</f>
        <v>9.8756365968614371E-3</v>
      </c>
      <c r="N27">
        <f>MIN('Data summary'!D8:D15,'Data summary'!D17:D62,'Data summary'!D67:D93)</f>
        <v>1.9900000000006912E-2</v>
      </c>
    </row>
    <row r="29" spans="12:15" x14ac:dyDescent="0.25">
      <c r="L29" t="s">
        <v>318</v>
      </c>
    </row>
    <row r="30" spans="12:15" x14ac:dyDescent="0.25">
      <c r="L30" t="s">
        <v>265</v>
      </c>
      <c r="M30" t="s">
        <v>266</v>
      </c>
      <c r="N30" t="s">
        <v>267</v>
      </c>
    </row>
    <row r="31" spans="12:15" x14ac:dyDescent="0.25">
      <c r="L31">
        <v>0</v>
      </c>
      <c r="M31">
        <f>M26</f>
        <v>1.3132745844804406E-2</v>
      </c>
      <c r="N31">
        <f>M27</f>
        <v>9.8756365968614371E-3</v>
      </c>
      <c r="O31">
        <v>-0.6</v>
      </c>
    </row>
    <row r="32" spans="12:15" x14ac:dyDescent="0.25">
      <c r="L32">
        <v>60</v>
      </c>
      <c r="M32">
        <f>M31</f>
        <v>1.3132745844804406E-2</v>
      </c>
      <c r="N32">
        <f>N31</f>
        <v>9.8756365968614371E-3</v>
      </c>
      <c r="O32">
        <v>0.6</v>
      </c>
    </row>
    <row r="34" spans="12:15" x14ac:dyDescent="0.25">
      <c r="L34" t="s">
        <v>349</v>
      </c>
      <c r="M34">
        <f>AVERAGE('Data summary'!L8:L74)</f>
        <v>1.124200724664748E-2</v>
      </c>
    </row>
    <row r="35" spans="12:15" x14ac:dyDescent="0.25">
      <c r="L35" t="s">
        <v>350</v>
      </c>
      <c r="M35">
        <f>STDEV('Data summary'!L8:L74)</f>
        <v>5.8336327734140564E-4</v>
      </c>
    </row>
    <row r="36" spans="12:15" x14ac:dyDescent="0.25">
      <c r="L36" t="s">
        <v>351</v>
      </c>
      <c r="M36">
        <f>M34+2*M35</f>
        <v>1.2408733801330292E-2</v>
      </c>
    </row>
    <row r="37" spans="12:15" x14ac:dyDescent="0.25">
      <c r="L37" t="s">
        <v>352</v>
      </c>
      <c r="M37">
        <f>M34-2*M35</f>
        <v>1.0075280691964669E-2</v>
      </c>
    </row>
    <row r="44" spans="12:15" x14ac:dyDescent="0.25">
      <c r="L44" t="s">
        <v>319</v>
      </c>
    </row>
    <row r="45" spans="12:15" x14ac:dyDescent="0.25">
      <c r="L45">
        <v>0</v>
      </c>
      <c r="M45">
        <v>4.0000000000000001E-3</v>
      </c>
    </row>
    <row r="46" spans="12:15" x14ac:dyDescent="0.25">
      <c r="L46">
        <v>0</v>
      </c>
      <c r="M46">
        <v>1.7999999999999999E-2</v>
      </c>
    </row>
    <row r="48" spans="12:15" x14ac:dyDescent="0.25">
      <c r="L48" t="s">
        <v>321</v>
      </c>
      <c r="O48" t="s">
        <v>322</v>
      </c>
    </row>
    <row r="49" spans="12:26" x14ac:dyDescent="0.25">
      <c r="L49" t="s">
        <v>264</v>
      </c>
      <c r="M49" t="s">
        <v>266</v>
      </c>
      <c r="N49" t="s">
        <v>267</v>
      </c>
    </row>
    <row r="50" spans="12:26" x14ac:dyDescent="0.25">
      <c r="L50">
        <v>4.0000000000000001E-3</v>
      </c>
      <c r="M50">
        <f>N26</f>
        <v>0.49289999999996326</v>
      </c>
      <c r="N50">
        <f>N27</f>
        <v>1.9900000000006912E-2</v>
      </c>
    </row>
    <row r="51" spans="12:26" x14ac:dyDescent="0.25">
      <c r="L51">
        <v>1.7999999999999999E-2</v>
      </c>
      <c r="M51">
        <f>N26</f>
        <v>0.49289999999996326</v>
      </c>
      <c r="N51">
        <f>N27</f>
        <v>1.9900000000006912E-2</v>
      </c>
    </row>
    <row r="60" spans="12:26" x14ac:dyDescent="0.25">
      <c r="L60" s="1"/>
    </row>
    <row r="61" spans="12:26" x14ac:dyDescent="0.25">
      <c r="L61" s="1" t="s">
        <v>271</v>
      </c>
      <c r="M61" s="1"/>
      <c r="N61" s="1"/>
      <c r="O61" s="1" t="s">
        <v>272</v>
      </c>
      <c r="P61" s="1"/>
      <c r="Q61" s="1"/>
      <c r="R61" s="1"/>
      <c r="S61" s="1" t="s">
        <v>273</v>
      </c>
      <c r="T61" s="1"/>
      <c r="U61" s="1"/>
      <c r="V61" s="1"/>
    </row>
    <row r="62" spans="12:26" x14ac:dyDescent="0.25">
      <c r="L62" s="1" t="s">
        <v>1</v>
      </c>
      <c r="M62" s="1"/>
      <c r="N62" s="1" t="s">
        <v>274</v>
      </c>
      <c r="O62" s="1" t="s">
        <v>275</v>
      </c>
      <c r="P62" s="1" t="s">
        <v>276</v>
      </c>
      <c r="Q62" s="1" t="s">
        <v>277</v>
      </c>
      <c r="R62" s="1" t="s">
        <v>278</v>
      </c>
      <c r="S62" s="1" t="s">
        <v>275</v>
      </c>
      <c r="T62" s="94"/>
      <c r="U62" s="1" t="s">
        <v>277</v>
      </c>
      <c r="V62" s="1" t="s">
        <v>278</v>
      </c>
    </row>
    <row r="63" spans="12:26" x14ac:dyDescent="0.25">
      <c r="L63" t="s">
        <v>279</v>
      </c>
      <c r="N63">
        <f>COUNT('Data summary'!$L8:$L33)</f>
        <v>26</v>
      </c>
      <c r="O63">
        <f>AVERAGE('Data summary'!$L8:$L33)</f>
        <v>1.1057805691697191E-2</v>
      </c>
      <c r="P63">
        <f>STDEV('Data summary'!$L8:$L33)</f>
        <v>6.0221334394827339E-4</v>
      </c>
      <c r="Q63">
        <f>P63+O63</f>
        <v>1.1660019035645465E-2</v>
      </c>
      <c r="R63">
        <f>O63-P63</f>
        <v>1.0455592347748918E-2</v>
      </c>
      <c r="S63">
        <f>((O63-0.0112372)*1000)/O63</f>
        <v>-16.223318920995972</v>
      </c>
      <c r="T63" s="36"/>
      <c r="U63">
        <f t="shared" ref="U63:V63" si="0">((Q63-0.0112372)*1000)/Q63</f>
        <v>36.26229377095175</v>
      </c>
      <c r="V63">
        <f t="shared" si="0"/>
        <v>-74.754985299265329</v>
      </c>
      <c r="X63" t="s">
        <v>280</v>
      </c>
      <c r="Y63" t="s">
        <v>281</v>
      </c>
      <c r="Z63">
        <v>-27</v>
      </c>
    </row>
    <row r="64" spans="12:26" x14ac:dyDescent="0.25">
      <c r="L64" t="s">
        <v>282</v>
      </c>
      <c r="N64">
        <f>COUNT('Data summary'!$L34:$L53)</f>
        <v>20</v>
      </c>
      <c r="O64">
        <f>AVERAGE('Data summary'!$L34:$L53)</f>
        <v>1.1473110433555315E-2</v>
      </c>
      <c r="P64">
        <f>STDEV('Data summary'!$L34:$L53)</f>
        <v>6.1421091156998802E-4</v>
      </c>
      <c r="Q64">
        <f t="shared" ref="Q64:Q67" si="1">P64+O64</f>
        <v>1.2087321345125303E-2</v>
      </c>
      <c r="R64">
        <f t="shared" ref="R64:R67" si="2">O64-P64</f>
        <v>1.0858899521985326E-2</v>
      </c>
      <c r="S64">
        <f t="shared" ref="S64:S67" si="3">((O64-0.0112372)*1000)/O64</f>
        <v>20.562029357387704</v>
      </c>
      <c r="T64" s="36"/>
      <c r="U64">
        <f t="shared" ref="U64:U67" si="4">((Q64-0.0112372)*1000)/Q64</f>
        <v>70.331657515513101</v>
      </c>
      <c r="V64">
        <f t="shared" ref="V64:V67" si="5">((R64-0.0112372)*1000)/R64</f>
        <v>-34.837828386638236</v>
      </c>
      <c r="X64" t="s">
        <v>283</v>
      </c>
      <c r="Y64" t="s">
        <v>284</v>
      </c>
      <c r="Z64">
        <v>-14</v>
      </c>
    </row>
    <row r="65" spans="12:26" x14ac:dyDescent="0.25">
      <c r="L65" t="s">
        <v>285</v>
      </c>
      <c r="N65">
        <f>COUNT('Data summary'!$L54:$L60)</f>
        <v>7</v>
      </c>
      <c r="O65">
        <f>AVERAGE('Data summary'!$L54:$L60)</f>
        <v>1.1680494486975576E-2</v>
      </c>
      <c r="P65">
        <f>STDEV('Data summary'!$L54:$L60)</f>
        <v>3.7215971028406247E-4</v>
      </c>
      <c r="Q65">
        <f t="shared" si="1"/>
        <v>1.2052654197259639E-2</v>
      </c>
      <c r="R65">
        <f t="shared" si="2"/>
        <v>1.1308334776691513E-2</v>
      </c>
      <c r="S65">
        <f t="shared" si="3"/>
        <v>37.951688386983562</v>
      </c>
      <c r="T65" s="36"/>
      <c r="U65">
        <f t="shared" si="4"/>
        <v>67.657644856769039</v>
      </c>
      <c r="V65">
        <f t="shared" si="5"/>
        <v>6.2904731860375298</v>
      </c>
      <c r="X65" t="s">
        <v>286</v>
      </c>
      <c r="Y65" t="s">
        <v>287</v>
      </c>
      <c r="Z65">
        <v>-15</v>
      </c>
    </row>
    <row r="66" spans="12:26" x14ac:dyDescent="0.25">
      <c r="L66" t="s">
        <v>288</v>
      </c>
      <c r="N66">
        <f>COUNT('Data summary'!$L61:$L67)</f>
        <v>7</v>
      </c>
      <c r="O66">
        <f>AVERAGE('Data summary'!$L61:$L67)</f>
        <v>1.088731557562317E-2</v>
      </c>
      <c r="P66">
        <f>STDEV('Data summary'!$L61:$L67)</f>
        <v>2.6516122547467743E-4</v>
      </c>
      <c r="Q66">
        <f t="shared" si="1"/>
        <v>1.1152476801097847E-2</v>
      </c>
      <c r="R66">
        <f t="shared" si="2"/>
        <v>1.0622154350148494E-2</v>
      </c>
      <c r="S66">
        <f t="shared" si="3"/>
        <v>-32.136886447952712</v>
      </c>
      <c r="T66" s="36"/>
      <c r="U66">
        <f t="shared" si="4"/>
        <v>-7.5968056614842405</v>
      </c>
      <c r="V66">
        <f t="shared" si="5"/>
        <v>-57.902157093293198</v>
      </c>
      <c r="X66" t="s">
        <v>289</v>
      </c>
      <c r="Y66" t="s">
        <v>290</v>
      </c>
      <c r="Z66">
        <v>-15.74</v>
      </c>
    </row>
    <row r="67" spans="12:26" x14ac:dyDescent="0.25">
      <c r="L67" t="s">
        <v>313</v>
      </c>
      <c r="N67">
        <f>COUNT('Data summary'!$L68:$L74)</f>
        <v>7</v>
      </c>
      <c r="O67">
        <f>AVERAGE('Data summary'!$L68:$L74)</f>
        <v>1.1182094061708099E-2</v>
      </c>
      <c r="P67">
        <f>STDEV('Data summary'!$L68:$L74)</f>
        <v>3.5855345758516795E-4</v>
      </c>
      <c r="Q67">
        <f t="shared" si="1"/>
        <v>1.1540647519293267E-2</v>
      </c>
      <c r="R67">
        <f t="shared" si="2"/>
        <v>1.082354060412293E-2</v>
      </c>
      <c r="S67">
        <f t="shared" si="3"/>
        <v>-4.9280517573720815</v>
      </c>
      <c r="T67" s="36"/>
      <c r="U67">
        <f t="shared" si="4"/>
        <v>26.293803600359063</v>
      </c>
      <c r="V67">
        <f t="shared" si="5"/>
        <v>-38.218491619969264</v>
      </c>
      <c r="X67" t="s">
        <v>291</v>
      </c>
      <c r="Y67" t="s">
        <v>292</v>
      </c>
      <c r="Z67">
        <v>-17.09</v>
      </c>
    </row>
    <row r="68" spans="12:26" x14ac:dyDescent="0.25">
      <c r="L68" t="s">
        <v>293</v>
      </c>
      <c r="N68">
        <f>COUNT('Data summary'!$L75:$L81)</f>
        <v>7</v>
      </c>
      <c r="O68">
        <f>AVERAGE('Data summary'!$L75:$L81)</f>
        <v>1.3775943607561085E-2</v>
      </c>
      <c r="P68">
        <f>STDEV('Data summary'!$L75:$L81)</f>
        <v>2.156207338114351E-3</v>
      </c>
      <c r="Q68">
        <f t="shared" ref="Q68:Q75" si="6">P68+O68</f>
        <v>1.5932150945675436E-2</v>
      </c>
      <c r="R68">
        <f t="shared" ref="R68:R75" si="7">O68-P68</f>
        <v>1.1619736269446734E-2</v>
      </c>
      <c r="S68">
        <f t="shared" ref="S68:S75" si="8">((O68-0.0112372)*1000)/O68</f>
        <v>184.28818234764458</v>
      </c>
      <c r="T68" s="36"/>
      <c r="U68">
        <f t="shared" ref="U68:V75" si="9">((Q68-0.0112372)*1000)/Q68</f>
        <v>294.68406128488363</v>
      </c>
      <c r="V68">
        <f t="shared" si="9"/>
        <v>32.921252305234049</v>
      </c>
      <c r="X68" t="s">
        <v>294</v>
      </c>
      <c r="Y68" t="s">
        <v>295</v>
      </c>
      <c r="Z68">
        <v>-22.94</v>
      </c>
    </row>
    <row r="69" spans="12:26" x14ac:dyDescent="0.25">
      <c r="L69" t="s">
        <v>378</v>
      </c>
      <c r="N69">
        <f>COUNT('Data summary'!$L82:$L91)</f>
        <v>10</v>
      </c>
      <c r="O69">
        <f>AVERAGE('Data summary'!$L82:$L93)</f>
        <v>1.0773292507843221E-2</v>
      </c>
      <c r="P69">
        <f>STDEV('Data summary'!$L82:$L93)</f>
        <v>1.6771335781362103E-3</v>
      </c>
      <c r="Q69">
        <f t="shared" si="6"/>
        <v>1.2450426085979431E-2</v>
      </c>
      <c r="R69">
        <f t="shared" si="7"/>
        <v>9.0961589297070111E-3</v>
      </c>
      <c r="S69">
        <f t="shared" si="8"/>
        <v>-43.060883366811247</v>
      </c>
      <c r="T69" s="36"/>
      <c r="U69">
        <f t="shared" si="9"/>
        <v>97.444543471942652</v>
      </c>
      <c r="V69">
        <f t="shared" si="9"/>
        <v>-235.37859076984614</v>
      </c>
      <c r="X69" t="s">
        <v>297</v>
      </c>
      <c r="Y69" t="s">
        <v>298</v>
      </c>
      <c r="Z69">
        <v>-16</v>
      </c>
    </row>
    <row r="70" spans="12:26" x14ac:dyDescent="0.25">
      <c r="L70" t="s">
        <v>379</v>
      </c>
      <c r="N70">
        <f>COUNT('Data summary'!$L164:$L181)</f>
        <v>18</v>
      </c>
      <c r="O70">
        <f>AVERAGE('Data summary'!$L164:$L181)</f>
        <v>9.4083383168420097E-3</v>
      </c>
      <c r="P70">
        <f>STDEV('Data summary'!$L164:$L181)</f>
        <v>1.2517236153115154E-3</v>
      </c>
      <c r="Q70">
        <f t="shared" si="6"/>
        <v>1.0660061932153525E-2</v>
      </c>
      <c r="R70">
        <f t="shared" si="7"/>
        <v>8.1566147015304947E-3</v>
      </c>
      <c r="S70">
        <f t="shared" si="8"/>
        <v>-194.38732128543</v>
      </c>
      <c r="T70" s="36"/>
      <c r="U70">
        <f t="shared" si="9"/>
        <v>-54.140217150678623</v>
      </c>
      <c r="V70">
        <f t="shared" si="9"/>
        <v>-377.67939411082745</v>
      </c>
      <c r="X70" t="s">
        <v>300</v>
      </c>
      <c r="Y70" t="s">
        <v>301</v>
      </c>
      <c r="Z70">
        <v>-15.9</v>
      </c>
    </row>
    <row r="71" spans="12:26" x14ac:dyDescent="0.25">
      <c r="L71" t="s">
        <v>296</v>
      </c>
      <c r="N71">
        <f>COUNT('Data summary'!$L126:$L142)</f>
        <v>17</v>
      </c>
      <c r="O71">
        <f>AVERAGE('Data summary'!$L126:$L142)</f>
        <v>1.2706576620319866E-2</v>
      </c>
      <c r="P71">
        <f>STDEV('Data summary'!$L126:$L142)</f>
        <v>8.8808860073943409E-4</v>
      </c>
      <c r="Q71">
        <f t="shared" si="6"/>
        <v>1.35946652210593E-2</v>
      </c>
      <c r="R71">
        <f t="shared" si="7"/>
        <v>1.1818488019580431E-2</v>
      </c>
      <c r="S71">
        <f t="shared" si="8"/>
        <v>115.63906347285516</v>
      </c>
      <c r="T71" s="36"/>
      <c r="U71">
        <f t="shared" si="9"/>
        <v>173.41105372770676</v>
      </c>
      <c r="V71">
        <f t="shared" si="9"/>
        <v>49.184635007234057</v>
      </c>
      <c r="X71" t="s">
        <v>303</v>
      </c>
      <c r="Y71" t="s">
        <v>304</v>
      </c>
      <c r="Z71">
        <v>-15</v>
      </c>
    </row>
    <row r="72" spans="12:26" x14ac:dyDescent="0.25">
      <c r="L72" t="s">
        <v>299</v>
      </c>
      <c r="N72">
        <f>COUNT('Data summary'!$L97:$L104)</f>
        <v>8</v>
      </c>
      <c r="O72">
        <f>AVERAGE('Data summary'!$L97:$L104)</f>
        <v>1.0127732365974676E-2</v>
      </c>
      <c r="P72">
        <f>STDEV('Data summary'!$L97:$L104)</f>
        <v>8.7082611127663992E-4</v>
      </c>
      <c r="Q72">
        <f t="shared" si="6"/>
        <v>1.0998558477251317E-2</v>
      </c>
      <c r="R72">
        <f t="shared" si="7"/>
        <v>9.2569062546980357E-3</v>
      </c>
      <c r="S72">
        <f t="shared" si="8"/>
        <v>-109.5474874269695</v>
      </c>
      <c r="T72" s="36"/>
      <c r="U72">
        <f t="shared" si="9"/>
        <v>-21.69752729344237</v>
      </c>
      <c r="V72">
        <f t="shared" si="9"/>
        <v>-213.92608835127083</v>
      </c>
      <c r="X72" t="s">
        <v>305</v>
      </c>
      <c r="Y72" t="s">
        <v>306</v>
      </c>
      <c r="Z72">
        <v>-27</v>
      </c>
    </row>
    <row r="73" spans="12:26" x14ac:dyDescent="0.25">
      <c r="L73" t="s">
        <v>302</v>
      </c>
      <c r="N73">
        <f>COUNT('Data summary'!$L147:$L163)</f>
        <v>17</v>
      </c>
      <c r="O73">
        <f>AVERAGE('Data summary'!$L147:$L163)</f>
        <v>1.0501950500587423E-2</v>
      </c>
      <c r="P73">
        <f>STDEV('Data summary'!$L147:$L163)</f>
        <v>1.5441913290683872E-3</v>
      </c>
      <c r="Q73">
        <f t="shared" si="6"/>
        <v>1.2046141829655811E-2</v>
      </c>
      <c r="R73">
        <f t="shared" si="7"/>
        <v>8.957759171519036E-3</v>
      </c>
      <c r="S73">
        <f t="shared" si="8"/>
        <v>-70.01075651341624</v>
      </c>
      <c r="T73" s="36"/>
      <c r="U73">
        <f t="shared" si="9"/>
        <v>67.153603294319268</v>
      </c>
      <c r="V73">
        <f t="shared" si="9"/>
        <v>-254.46551808720045</v>
      </c>
      <c r="X73" t="s">
        <v>308</v>
      </c>
      <c r="Y73" t="s">
        <v>309</v>
      </c>
      <c r="Z73">
        <v>-40</v>
      </c>
    </row>
    <row r="74" spans="12:26" x14ac:dyDescent="0.25">
      <c r="L74" t="s">
        <v>307</v>
      </c>
      <c r="N74">
        <f>COUNT('Data summary'!$L105:$L125)</f>
        <v>21</v>
      </c>
      <c r="O74">
        <f>AVERAGE('Data summary'!$L105:$L125)</f>
        <v>1.0814251601276218E-2</v>
      </c>
      <c r="P74">
        <f>STDEV('Data summary'!$L105:$L125)</f>
        <v>1.4247146568327305E-3</v>
      </c>
      <c r="Q74">
        <f t="shared" si="6"/>
        <v>1.223896625810895E-2</v>
      </c>
      <c r="R74">
        <f t="shared" si="7"/>
        <v>9.3895369444434874E-3</v>
      </c>
      <c r="S74">
        <f t="shared" si="8"/>
        <v>-39.11027913146274</v>
      </c>
      <c r="T74" s="36"/>
      <c r="U74">
        <f t="shared" si="9"/>
        <v>81.850561312335373</v>
      </c>
      <c r="V74">
        <f t="shared" si="9"/>
        <v>-196.77893238919694</v>
      </c>
    </row>
    <row r="75" spans="12:26" x14ac:dyDescent="0.25">
      <c r="L75" t="s">
        <v>334</v>
      </c>
      <c r="N75">
        <f>COUNT('Data summary'!$L194:$L195,'Data summary'!$L191:$L192,'Data summary'!$L187:$L188,'Data summary'!$L182:$L183)</f>
        <v>8</v>
      </c>
      <c r="O75">
        <f>AVERAGE('Data summary'!$L194:$L195,'Data summary'!$L191:$L192,'Data summary'!$L187:$L188,'Data summary'!$L182:$L183)</f>
        <v>9.5303019146946045E-3</v>
      </c>
      <c r="P75">
        <f>STDEV('Data summary'!$L194:$L195,'Data summary'!$L191:$L192,'Data summary'!$L187:$L188,'Data summary'!$L182:$L183)</f>
        <v>1.3921907024704618E-3</v>
      </c>
      <c r="Q75">
        <f t="shared" si="6"/>
        <v>1.0922492617165066E-2</v>
      </c>
      <c r="R75">
        <f t="shared" si="7"/>
        <v>8.1381112122241427E-3</v>
      </c>
      <c r="S75">
        <f t="shared" si="8"/>
        <v>-179.10220479726448</v>
      </c>
      <c r="T75" s="36"/>
      <c r="U75">
        <f t="shared" si="9"/>
        <v>-28.812780549776683</v>
      </c>
      <c r="V75">
        <f t="shared" si="9"/>
        <v>-380.81180103815228</v>
      </c>
    </row>
    <row r="76" spans="12:26" x14ac:dyDescent="0.25">
      <c r="L76" t="s">
        <v>335</v>
      </c>
      <c r="N76">
        <f>COUNT('Data summary'!$L184:$L186,'Data summary'!$L189:$L190,'Data summary'!$L193,'Data summary'!$L196:$L197)</f>
        <v>8</v>
      </c>
      <c r="O76">
        <f>AVERAGE('Data summary'!$L184:$L186,'Data summary'!$L189:$L190,'Data summary'!$L193,'Data summary'!$L196:$L197)</f>
        <v>1.0146328741884814E-2</v>
      </c>
      <c r="P76">
        <f>STDEV('Data summary'!$L184:$L186,'Data summary'!$L189:$L190,'Data summary'!$L193,'Data summary'!$L196:$L197)</f>
        <v>1.3466083590957577E-3</v>
      </c>
      <c r="Q76">
        <f t="shared" ref="Q76" si="10">P76+O76</f>
        <v>1.1492937100980571E-2</v>
      </c>
      <c r="R76">
        <f t="shared" ref="R76" si="11">O76-P76</f>
        <v>8.7997203827890561E-3</v>
      </c>
      <c r="S76">
        <f t="shared" ref="S76" si="12">((O76-0.0112372)*1000)/O76</f>
        <v>-107.5138886060321</v>
      </c>
      <c r="T76" s="36"/>
      <c r="U76">
        <f t="shared" ref="U76" si="13">((Q76-0.0112372)*1000)/Q76</f>
        <v>22.251674983825712</v>
      </c>
      <c r="V76">
        <f t="shared" ref="V76" si="14">((R76-0.0112372)*1000)/R76</f>
        <v>-276.99512156980472</v>
      </c>
    </row>
    <row r="78" spans="12:26" x14ac:dyDescent="0.25">
      <c r="L78" t="s">
        <v>339</v>
      </c>
      <c r="N78">
        <f>SUM(N63:N76)</f>
        <v>181</v>
      </c>
    </row>
    <row r="79" spans="12:26" x14ac:dyDescent="0.25">
      <c r="L79" t="s">
        <v>331</v>
      </c>
      <c r="N79">
        <f>SUM(N63:N67)</f>
        <v>67</v>
      </c>
    </row>
    <row r="80" spans="12:26" x14ac:dyDescent="0.25">
      <c r="L80" t="s">
        <v>336</v>
      </c>
      <c r="N80">
        <f>SUM(N70,N73,N75:N76)</f>
        <v>51</v>
      </c>
    </row>
    <row r="81" spans="12:14" x14ac:dyDescent="0.25">
      <c r="L81" t="s">
        <v>337</v>
      </c>
      <c r="N81">
        <f>SUM(N71+N72+N74)</f>
        <v>46</v>
      </c>
    </row>
    <row r="82" spans="12:14" x14ac:dyDescent="0.25">
      <c r="L82" t="s">
        <v>338</v>
      </c>
      <c r="N82">
        <f>SUM(N70:N76)</f>
        <v>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42"/>
  <sheetViews>
    <sheetView workbookViewId="0"/>
  </sheetViews>
  <sheetFormatPr defaultRowHeight="15" x14ac:dyDescent="0.25"/>
  <cols>
    <col min="1" max="1" width="16.42578125" customWidth="1"/>
    <col min="2" max="2" width="31.7109375" customWidth="1"/>
    <col min="3" max="3" width="25" customWidth="1"/>
  </cols>
  <sheetData>
    <row r="6" spans="1:3" ht="15.75" thickBot="1" x14ac:dyDescent="0.3"/>
    <row r="7" spans="1:3" ht="16.5" thickTop="1" thickBot="1" x14ac:dyDescent="0.3">
      <c r="A7" s="102" t="s">
        <v>1</v>
      </c>
      <c r="B7" s="101" t="s">
        <v>2</v>
      </c>
      <c r="C7" s="100" t="s">
        <v>359</v>
      </c>
    </row>
    <row r="8" spans="1:3" ht="15.75" thickTop="1" x14ac:dyDescent="0.25">
      <c r="A8" s="42" t="s">
        <v>354</v>
      </c>
      <c r="B8" s="96"/>
      <c r="C8" s="98"/>
    </row>
    <row r="9" spans="1:3" x14ac:dyDescent="0.25">
      <c r="A9" s="42" t="s">
        <v>214</v>
      </c>
      <c r="B9" s="96" t="s">
        <v>165</v>
      </c>
      <c r="C9" s="98" t="s">
        <v>355</v>
      </c>
    </row>
    <row r="10" spans="1:3" x14ac:dyDescent="0.25">
      <c r="A10" s="42"/>
      <c r="B10" s="96" t="s">
        <v>167</v>
      </c>
      <c r="C10" s="98" t="s">
        <v>311</v>
      </c>
    </row>
    <row r="11" spans="1:3" x14ac:dyDescent="0.25">
      <c r="A11" s="42" t="s">
        <v>215</v>
      </c>
      <c r="B11" s="96" t="s">
        <v>171</v>
      </c>
      <c r="C11" s="98" t="s">
        <v>356</v>
      </c>
    </row>
    <row r="12" spans="1:3" x14ac:dyDescent="0.25">
      <c r="A12" s="42" t="s">
        <v>216</v>
      </c>
      <c r="B12" s="96" t="s">
        <v>165</v>
      </c>
      <c r="C12" s="98" t="s">
        <v>355</v>
      </c>
    </row>
    <row r="13" spans="1:3" ht="15.75" thickBot="1" x14ac:dyDescent="0.3">
      <c r="A13" s="42" t="s">
        <v>217</v>
      </c>
      <c r="B13" s="96" t="s">
        <v>171</v>
      </c>
      <c r="C13" s="98" t="s">
        <v>356</v>
      </c>
    </row>
    <row r="14" spans="1:3" ht="15.75" thickTop="1" x14ac:dyDescent="0.25">
      <c r="A14" s="103" t="s">
        <v>357</v>
      </c>
      <c r="B14" s="104"/>
      <c r="C14" s="105"/>
    </row>
    <row r="15" spans="1:3" x14ac:dyDescent="0.25">
      <c r="A15" s="42" t="s">
        <v>214</v>
      </c>
      <c r="B15" s="96" t="s">
        <v>117</v>
      </c>
      <c r="C15" s="98" t="s">
        <v>314</v>
      </c>
    </row>
    <row r="16" spans="1:3" x14ac:dyDescent="0.25">
      <c r="A16" s="42"/>
      <c r="B16" s="96" t="s">
        <v>169</v>
      </c>
      <c r="C16" s="98" t="s">
        <v>315</v>
      </c>
    </row>
    <row r="17" spans="1:3" x14ac:dyDescent="0.25">
      <c r="A17" s="42" t="s">
        <v>220</v>
      </c>
      <c r="B17" s="96" t="s">
        <v>117</v>
      </c>
      <c r="C17" s="98" t="s">
        <v>314</v>
      </c>
    </row>
    <row r="18" spans="1:3" x14ac:dyDescent="0.25">
      <c r="A18" s="42" t="s">
        <v>215</v>
      </c>
      <c r="B18" s="96" t="s">
        <v>169</v>
      </c>
      <c r="C18" s="98" t="s">
        <v>315</v>
      </c>
    </row>
    <row r="19" spans="1:3" x14ac:dyDescent="0.25">
      <c r="A19" s="42" t="s">
        <v>221</v>
      </c>
      <c r="B19" s="96" t="s">
        <v>128</v>
      </c>
      <c r="C19" s="98" t="s">
        <v>314</v>
      </c>
    </row>
    <row r="20" spans="1:3" x14ac:dyDescent="0.25">
      <c r="A20" s="42"/>
      <c r="B20" s="96" t="s">
        <v>173</v>
      </c>
      <c r="C20" s="98" t="s">
        <v>316</v>
      </c>
    </row>
    <row r="21" spans="1:3" x14ac:dyDescent="0.25">
      <c r="A21" s="42" t="s">
        <v>222</v>
      </c>
      <c r="B21" s="96" t="s">
        <v>119</v>
      </c>
      <c r="C21" s="98" t="s">
        <v>314</v>
      </c>
    </row>
    <row r="22" spans="1:3" x14ac:dyDescent="0.25">
      <c r="A22" s="42" t="s">
        <v>216</v>
      </c>
      <c r="B22" s="96" t="s">
        <v>119</v>
      </c>
      <c r="C22" s="98" t="s">
        <v>314</v>
      </c>
    </row>
    <row r="23" spans="1:3" x14ac:dyDescent="0.25">
      <c r="A23" s="42"/>
      <c r="B23" s="96" t="s">
        <v>117</v>
      </c>
      <c r="C23" s="98" t="s">
        <v>314</v>
      </c>
    </row>
    <row r="24" spans="1:3" ht="15.75" thickBot="1" x14ac:dyDescent="0.3">
      <c r="A24" s="106" t="s">
        <v>223</v>
      </c>
      <c r="B24" s="107" t="s">
        <v>119</v>
      </c>
      <c r="C24" s="108" t="s">
        <v>314</v>
      </c>
    </row>
    <row r="25" spans="1:3" ht="15.75" thickTop="1" x14ac:dyDescent="0.25">
      <c r="A25" s="42" t="s">
        <v>358</v>
      </c>
      <c r="B25" s="96"/>
      <c r="C25" s="98"/>
    </row>
    <row r="26" spans="1:3" x14ac:dyDescent="0.25">
      <c r="A26" s="67" t="s">
        <v>192</v>
      </c>
      <c r="B26" s="96" t="s">
        <v>111</v>
      </c>
      <c r="C26" s="98" t="s">
        <v>314</v>
      </c>
    </row>
    <row r="27" spans="1:3" x14ac:dyDescent="0.25">
      <c r="A27" s="67"/>
      <c r="B27" s="96" t="s">
        <v>95</v>
      </c>
      <c r="C27" s="98" t="s">
        <v>314</v>
      </c>
    </row>
    <row r="28" spans="1:3" x14ac:dyDescent="0.25">
      <c r="A28" s="67"/>
      <c r="B28" s="96" t="s">
        <v>112</v>
      </c>
      <c r="C28" s="98" t="s">
        <v>332</v>
      </c>
    </row>
    <row r="29" spans="1:3" x14ac:dyDescent="0.25">
      <c r="A29" s="67"/>
      <c r="B29" s="96" t="s">
        <v>109</v>
      </c>
      <c r="C29" s="98" t="s">
        <v>333</v>
      </c>
    </row>
    <row r="30" spans="1:3" x14ac:dyDescent="0.25">
      <c r="A30" s="67"/>
      <c r="B30" s="96" t="s">
        <v>105</v>
      </c>
      <c r="C30" s="98" t="s">
        <v>333</v>
      </c>
    </row>
    <row r="31" spans="1:3" x14ac:dyDescent="0.25">
      <c r="A31" s="67" t="s">
        <v>193</v>
      </c>
      <c r="B31" s="96" t="s">
        <v>111</v>
      </c>
      <c r="C31" s="98" t="s">
        <v>314</v>
      </c>
    </row>
    <row r="32" spans="1:3" x14ac:dyDescent="0.25">
      <c r="A32" s="67"/>
      <c r="B32" s="96" t="s">
        <v>95</v>
      </c>
      <c r="C32" s="98" t="s">
        <v>314</v>
      </c>
    </row>
    <row r="33" spans="1:3" x14ac:dyDescent="0.25">
      <c r="A33" s="67"/>
      <c r="B33" s="96" t="s">
        <v>109</v>
      </c>
      <c r="C33" s="98" t="s">
        <v>333</v>
      </c>
    </row>
    <row r="34" spans="1:3" x14ac:dyDescent="0.25">
      <c r="A34" s="67"/>
      <c r="B34" s="96" t="s">
        <v>105</v>
      </c>
      <c r="C34" s="98" t="s">
        <v>333</v>
      </c>
    </row>
    <row r="35" spans="1:3" x14ac:dyDescent="0.25">
      <c r="A35" s="67" t="s">
        <v>194</v>
      </c>
      <c r="B35" s="96" t="s">
        <v>111</v>
      </c>
      <c r="C35" s="98" t="s">
        <v>314</v>
      </c>
    </row>
    <row r="36" spans="1:3" x14ac:dyDescent="0.25">
      <c r="A36" s="67"/>
      <c r="B36" s="96" t="s">
        <v>95</v>
      </c>
      <c r="C36" s="98" t="s">
        <v>314</v>
      </c>
    </row>
    <row r="37" spans="1:3" x14ac:dyDescent="0.25">
      <c r="A37" s="67"/>
      <c r="B37" s="96" t="s">
        <v>109</v>
      </c>
      <c r="C37" s="98" t="s">
        <v>333</v>
      </c>
    </row>
    <row r="38" spans="1:3" x14ac:dyDescent="0.25">
      <c r="A38" s="67" t="s">
        <v>195</v>
      </c>
      <c r="B38" s="96" t="s">
        <v>111</v>
      </c>
      <c r="C38" s="98" t="s">
        <v>314</v>
      </c>
    </row>
    <row r="39" spans="1:3" x14ac:dyDescent="0.25">
      <c r="A39" s="67"/>
      <c r="B39" s="96" t="s">
        <v>95</v>
      </c>
      <c r="C39" s="98" t="s">
        <v>314</v>
      </c>
    </row>
    <row r="40" spans="1:3" x14ac:dyDescent="0.25">
      <c r="A40" s="67"/>
      <c r="B40" s="96" t="s">
        <v>112</v>
      </c>
      <c r="C40" s="98" t="s">
        <v>332</v>
      </c>
    </row>
    <row r="41" spans="1:3" ht="15.75" thickBot="1" x14ac:dyDescent="0.3">
      <c r="A41" s="73"/>
      <c r="B41" s="97" t="s">
        <v>99</v>
      </c>
      <c r="C41" s="99" t="s">
        <v>333</v>
      </c>
    </row>
    <row r="42" spans="1:3" ht="15.75" thickTop="1" x14ac:dyDescent="0.25"/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96"/>
  <sheetViews>
    <sheetView tabSelected="1" topLeftCell="A34" workbookViewId="0">
      <selection activeCell="Z38" sqref="Z38:AJ39"/>
    </sheetView>
  </sheetViews>
  <sheetFormatPr defaultRowHeight="15" x14ac:dyDescent="0.25"/>
  <cols>
    <col min="1" max="1" width="20" customWidth="1"/>
    <col min="2" max="2" width="21.28515625" customWidth="1"/>
    <col min="3" max="3" width="13.5703125" customWidth="1"/>
    <col min="6" max="6" width="10.5703125" customWidth="1"/>
    <col min="8" max="8" width="15.140625" customWidth="1"/>
    <col min="14" max="14" width="22.140625" customWidth="1"/>
    <col min="15" max="15" width="32.140625" customWidth="1"/>
    <col min="16" max="16" width="13.7109375" customWidth="1"/>
    <col min="20" max="20" width="18.5703125" customWidth="1"/>
    <col min="26" max="26" width="22.28515625" customWidth="1"/>
    <col min="27" max="27" width="34" customWidth="1"/>
    <col min="28" max="28" width="13.28515625" customWidth="1"/>
    <col min="32" max="32" width="14.7109375" customWidth="1"/>
  </cols>
  <sheetData>
    <row r="4" spans="1:36" x14ac:dyDescent="0.25">
      <c r="A4" s="1" t="s">
        <v>362</v>
      </c>
      <c r="N4" s="1" t="s">
        <v>363</v>
      </c>
      <c r="Z4" s="1" t="s">
        <v>365</v>
      </c>
    </row>
    <row r="5" spans="1:36" ht="15.75" thickBot="1" x14ac:dyDescent="0.3"/>
    <row r="6" spans="1:36" ht="45.75" thickTop="1" x14ac:dyDescent="0.25">
      <c r="A6" s="37" t="s">
        <v>1</v>
      </c>
      <c r="B6" s="61" t="s">
        <v>2</v>
      </c>
      <c r="C6" s="39" t="s">
        <v>3</v>
      </c>
      <c r="D6" s="38" t="s">
        <v>4</v>
      </c>
      <c r="E6" s="38" t="s">
        <v>5</v>
      </c>
      <c r="F6" s="39" t="s">
        <v>6</v>
      </c>
      <c r="G6" s="39" t="s">
        <v>7</v>
      </c>
      <c r="H6" s="38" t="s">
        <v>8</v>
      </c>
      <c r="I6" s="38" t="s">
        <v>368</v>
      </c>
      <c r="J6" s="38" t="s">
        <v>369</v>
      </c>
      <c r="K6" s="40" t="s">
        <v>11</v>
      </c>
      <c r="L6" s="41" t="s">
        <v>12</v>
      </c>
      <c r="N6" s="37" t="s">
        <v>1</v>
      </c>
      <c r="O6" s="61" t="s">
        <v>353</v>
      </c>
      <c r="P6" s="39" t="s">
        <v>3</v>
      </c>
      <c r="Q6" s="38" t="s">
        <v>4</v>
      </c>
      <c r="R6" s="38" t="s">
        <v>5</v>
      </c>
      <c r="S6" s="39" t="s">
        <v>6</v>
      </c>
      <c r="T6" s="38" t="s">
        <v>364</v>
      </c>
      <c r="U6" s="38" t="s">
        <v>368</v>
      </c>
      <c r="V6" s="38" t="s">
        <v>369</v>
      </c>
      <c r="W6" s="40" t="s">
        <v>11</v>
      </c>
      <c r="X6" s="41" t="s">
        <v>12</v>
      </c>
      <c r="Z6" s="37" t="s">
        <v>1</v>
      </c>
      <c r="AA6" s="61" t="s">
        <v>353</v>
      </c>
      <c r="AB6" s="39" t="s">
        <v>3</v>
      </c>
      <c r="AC6" s="38" t="s">
        <v>4</v>
      </c>
      <c r="AD6" s="38" t="s">
        <v>5</v>
      </c>
      <c r="AE6" s="39" t="s">
        <v>6</v>
      </c>
      <c r="AF6" s="38" t="s">
        <v>8</v>
      </c>
      <c r="AG6" s="38" t="s">
        <v>368</v>
      </c>
      <c r="AH6" s="38" t="s">
        <v>369</v>
      </c>
      <c r="AI6" s="40" t="s">
        <v>11</v>
      </c>
      <c r="AJ6" s="41" t="s">
        <v>12</v>
      </c>
    </row>
    <row r="7" spans="1:36" ht="15.75" thickBot="1" x14ac:dyDescent="0.3">
      <c r="A7" s="87"/>
      <c r="B7" s="88"/>
      <c r="C7" s="89" t="s">
        <v>366</v>
      </c>
      <c r="D7" s="90" t="s">
        <v>366</v>
      </c>
      <c r="E7" s="90"/>
      <c r="F7" s="91" t="s">
        <v>367</v>
      </c>
      <c r="G7" s="91"/>
      <c r="H7" s="90"/>
      <c r="I7" s="90"/>
      <c r="J7" s="90"/>
      <c r="K7" s="92"/>
      <c r="L7" s="93"/>
      <c r="N7" s="87"/>
      <c r="O7" s="88"/>
      <c r="P7" s="89" t="s">
        <v>366</v>
      </c>
      <c r="Q7" s="90" t="s">
        <v>366</v>
      </c>
      <c r="R7" s="90"/>
      <c r="S7" s="91" t="s">
        <v>367</v>
      </c>
      <c r="T7" s="90"/>
      <c r="U7" s="90"/>
      <c r="V7" s="90"/>
      <c r="W7" s="92"/>
      <c r="X7" s="93"/>
      <c r="Z7" s="87"/>
      <c r="AA7" s="88"/>
      <c r="AB7" s="89" t="s">
        <v>366</v>
      </c>
      <c r="AC7" s="90" t="s">
        <v>366</v>
      </c>
      <c r="AD7" s="90"/>
      <c r="AE7" s="91" t="s">
        <v>367</v>
      </c>
      <c r="AF7" s="90"/>
      <c r="AG7" s="90"/>
      <c r="AH7" s="90"/>
      <c r="AI7" s="92"/>
      <c r="AJ7" s="93"/>
    </row>
    <row r="8" spans="1:36" ht="15.75" thickTop="1" x14ac:dyDescent="0.25">
      <c r="A8" s="42" t="s">
        <v>198</v>
      </c>
      <c r="B8" s="62" t="s">
        <v>200</v>
      </c>
      <c r="C8" s="44">
        <v>592.26949999999999</v>
      </c>
      <c r="D8" s="44">
        <v>0.26949999999999363</v>
      </c>
      <c r="E8" s="45" t="s">
        <v>16</v>
      </c>
      <c r="F8" s="46">
        <v>591.26160000000004</v>
      </c>
      <c r="G8" s="46">
        <v>96.497600000000006</v>
      </c>
      <c r="H8" s="43" t="s">
        <v>17</v>
      </c>
      <c r="I8" s="43">
        <v>4937135</v>
      </c>
      <c r="J8" s="43">
        <v>1930457</v>
      </c>
      <c r="K8" s="47">
        <v>0.39100753777241254</v>
      </c>
      <c r="L8" s="48">
        <v>1.1171643936354643E-2</v>
      </c>
      <c r="N8" s="67" t="s">
        <v>213</v>
      </c>
      <c r="O8" s="62" t="s">
        <v>84</v>
      </c>
      <c r="P8" s="44">
        <v>363.97686800000002</v>
      </c>
      <c r="Q8" s="44">
        <v>-2.3131999999975505E-2</v>
      </c>
      <c r="R8" s="68" t="s">
        <v>16</v>
      </c>
      <c r="S8" s="69">
        <v>362.96896800000002</v>
      </c>
      <c r="T8" s="43" t="s">
        <v>178</v>
      </c>
      <c r="U8" s="70">
        <v>62841</v>
      </c>
      <c r="V8" s="43">
        <v>4085</v>
      </c>
      <c r="W8" s="47">
        <v>6.5005330914530327E-2</v>
      </c>
      <c r="X8" s="48">
        <v>9.2864758449329038E-3</v>
      </c>
      <c r="Z8" s="42" t="s">
        <v>187</v>
      </c>
      <c r="AA8" s="85" t="s">
        <v>87</v>
      </c>
      <c r="AB8" s="80">
        <v>513.96699999999998</v>
      </c>
      <c r="AC8" s="44">
        <v>-3.3000000000015461E-2</v>
      </c>
      <c r="AD8" s="45" t="s">
        <v>16</v>
      </c>
      <c r="AE8" s="65">
        <v>512.95910000000003</v>
      </c>
      <c r="AF8" s="43" t="s">
        <v>181</v>
      </c>
      <c r="AG8" s="66">
        <v>45858</v>
      </c>
      <c r="AH8" s="66">
        <v>4126</v>
      </c>
      <c r="AI8" s="47">
        <v>8.9973396135897776E-2</v>
      </c>
      <c r="AJ8" s="48">
        <v>8.997339613589778E-3</v>
      </c>
    </row>
    <row r="9" spans="1:36" x14ac:dyDescent="0.25">
      <c r="A9" s="42" t="s">
        <v>199</v>
      </c>
      <c r="B9" s="62"/>
      <c r="C9" s="44">
        <v>809.49289999999996</v>
      </c>
      <c r="D9" s="44">
        <v>0.49289999999996326</v>
      </c>
      <c r="E9" s="45" t="s">
        <v>16</v>
      </c>
      <c r="F9" s="46">
        <v>808.48500000000001</v>
      </c>
      <c r="G9" s="46">
        <v>95.0124</v>
      </c>
      <c r="H9" s="43" t="s">
        <v>18</v>
      </c>
      <c r="I9" s="43">
        <v>2995953</v>
      </c>
      <c r="J9" s="43">
        <v>1444531</v>
      </c>
      <c r="K9" s="47">
        <v>0.48216076820964815</v>
      </c>
      <c r="L9" s="48">
        <v>1.1213041121154609E-2</v>
      </c>
      <c r="N9" s="67"/>
      <c r="O9" s="62" t="s">
        <v>85</v>
      </c>
      <c r="P9" s="44">
        <v>413.97369400000002</v>
      </c>
      <c r="Q9" s="44">
        <v>-2.6305999999976848E-2</v>
      </c>
      <c r="R9" s="68" t="s">
        <v>16</v>
      </c>
      <c r="S9" s="69">
        <v>412.96579400000002</v>
      </c>
      <c r="T9" s="43" t="s">
        <v>179</v>
      </c>
      <c r="U9" s="70">
        <v>116903</v>
      </c>
      <c r="V9" s="43">
        <v>10767</v>
      </c>
      <c r="W9" s="47">
        <v>9.2101999093265358E-2</v>
      </c>
      <c r="X9" s="48">
        <v>1.151274988665817E-2</v>
      </c>
      <c r="Z9" s="42"/>
      <c r="AA9" s="85" t="s">
        <v>86</v>
      </c>
      <c r="AB9" s="80">
        <v>463.97059999999999</v>
      </c>
      <c r="AC9" s="44">
        <v>-2.9400000000009641E-2</v>
      </c>
      <c r="AD9" s="45" t="s">
        <v>16</v>
      </c>
      <c r="AE9" s="65">
        <v>462.96269999999998</v>
      </c>
      <c r="AF9" s="43" t="s">
        <v>180</v>
      </c>
      <c r="AG9" s="66">
        <v>36015</v>
      </c>
      <c r="AH9" s="66">
        <v>3871</v>
      </c>
      <c r="AI9" s="47">
        <v>0.10748299319727891</v>
      </c>
      <c r="AJ9" s="48">
        <v>1.1942554799697656E-2</v>
      </c>
    </row>
    <row r="10" spans="1:36" x14ac:dyDescent="0.25">
      <c r="A10" s="42"/>
      <c r="B10" s="62"/>
      <c r="C10" s="44">
        <v>782.47389999999996</v>
      </c>
      <c r="D10" s="44">
        <v>0.4738999999999578</v>
      </c>
      <c r="E10" s="45" t="s">
        <v>16</v>
      </c>
      <c r="F10" s="46">
        <v>781.46600000000001</v>
      </c>
      <c r="G10" s="46">
        <v>97.763099999999994</v>
      </c>
      <c r="H10" s="43" t="s">
        <v>19</v>
      </c>
      <c r="I10" s="43">
        <v>2175984</v>
      </c>
      <c r="J10" s="43">
        <v>1029791</v>
      </c>
      <c r="K10" s="47">
        <v>0.47325302024279592</v>
      </c>
      <c r="L10" s="48">
        <v>1.1005884191692928E-2</v>
      </c>
      <c r="N10" s="67"/>
      <c r="O10" s="62" t="s">
        <v>86</v>
      </c>
      <c r="P10" s="44">
        <v>463.97052000000002</v>
      </c>
      <c r="Q10" s="44">
        <v>-2.947999999997819E-2</v>
      </c>
      <c r="R10" s="68" t="s">
        <v>16</v>
      </c>
      <c r="S10" s="69">
        <v>462.96262000000002</v>
      </c>
      <c r="T10" s="43" t="s">
        <v>180</v>
      </c>
      <c r="U10" s="70">
        <v>160117</v>
      </c>
      <c r="V10" s="43">
        <v>13931</v>
      </c>
      <c r="W10" s="47">
        <v>8.7005127500515242E-2</v>
      </c>
      <c r="X10" s="48">
        <v>9.6672363889461384E-3</v>
      </c>
      <c r="Z10" s="42"/>
      <c r="AA10" s="85" t="s">
        <v>175</v>
      </c>
      <c r="AB10" s="80">
        <v>500.94540000000001</v>
      </c>
      <c r="AC10" s="44">
        <v>-5.4599999999993543E-2</v>
      </c>
      <c r="AD10" s="45" t="s">
        <v>16</v>
      </c>
      <c r="AE10" s="65">
        <v>499.9375</v>
      </c>
      <c r="AF10" s="43" t="s">
        <v>188</v>
      </c>
      <c r="AG10" s="66">
        <v>1450373</v>
      </c>
      <c r="AH10" s="66">
        <v>127897</v>
      </c>
      <c r="AI10" s="47">
        <v>8.8182143489984988E-2</v>
      </c>
      <c r="AJ10" s="48">
        <v>1.1022767936248123E-2</v>
      </c>
    </row>
    <row r="11" spans="1:36" x14ac:dyDescent="0.25">
      <c r="A11" s="42"/>
      <c r="B11" s="62"/>
      <c r="C11" s="44">
        <v>516.25329999999997</v>
      </c>
      <c r="D11" s="44">
        <v>0.25329999999996744</v>
      </c>
      <c r="E11" s="45" t="s">
        <v>16</v>
      </c>
      <c r="F11" s="46">
        <v>515.24540000000002</v>
      </c>
      <c r="G11" s="46">
        <v>96.131600000000006</v>
      </c>
      <c r="H11" s="43" t="s">
        <v>20</v>
      </c>
      <c r="I11" s="43">
        <v>2079577</v>
      </c>
      <c r="J11" s="43">
        <v>772532</v>
      </c>
      <c r="K11" s="47">
        <v>0.37148516260758796</v>
      </c>
      <c r="L11" s="48">
        <v>1.1257126139623878E-2</v>
      </c>
      <c r="N11" s="67"/>
      <c r="O11" s="62" t="s">
        <v>87</v>
      </c>
      <c r="P11" s="44">
        <v>513.96728499999995</v>
      </c>
      <c r="Q11" s="44">
        <v>-3.2715000000052896E-2</v>
      </c>
      <c r="R11" s="68" t="s">
        <v>16</v>
      </c>
      <c r="S11" s="69">
        <v>512.959385</v>
      </c>
      <c r="T11" s="43" t="s">
        <v>181</v>
      </c>
      <c r="U11" s="70">
        <v>262435</v>
      </c>
      <c r="V11" s="43">
        <v>27539</v>
      </c>
      <c r="W11" s="47">
        <v>0.10493646045687503</v>
      </c>
      <c r="X11" s="48">
        <v>1.0493646045687503E-2</v>
      </c>
      <c r="Z11" s="42"/>
      <c r="AA11" s="85" t="s">
        <v>88</v>
      </c>
      <c r="AB11" s="80">
        <v>563.96404999999982</v>
      </c>
      <c r="AC11" s="44">
        <v>-3.5950000000184446E-2</v>
      </c>
      <c r="AD11" s="45" t="s">
        <v>16</v>
      </c>
      <c r="AE11" s="65">
        <v>562.95614999999987</v>
      </c>
      <c r="AF11" s="43" t="s">
        <v>182</v>
      </c>
      <c r="AG11" s="66">
        <v>40878</v>
      </c>
      <c r="AH11" s="66">
        <v>4234</v>
      </c>
      <c r="AI11" s="47">
        <v>0.10357649591467293</v>
      </c>
      <c r="AJ11" s="48">
        <v>9.4160450831520838E-3</v>
      </c>
    </row>
    <row r="12" spans="1:36" x14ac:dyDescent="0.25">
      <c r="A12" s="42"/>
      <c r="B12" s="62"/>
      <c r="C12" s="44">
        <v>234.16310000000001</v>
      </c>
      <c r="D12" s="44">
        <v>0.16310000000001423</v>
      </c>
      <c r="E12" s="45" t="s">
        <v>16</v>
      </c>
      <c r="F12" s="46">
        <v>233.15520000000001</v>
      </c>
      <c r="G12" s="46">
        <v>99.935900000000004</v>
      </c>
      <c r="H12" s="43" t="s">
        <v>21</v>
      </c>
      <c r="I12" s="43">
        <v>2655529</v>
      </c>
      <c r="J12" s="43">
        <v>499401</v>
      </c>
      <c r="K12" s="47">
        <v>0.18806083458324124</v>
      </c>
      <c r="L12" s="48">
        <v>1.2537388972216084E-2</v>
      </c>
      <c r="N12" s="67"/>
      <c r="O12" s="62" t="s">
        <v>88</v>
      </c>
      <c r="P12" s="44">
        <v>563.96404999999982</v>
      </c>
      <c r="Q12" s="44">
        <v>-3.5950000000184446E-2</v>
      </c>
      <c r="R12" s="68" t="s">
        <v>16</v>
      </c>
      <c r="S12" s="69">
        <v>562.95614999999987</v>
      </c>
      <c r="T12" s="43" t="s">
        <v>182</v>
      </c>
      <c r="U12" s="70">
        <v>298760</v>
      </c>
      <c r="V12" s="43">
        <v>37208</v>
      </c>
      <c r="W12" s="47">
        <v>0.1245414379434998</v>
      </c>
      <c r="X12" s="48">
        <v>1.1321948903954528E-2</v>
      </c>
      <c r="Z12" s="42" t="s">
        <v>189</v>
      </c>
      <c r="AA12" s="85" t="s">
        <v>87</v>
      </c>
      <c r="AB12" s="80">
        <v>513.9674</v>
      </c>
      <c r="AC12" s="44">
        <v>-3.2600000000002183E-2</v>
      </c>
      <c r="AD12" s="45" t="s">
        <v>16</v>
      </c>
      <c r="AE12" s="65">
        <v>512.95950000000005</v>
      </c>
      <c r="AF12" s="43" t="s">
        <v>181</v>
      </c>
      <c r="AG12" s="66">
        <v>73000</v>
      </c>
      <c r="AH12" s="66">
        <v>7194</v>
      </c>
      <c r="AI12" s="47">
        <v>9.8547945205479451E-2</v>
      </c>
      <c r="AJ12" s="48">
        <v>9.8547945205479451E-3</v>
      </c>
    </row>
    <row r="13" spans="1:36" x14ac:dyDescent="0.25">
      <c r="A13" s="42" t="s">
        <v>201</v>
      </c>
      <c r="B13" s="62" t="s">
        <v>269</v>
      </c>
      <c r="C13" s="44">
        <v>312.17700000000002</v>
      </c>
      <c r="D13" s="44">
        <v>0.17700000000002092</v>
      </c>
      <c r="E13" s="45" t="s">
        <v>16</v>
      </c>
      <c r="F13" s="46">
        <v>311.16910000000001</v>
      </c>
      <c r="G13" s="46">
        <v>99.999899999999997</v>
      </c>
      <c r="H13" s="43" t="s">
        <v>22</v>
      </c>
      <c r="I13" s="43">
        <v>10204288</v>
      </c>
      <c r="J13" s="43">
        <v>1906054</v>
      </c>
      <c r="K13" s="47">
        <v>0.1867895143688614</v>
      </c>
      <c r="L13" s="48">
        <v>1.0987618492285965E-2</v>
      </c>
      <c r="N13" s="67"/>
      <c r="O13" s="62" t="s">
        <v>89</v>
      </c>
      <c r="P13" s="44">
        <v>613.96093800000006</v>
      </c>
      <c r="Q13" s="44">
        <v>-3.9061999999944419E-2</v>
      </c>
      <c r="R13" s="68" t="s">
        <v>16</v>
      </c>
      <c r="S13" s="69">
        <v>612.95303800000011</v>
      </c>
      <c r="T13" s="43" t="s">
        <v>183</v>
      </c>
      <c r="U13" s="70">
        <v>282707</v>
      </c>
      <c r="V13" s="43">
        <v>32228</v>
      </c>
      <c r="W13" s="47">
        <v>0.11399788473578652</v>
      </c>
      <c r="X13" s="48">
        <v>9.4998237279822102E-3</v>
      </c>
      <c r="Z13" s="42"/>
      <c r="AA13" s="85" t="s">
        <v>175</v>
      </c>
      <c r="AB13" s="80">
        <v>499.93740000000003</v>
      </c>
      <c r="AC13" s="44">
        <v>-6.2599999999974898E-2</v>
      </c>
      <c r="AD13" s="45" t="s">
        <v>16</v>
      </c>
      <c r="AE13" s="65">
        <v>498.92950000000002</v>
      </c>
      <c r="AF13" s="43" t="s">
        <v>188</v>
      </c>
      <c r="AG13" s="66">
        <v>2836438</v>
      </c>
      <c r="AH13" s="66">
        <v>244432</v>
      </c>
      <c r="AI13" s="47">
        <v>8.6175689368144126E-2</v>
      </c>
      <c r="AJ13" s="48">
        <v>1.0771961171018016E-2</v>
      </c>
    </row>
    <row r="14" spans="1:36" x14ac:dyDescent="0.25">
      <c r="A14" s="42" t="s">
        <v>199</v>
      </c>
      <c r="B14" s="62"/>
      <c r="C14" s="44">
        <v>266.15629999999999</v>
      </c>
      <c r="D14" s="44">
        <v>0.15629999999998745</v>
      </c>
      <c r="E14" s="45" t="s">
        <v>16</v>
      </c>
      <c r="F14" s="46">
        <v>265.14839999999998</v>
      </c>
      <c r="G14" s="46">
        <v>99.97</v>
      </c>
      <c r="H14" s="43" t="s">
        <v>23</v>
      </c>
      <c r="I14" s="43">
        <v>7820196</v>
      </c>
      <c r="J14" s="43">
        <v>1102745</v>
      </c>
      <c r="K14" s="47">
        <v>0.14101245032733195</v>
      </c>
      <c r="L14" s="48">
        <v>1.1751037527277663E-2</v>
      </c>
      <c r="N14" s="67"/>
      <c r="O14" s="62" t="s">
        <v>176</v>
      </c>
      <c r="P14" s="44">
        <v>663.9578260000003</v>
      </c>
      <c r="Q14" s="44">
        <v>-4.2173999999704392E-2</v>
      </c>
      <c r="R14" s="68" t="s">
        <v>16</v>
      </c>
      <c r="S14" s="69">
        <v>662.94992600000035</v>
      </c>
      <c r="T14" s="43" t="s">
        <v>184</v>
      </c>
      <c r="U14" s="70">
        <v>264563</v>
      </c>
      <c r="V14" s="43">
        <v>33135</v>
      </c>
      <c r="W14" s="47">
        <v>0.12524427074080655</v>
      </c>
      <c r="X14" s="48">
        <v>9.6341746723697351E-3</v>
      </c>
      <c r="Z14" s="42"/>
      <c r="AA14" s="85" t="s">
        <v>85</v>
      </c>
      <c r="AB14" s="80">
        <v>413.9726</v>
      </c>
      <c r="AC14" s="44">
        <v>-2.7400000000000091E-2</v>
      </c>
      <c r="AD14" s="45" t="s">
        <v>16</v>
      </c>
      <c r="AE14" s="65">
        <v>412.96469999999999</v>
      </c>
      <c r="AF14" s="43" t="s">
        <v>179</v>
      </c>
      <c r="AG14" s="66">
        <v>64007</v>
      </c>
      <c r="AH14" s="66">
        <v>5425</v>
      </c>
      <c r="AI14" s="47">
        <v>8.4756354773696627E-2</v>
      </c>
      <c r="AJ14" s="48">
        <v>1.0594544346712078E-2</v>
      </c>
    </row>
    <row r="15" spans="1:36" x14ac:dyDescent="0.25">
      <c r="A15" s="42"/>
      <c r="B15" s="62"/>
      <c r="C15" s="44">
        <v>294.1875</v>
      </c>
      <c r="D15" s="44">
        <v>0.1875</v>
      </c>
      <c r="E15" s="45" t="s">
        <v>16</v>
      </c>
      <c r="F15" s="46">
        <v>293.17959999999999</v>
      </c>
      <c r="G15" s="46">
        <v>99.896199999999993</v>
      </c>
      <c r="H15" s="43" t="s">
        <v>24</v>
      </c>
      <c r="I15" s="43">
        <v>5154950</v>
      </c>
      <c r="J15" s="43">
        <v>841956</v>
      </c>
      <c r="K15" s="47">
        <v>0.16332961522420197</v>
      </c>
      <c r="L15" s="48">
        <v>1.1666401087442999E-2</v>
      </c>
      <c r="N15" s="67"/>
      <c r="O15" s="62" t="s">
        <v>185</v>
      </c>
      <c r="P15" s="44">
        <v>713.95471400000054</v>
      </c>
      <c r="Q15" s="44">
        <v>-4.5285999999464366E-2</v>
      </c>
      <c r="R15" s="68" t="s">
        <v>16</v>
      </c>
      <c r="S15" s="69">
        <v>712.94681400000059</v>
      </c>
      <c r="T15" s="43" t="s">
        <v>186</v>
      </c>
      <c r="U15" s="70">
        <v>340211</v>
      </c>
      <c r="V15" s="43">
        <v>45752</v>
      </c>
      <c r="W15" s="47">
        <v>0.13448124840172718</v>
      </c>
      <c r="X15" s="48">
        <v>9.6058034572662262E-3</v>
      </c>
      <c r="Z15" s="42" t="s">
        <v>190</v>
      </c>
      <c r="AA15" s="85" t="s">
        <v>87</v>
      </c>
      <c r="AB15" s="80">
        <v>513.96759999999995</v>
      </c>
      <c r="AC15" s="44">
        <v>-3.2400000000052387E-2</v>
      </c>
      <c r="AD15" s="45" t="s">
        <v>16</v>
      </c>
      <c r="AE15" s="65">
        <v>512.9597</v>
      </c>
      <c r="AF15" s="43" t="s">
        <v>181</v>
      </c>
      <c r="AG15" s="66">
        <v>702700</v>
      </c>
      <c r="AH15" s="66">
        <v>76007</v>
      </c>
      <c r="AI15" s="47">
        <v>0.10816422370855272</v>
      </c>
      <c r="AJ15" s="48">
        <v>1.0816422370855273E-2</v>
      </c>
    </row>
    <row r="16" spans="1:36" x14ac:dyDescent="0.25">
      <c r="A16" s="42"/>
      <c r="B16" s="62"/>
      <c r="C16" s="44">
        <v>824.5655999999999</v>
      </c>
      <c r="D16" s="44">
        <v>-0.43440000000009604</v>
      </c>
      <c r="E16" s="45" t="s">
        <v>16</v>
      </c>
      <c r="F16" s="46">
        <v>823.55769999999995</v>
      </c>
      <c r="G16" s="46">
        <v>93.94</v>
      </c>
      <c r="H16" s="43" t="s">
        <v>25</v>
      </c>
      <c r="I16" s="43">
        <v>2048782</v>
      </c>
      <c r="J16" s="43">
        <v>1067885</v>
      </c>
      <c r="K16" s="47">
        <v>0.52122919861654393</v>
      </c>
      <c r="L16" s="48">
        <v>1.133106953514226E-2</v>
      </c>
      <c r="N16" s="67" t="s">
        <v>90</v>
      </c>
      <c r="O16" s="62" t="s">
        <v>91</v>
      </c>
      <c r="P16" s="44">
        <v>477.96164200809898</v>
      </c>
      <c r="Q16" s="44">
        <v>-3.835799190102307E-2</v>
      </c>
      <c r="R16" s="68" t="s">
        <v>16</v>
      </c>
      <c r="S16" s="69">
        <v>432.98970000000003</v>
      </c>
      <c r="T16" s="43" t="s">
        <v>92</v>
      </c>
      <c r="U16" s="70">
        <v>57972</v>
      </c>
      <c r="V16" s="43">
        <v>9422</v>
      </c>
      <c r="W16" s="47">
        <v>0.16252673704547022</v>
      </c>
      <c r="X16" s="48">
        <v>1.0835115803031347E-2</v>
      </c>
      <c r="Z16" s="42"/>
      <c r="AA16" s="85" t="s">
        <v>89</v>
      </c>
      <c r="AB16" s="80">
        <v>613.96109999999999</v>
      </c>
      <c r="AC16" s="44">
        <v>-3.8900000000012369E-2</v>
      </c>
      <c r="AD16" s="45" t="s">
        <v>16</v>
      </c>
      <c r="AE16" s="65">
        <v>612.95320000000004</v>
      </c>
      <c r="AF16" s="43" t="s">
        <v>183</v>
      </c>
      <c r="AG16" s="66">
        <v>274731</v>
      </c>
      <c r="AH16" s="66">
        <v>39942</v>
      </c>
      <c r="AI16" s="47">
        <v>0.1453858501588827</v>
      </c>
      <c r="AJ16" s="48">
        <v>1.2115487513240224E-2</v>
      </c>
    </row>
    <row r="17" spans="1:36" x14ac:dyDescent="0.25">
      <c r="A17" s="42"/>
      <c r="B17" s="62"/>
      <c r="C17" s="44">
        <v>234.16290000000001</v>
      </c>
      <c r="D17" s="44">
        <v>0.16290000000000759</v>
      </c>
      <c r="E17" s="45" t="s">
        <v>16</v>
      </c>
      <c r="F17" s="46">
        <v>233.155</v>
      </c>
      <c r="G17" s="46">
        <v>99.991600000000005</v>
      </c>
      <c r="H17" s="43" t="s">
        <v>21</v>
      </c>
      <c r="I17" s="43">
        <v>2803109</v>
      </c>
      <c r="J17" s="43">
        <v>475973</v>
      </c>
      <c r="K17" s="47">
        <v>0.16980181648305506</v>
      </c>
      <c r="L17" s="48">
        <v>1.1320121098870338E-2</v>
      </c>
      <c r="N17" s="67"/>
      <c r="O17" s="62" t="s">
        <v>93</v>
      </c>
      <c r="P17" s="44">
        <v>562.16950952299999</v>
      </c>
      <c r="Q17" s="44">
        <v>0.16950952299998789</v>
      </c>
      <c r="R17" s="68" t="s">
        <v>16</v>
      </c>
      <c r="S17" s="69">
        <v>280.07760000000002</v>
      </c>
      <c r="T17" s="43" t="s">
        <v>94</v>
      </c>
      <c r="U17" s="70">
        <v>303226</v>
      </c>
      <c r="V17" s="43">
        <v>45603</v>
      </c>
      <c r="W17" s="47">
        <v>0.15039277634503637</v>
      </c>
      <c r="X17" s="48">
        <v>5.3711705837512988E-3</v>
      </c>
      <c r="Z17" s="42"/>
      <c r="AA17" s="85" t="s">
        <v>86</v>
      </c>
      <c r="AB17" s="80">
        <v>464.9742</v>
      </c>
      <c r="AC17" s="44">
        <v>-2.580000000000382E-2</v>
      </c>
      <c r="AD17" s="45" t="s">
        <v>16</v>
      </c>
      <c r="AE17" s="65">
        <v>463.96629999999999</v>
      </c>
      <c r="AF17" s="43" t="s">
        <v>180</v>
      </c>
      <c r="AG17" s="66">
        <v>112191</v>
      </c>
      <c r="AH17" s="66">
        <v>12134</v>
      </c>
      <c r="AI17" s="47">
        <v>0.10815484308010447</v>
      </c>
      <c r="AJ17" s="48">
        <v>1.2017204786678275E-2</v>
      </c>
    </row>
    <row r="18" spans="1:36" x14ac:dyDescent="0.25">
      <c r="A18" s="42" t="s">
        <v>26</v>
      </c>
      <c r="B18" s="63" t="s">
        <v>202</v>
      </c>
      <c r="C18" s="44">
        <v>592.39789999999994</v>
      </c>
      <c r="D18" s="44">
        <v>0.39789999999993597</v>
      </c>
      <c r="E18" s="45" t="s">
        <v>16</v>
      </c>
      <c r="F18" s="46">
        <v>591.39</v>
      </c>
      <c r="G18" s="46">
        <v>97.978999999999999</v>
      </c>
      <c r="H18" s="43" t="s">
        <v>27</v>
      </c>
      <c r="I18" s="43">
        <v>14992713</v>
      </c>
      <c r="J18" s="43">
        <v>6358351</v>
      </c>
      <c r="K18" s="47">
        <v>0.42409609254842667</v>
      </c>
      <c r="L18" s="48">
        <v>1.2117031215669333E-2</v>
      </c>
      <c r="N18" s="67"/>
      <c r="O18" s="62" t="s">
        <v>95</v>
      </c>
      <c r="P18" s="44">
        <v>308.035458846599</v>
      </c>
      <c r="Q18" s="44">
        <v>3.5458846598999116E-2</v>
      </c>
      <c r="R18" s="68" t="s">
        <v>16</v>
      </c>
      <c r="S18" s="69">
        <v>307.02789999999999</v>
      </c>
      <c r="T18" s="43" t="s">
        <v>96</v>
      </c>
      <c r="U18" s="70">
        <v>222281</v>
      </c>
      <c r="V18" s="43">
        <v>36201</v>
      </c>
      <c r="W18" s="47">
        <v>0.16286142315357588</v>
      </c>
      <c r="X18" s="48">
        <v>1.1632958796683992E-2</v>
      </c>
      <c r="Z18" s="42"/>
      <c r="AA18" s="85" t="s">
        <v>85</v>
      </c>
      <c r="AB18" s="80">
        <v>413.9744</v>
      </c>
      <c r="AC18" s="44">
        <v>-2.5599999999997181E-2</v>
      </c>
      <c r="AD18" s="45" t="s">
        <v>16</v>
      </c>
      <c r="AE18" s="65">
        <v>412.9665</v>
      </c>
      <c r="AF18" s="43" t="s">
        <v>179</v>
      </c>
      <c r="AG18" s="66">
        <v>262765</v>
      </c>
      <c r="AH18" s="66">
        <v>25364</v>
      </c>
      <c r="AI18" s="47">
        <v>9.6527315281715598E-2</v>
      </c>
      <c r="AJ18" s="48">
        <v>1.206591441021445E-2</v>
      </c>
    </row>
    <row r="19" spans="1:36" x14ac:dyDescent="0.25">
      <c r="A19" s="42" t="s">
        <v>199</v>
      </c>
      <c r="B19" s="62"/>
      <c r="C19" s="44">
        <v>518.35789999999997</v>
      </c>
      <c r="D19" s="44">
        <v>0.35789999999997235</v>
      </c>
      <c r="E19" s="45" t="s">
        <v>16</v>
      </c>
      <c r="F19" s="46">
        <v>517.35</v>
      </c>
      <c r="G19" s="46">
        <v>99.322000000000003</v>
      </c>
      <c r="H19" s="43" t="s">
        <v>28</v>
      </c>
      <c r="I19" s="43">
        <v>10781137</v>
      </c>
      <c r="J19" s="43">
        <v>3513127</v>
      </c>
      <c r="K19" s="47">
        <v>0.32585867334771834</v>
      </c>
      <c r="L19" s="48">
        <v>1.0511570107990914E-2</v>
      </c>
      <c r="N19" s="67"/>
      <c r="O19" s="62" t="s">
        <v>97</v>
      </c>
      <c r="P19" s="44">
        <v>214.06299418590001</v>
      </c>
      <c r="Q19" s="44">
        <v>6.2994185900009825E-2</v>
      </c>
      <c r="R19" s="68" t="s">
        <v>16</v>
      </c>
      <c r="S19" s="69">
        <v>213.0558</v>
      </c>
      <c r="T19" s="43" t="s">
        <v>98</v>
      </c>
      <c r="U19" s="70">
        <v>1303022</v>
      </c>
      <c r="V19" s="43">
        <v>189689</v>
      </c>
      <c r="W19" s="47">
        <v>0.14557620669489849</v>
      </c>
      <c r="X19" s="48">
        <v>1.1198169745761422E-2</v>
      </c>
      <c r="Z19" s="42"/>
      <c r="AA19" s="85" t="s">
        <v>88</v>
      </c>
      <c r="AB19" s="80">
        <v>563.96489999999994</v>
      </c>
      <c r="AC19" s="44">
        <v>-3.5100000000056752E-2</v>
      </c>
      <c r="AD19" s="45" t="s">
        <v>16</v>
      </c>
      <c r="AE19" s="65">
        <v>562.95699999999999</v>
      </c>
      <c r="AF19" s="43" t="s">
        <v>182</v>
      </c>
      <c r="AG19" s="66">
        <v>184208</v>
      </c>
      <c r="AH19" s="66">
        <v>23652</v>
      </c>
      <c r="AI19" s="47">
        <v>0.1283983323199861</v>
      </c>
      <c r="AJ19" s="48">
        <v>1.1672575665453282E-2</v>
      </c>
    </row>
    <row r="20" spans="1:36" x14ac:dyDescent="0.25">
      <c r="A20" s="42"/>
      <c r="B20" s="62"/>
      <c r="C20" s="44">
        <v>266.15789999999998</v>
      </c>
      <c r="D20" s="44">
        <v>0.15789999999998372</v>
      </c>
      <c r="E20" s="45" t="s">
        <v>16</v>
      </c>
      <c r="F20" s="46">
        <v>265.14999999999998</v>
      </c>
      <c r="G20" s="46">
        <v>99.998999999999995</v>
      </c>
      <c r="H20" s="43" t="s">
        <v>23</v>
      </c>
      <c r="I20" s="43">
        <v>12557454</v>
      </c>
      <c r="J20" s="43">
        <v>1719923</v>
      </c>
      <c r="K20" s="47">
        <v>0.13696430821088415</v>
      </c>
      <c r="L20" s="48">
        <v>1.1413692350907013E-2</v>
      </c>
      <c r="N20" s="67"/>
      <c r="O20" s="62" t="s">
        <v>99</v>
      </c>
      <c r="P20" s="44">
        <v>152.04734412209999</v>
      </c>
      <c r="Q20" s="44">
        <v>4.7344122099985952E-2</v>
      </c>
      <c r="R20" s="68" t="s">
        <v>16</v>
      </c>
      <c r="S20" s="69">
        <v>151.03989999999999</v>
      </c>
      <c r="T20" s="43" t="s">
        <v>100</v>
      </c>
      <c r="U20" s="70">
        <v>543424</v>
      </c>
      <c r="V20" s="43">
        <v>45142</v>
      </c>
      <c r="W20" s="47">
        <v>8.3069573666234839E-2</v>
      </c>
      <c r="X20" s="48">
        <v>1.0383696708279355E-2</v>
      </c>
      <c r="Z20" s="42" t="s">
        <v>191</v>
      </c>
      <c r="AA20" s="62" t="s">
        <v>87</v>
      </c>
      <c r="AB20" s="81">
        <v>513.96799999999996</v>
      </c>
      <c r="AC20" s="44">
        <v>-3.2000000000039108E-2</v>
      </c>
      <c r="AD20" s="45" t="s">
        <v>16</v>
      </c>
      <c r="AE20" s="46">
        <v>512.96010000000001</v>
      </c>
      <c r="AF20" s="66" t="s">
        <v>181</v>
      </c>
      <c r="AG20" s="43">
        <v>703650</v>
      </c>
      <c r="AH20" s="43">
        <v>80050</v>
      </c>
      <c r="AI20" s="47">
        <v>0.11376394514318199</v>
      </c>
      <c r="AJ20" s="48">
        <v>1.1376394514318199E-2</v>
      </c>
    </row>
    <row r="21" spans="1:36" x14ac:dyDescent="0.25">
      <c r="A21" s="42"/>
      <c r="B21" s="62"/>
      <c r="C21" s="44">
        <v>564.36789999999996</v>
      </c>
      <c r="D21" s="44">
        <v>0.36789999999996326</v>
      </c>
      <c r="E21" s="45" t="s">
        <v>16</v>
      </c>
      <c r="F21" s="46">
        <v>563.36</v>
      </c>
      <c r="G21" s="46">
        <v>93.775999999999996</v>
      </c>
      <c r="H21" s="43" t="s">
        <v>29</v>
      </c>
      <c r="I21" s="43">
        <v>3290483</v>
      </c>
      <c r="J21" s="43">
        <v>1145714</v>
      </c>
      <c r="K21" s="47">
        <v>0.34819022009838679</v>
      </c>
      <c r="L21" s="48">
        <v>1.0880944378074587E-2</v>
      </c>
      <c r="N21" s="67"/>
      <c r="O21" s="62" t="s">
        <v>101</v>
      </c>
      <c r="P21" s="44">
        <v>246.05282343049899</v>
      </c>
      <c r="Q21" s="44">
        <v>5.282343049898941E-2</v>
      </c>
      <c r="R21" s="68" t="s">
        <v>16</v>
      </c>
      <c r="S21" s="69">
        <v>245.0455</v>
      </c>
      <c r="T21" s="43" t="s">
        <v>102</v>
      </c>
      <c r="U21" s="70">
        <v>1055274</v>
      </c>
      <c r="V21" s="43">
        <v>154116</v>
      </c>
      <c r="W21" s="47">
        <v>0.14604358678409587</v>
      </c>
      <c r="X21" s="48">
        <v>1.1234122060315068E-2</v>
      </c>
      <c r="Z21" s="42"/>
      <c r="AA21" s="62" t="s">
        <v>89</v>
      </c>
      <c r="AB21" s="81">
        <v>613.96159999999998</v>
      </c>
      <c r="AC21" s="44">
        <v>-3.8400000000024193E-2</v>
      </c>
      <c r="AD21" s="45" t="s">
        <v>16</v>
      </c>
      <c r="AE21" s="46">
        <v>612.95370000000003</v>
      </c>
      <c r="AF21" s="66" t="s">
        <v>183</v>
      </c>
      <c r="AG21" s="43">
        <v>978652</v>
      </c>
      <c r="AH21" s="43">
        <v>70482</v>
      </c>
      <c r="AI21" s="47">
        <v>7.2019471681455713E-2</v>
      </c>
      <c r="AJ21" s="48">
        <v>6.0016226401213091E-3</v>
      </c>
    </row>
    <row r="22" spans="1:36" x14ac:dyDescent="0.25">
      <c r="A22" s="42"/>
      <c r="B22" s="62"/>
      <c r="C22" s="44">
        <v>490.3279</v>
      </c>
      <c r="D22" s="44">
        <v>0.32789999999999964</v>
      </c>
      <c r="E22" s="45" t="s">
        <v>16</v>
      </c>
      <c r="F22" s="46">
        <v>489.32</v>
      </c>
      <c r="G22" s="46">
        <v>99.028999999999996</v>
      </c>
      <c r="H22" s="43" t="s">
        <v>30</v>
      </c>
      <c r="I22" s="43">
        <v>2160826</v>
      </c>
      <c r="J22" s="43">
        <v>679311</v>
      </c>
      <c r="K22" s="47">
        <v>0.31437561376991946</v>
      </c>
      <c r="L22" s="48">
        <v>1.0840538405859291E-2</v>
      </c>
      <c r="N22" s="67"/>
      <c r="O22" s="62" t="s">
        <v>103</v>
      </c>
      <c r="P22" s="44">
        <v>230.05790880820001</v>
      </c>
      <c r="Q22" s="44">
        <v>5.7908808200011208E-2</v>
      </c>
      <c r="R22" s="68" t="s">
        <v>16</v>
      </c>
      <c r="S22" s="69">
        <v>229.0506</v>
      </c>
      <c r="T22" s="43" t="s">
        <v>104</v>
      </c>
      <c r="U22" s="70">
        <v>1196839</v>
      </c>
      <c r="V22" s="43">
        <v>178009</v>
      </c>
      <c r="W22" s="47">
        <v>0.14873261984276917</v>
      </c>
      <c r="X22" s="48">
        <v>1.144097075713609E-2</v>
      </c>
      <c r="Z22" s="67"/>
      <c r="AA22" s="62" t="s">
        <v>85</v>
      </c>
      <c r="AB22" s="81">
        <v>413.97379999999998</v>
      </c>
      <c r="AC22" s="44">
        <v>-2.6200000000017099E-2</v>
      </c>
      <c r="AD22" s="45" t="s">
        <v>16</v>
      </c>
      <c r="AE22" s="46">
        <v>412.96589999999998</v>
      </c>
      <c r="AF22" s="66" t="s">
        <v>179</v>
      </c>
      <c r="AG22" s="43">
        <v>240149</v>
      </c>
      <c r="AH22" s="43">
        <v>17533</v>
      </c>
      <c r="AI22" s="47">
        <v>7.3008840344952503E-2</v>
      </c>
      <c r="AJ22" s="48">
        <v>9.1261050431190628E-3</v>
      </c>
    </row>
    <row r="23" spans="1:36" x14ac:dyDescent="0.25">
      <c r="A23" s="42"/>
      <c r="B23" s="62"/>
      <c r="C23" s="44">
        <v>592.39789999999994</v>
      </c>
      <c r="D23" s="44">
        <v>0.39789999999993597</v>
      </c>
      <c r="E23" s="45" t="s">
        <v>16</v>
      </c>
      <c r="F23" s="46">
        <v>591.39</v>
      </c>
      <c r="G23" s="46">
        <v>93.54</v>
      </c>
      <c r="H23" s="43" t="s">
        <v>31</v>
      </c>
      <c r="I23" s="43">
        <v>1838922</v>
      </c>
      <c r="J23" s="43">
        <v>682963</v>
      </c>
      <c r="K23" s="47">
        <v>0.3713931314106852</v>
      </c>
      <c r="L23" s="48">
        <v>1.0923327394431918E-2</v>
      </c>
      <c r="N23" s="67"/>
      <c r="O23" s="62" t="s">
        <v>105</v>
      </c>
      <c r="P23" s="44">
        <v>166.06299418590001</v>
      </c>
      <c r="Q23" s="44">
        <v>6.2994185900009825E-2</v>
      </c>
      <c r="R23" s="68" t="s">
        <v>16</v>
      </c>
      <c r="S23" s="69">
        <v>165.0557</v>
      </c>
      <c r="T23" s="43" t="s">
        <v>106</v>
      </c>
      <c r="U23" s="70">
        <v>822836</v>
      </c>
      <c r="V23" s="43">
        <v>74360</v>
      </c>
      <c r="W23" s="47">
        <v>9.037037757220151E-2</v>
      </c>
      <c r="X23" s="48">
        <v>1.0041153063577946E-2</v>
      </c>
      <c r="Z23" s="42"/>
      <c r="AA23" s="62" t="s">
        <v>176</v>
      </c>
      <c r="AB23" s="81">
        <v>663.95889999999997</v>
      </c>
      <c r="AC23" s="44">
        <v>-4.1100000000028558E-2</v>
      </c>
      <c r="AD23" s="45" t="s">
        <v>16</v>
      </c>
      <c r="AE23" s="46">
        <v>662.95100000000002</v>
      </c>
      <c r="AF23" s="66" t="s">
        <v>184</v>
      </c>
      <c r="AG23" s="43">
        <v>165971</v>
      </c>
      <c r="AH23" s="43">
        <v>21887</v>
      </c>
      <c r="AI23" s="47">
        <v>0.13187243554596886</v>
      </c>
      <c r="AJ23" s="48">
        <v>1.0144033503536067E-2</v>
      </c>
    </row>
    <row r="24" spans="1:36" x14ac:dyDescent="0.25">
      <c r="A24" s="42"/>
      <c r="B24" s="62"/>
      <c r="C24" s="44">
        <v>655.39789999999994</v>
      </c>
      <c r="D24" s="44">
        <v>0.39789999999993597</v>
      </c>
      <c r="E24" s="45" t="s">
        <v>16</v>
      </c>
      <c r="F24" s="46">
        <v>654.39</v>
      </c>
      <c r="G24" s="46">
        <v>99.682000000000002</v>
      </c>
      <c r="H24" s="43" t="s">
        <v>32</v>
      </c>
      <c r="I24" s="43">
        <v>1637307</v>
      </c>
      <c r="J24" s="43">
        <v>627154</v>
      </c>
      <c r="K24" s="47">
        <v>0.38303995524357987</v>
      </c>
      <c r="L24" s="48">
        <v>1.1265881036575878E-2</v>
      </c>
      <c r="N24" s="67"/>
      <c r="O24" s="62" t="s">
        <v>107</v>
      </c>
      <c r="P24" s="44">
        <v>198.06807956360001</v>
      </c>
      <c r="Q24" s="44">
        <v>6.8079563600008441E-2</v>
      </c>
      <c r="R24" s="68" t="s">
        <v>16</v>
      </c>
      <c r="S24" s="69">
        <v>197.0607</v>
      </c>
      <c r="T24" s="43" t="s">
        <v>108</v>
      </c>
      <c r="U24" s="70">
        <v>2459295</v>
      </c>
      <c r="V24" s="43">
        <v>360420</v>
      </c>
      <c r="W24" s="47">
        <v>0.14655419540966008</v>
      </c>
      <c r="X24" s="48">
        <v>1.127339964689693E-2</v>
      </c>
      <c r="Z24" s="42"/>
      <c r="AA24" s="62" t="s">
        <v>88</v>
      </c>
      <c r="AB24" s="81">
        <v>563.96429999999998</v>
      </c>
      <c r="AC24" s="44">
        <v>-3.5700000000019827E-2</v>
      </c>
      <c r="AD24" s="45" t="s">
        <v>16</v>
      </c>
      <c r="AE24" s="46">
        <v>562.95640000000003</v>
      </c>
      <c r="AF24" s="66" t="s">
        <v>182</v>
      </c>
      <c r="AG24" s="43">
        <v>233651</v>
      </c>
      <c r="AH24" s="43">
        <v>27237</v>
      </c>
      <c r="AI24" s="47">
        <v>0.11657129650632782</v>
      </c>
      <c r="AJ24" s="48">
        <v>1.0597390591484348E-2</v>
      </c>
    </row>
    <row r="25" spans="1:36" x14ac:dyDescent="0.25">
      <c r="A25" s="42"/>
      <c r="B25" s="62"/>
      <c r="C25" s="44">
        <v>370.30790000000002</v>
      </c>
      <c r="D25" s="44">
        <v>0.30790000000001783</v>
      </c>
      <c r="E25" s="45" t="s">
        <v>16</v>
      </c>
      <c r="F25" s="46">
        <v>369.3</v>
      </c>
      <c r="G25" s="46">
        <v>99.97</v>
      </c>
      <c r="H25" s="43" t="s">
        <v>33</v>
      </c>
      <c r="I25" s="43">
        <v>1856692</v>
      </c>
      <c r="J25" s="43">
        <v>450207</v>
      </c>
      <c r="K25" s="47">
        <v>0.24247802004855948</v>
      </c>
      <c r="L25" s="48">
        <v>1.102172818402543E-2</v>
      </c>
      <c r="N25" s="67"/>
      <c r="O25" s="62" t="s">
        <v>109</v>
      </c>
      <c r="P25" s="44">
        <v>180.07864424970001</v>
      </c>
      <c r="Q25" s="44">
        <v>7.8644249700005275E-2</v>
      </c>
      <c r="R25" s="68" t="s">
        <v>16</v>
      </c>
      <c r="S25" s="69">
        <v>179.07130000000001</v>
      </c>
      <c r="T25" s="43" t="s">
        <v>110</v>
      </c>
      <c r="U25" s="70">
        <v>1148593</v>
      </c>
      <c r="V25" s="43">
        <v>123504</v>
      </c>
      <c r="W25" s="47">
        <v>0.10752633874662304</v>
      </c>
      <c r="X25" s="48">
        <v>1.0752633874662304E-2</v>
      </c>
      <c r="Z25" s="67" t="s">
        <v>372</v>
      </c>
      <c r="AA25" s="62" t="s">
        <v>373</v>
      </c>
      <c r="AB25" s="81">
        <v>191.15214499999999</v>
      </c>
      <c r="AC25" s="44">
        <v>0.1521449999999902</v>
      </c>
      <c r="AD25" s="45" t="s">
        <v>48</v>
      </c>
      <c r="AE25" s="46">
        <v>192.15979999999999</v>
      </c>
      <c r="AF25" s="66" t="s">
        <v>374</v>
      </c>
      <c r="AG25" s="43">
        <v>212929</v>
      </c>
      <c r="AH25" s="43">
        <v>20641</v>
      </c>
      <c r="AI25" s="47">
        <v>9.69384160917489E-2</v>
      </c>
      <c r="AJ25" s="48">
        <v>1.0770935121305433E-2</v>
      </c>
    </row>
    <row r="26" spans="1:36" x14ac:dyDescent="0.25">
      <c r="A26" s="42"/>
      <c r="B26" s="62"/>
      <c r="C26" s="44">
        <v>444.34789999999998</v>
      </c>
      <c r="D26" s="44">
        <v>0.34789999999998145</v>
      </c>
      <c r="E26" s="45" t="s">
        <v>16</v>
      </c>
      <c r="F26" s="46">
        <v>443.34</v>
      </c>
      <c r="G26" s="46">
        <v>98.198999999999998</v>
      </c>
      <c r="H26" s="43" t="s">
        <v>34</v>
      </c>
      <c r="I26" s="43">
        <v>1448881</v>
      </c>
      <c r="J26" s="43">
        <v>402516</v>
      </c>
      <c r="K26" s="47">
        <v>0.27781163532408804</v>
      </c>
      <c r="L26" s="48">
        <v>1.1112465412963521E-2</v>
      </c>
      <c r="N26" s="67"/>
      <c r="O26" s="62" t="s">
        <v>111</v>
      </c>
      <c r="P26" s="44">
        <v>214.06299418590001</v>
      </c>
      <c r="Q26" s="44">
        <v>6.2994185900009825E-2</v>
      </c>
      <c r="R26" s="68" t="s">
        <v>16</v>
      </c>
      <c r="S26" s="69">
        <v>213.0558</v>
      </c>
      <c r="T26" s="43" t="s">
        <v>98</v>
      </c>
      <c r="U26" s="70">
        <v>2777820</v>
      </c>
      <c r="V26" s="43">
        <v>418410</v>
      </c>
      <c r="W26" s="47">
        <v>0.15062531049528047</v>
      </c>
      <c r="X26" s="48">
        <v>1.1586562345790806E-2</v>
      </c>
      <c r="Z26" s="67" t="s">
        <v>214</v>
      </c>
      <c r="AA26" s="62" t="s">
        <v>375</v>
      </c>
      <c r="AB26" s="81">
        <v>172.07355999999999</v>
      </c>
      <c r="AC26" s="44">
        <v>7.3559999999986303E-2</v>
      </c>
      <c r="AD26" s="45" t="s">
        <v>48</v>
      </c>
      <c r="AE26" s="46">
        <v>173.080602157274</v>
      </c>
      <c r="AF26" s="66" t="s">
        <v>376</v>
      </c>
      <c r="AG26" s="43">
        <v>740954</v>
      </c>
      <c r="AH26" s="43">
        <v>57986</v>
      </c>
      <c r="AI26" s="47">
        <v>7.8258569357881863E-2</v>
      </c>
      <c r="AJ26" s="48">
        <v>9.7823211697352329E-3</v>
      </c>
    </row>
    <row r="27" spans="1:36" x14ac:dyDescent="0.25">
      <c r="A27" s="42"/>
      <c r="B27" s="62"/>
      <c r="C27" s="44">
        <v>356.3279</v>
      </c>
      <c r="D27" s="44">
        <v>0.32789999999999964</v>
      </c>
      <c r="E27" s="45" t="s">
        <v>16</v>
      </c>
      <c r="F27" s="46">
        <v>355.32</v>
      </c>
      <c r="G27" s="46">
        <v>100</v>
      </c>
      <c r="H27" s="43" t="s">
        <v>35</v>
      </c>
      <c r="I27" s="43">
        <v>966774</v>
      </c>
      <c r="J27" s="43">
        <v>242186</v>
      </c>
      <c r="K27" s="47">
        <v>0.25050942619474664</v>
      </c>
      <c r="L27" s="48">
        <v>1.1386792099761211E-2</v>
      </c>
      <c r="N27" s="67"/>
      <c r="O27" s="62" t="s">
        <v>112</v>
      </c>
      <c r="P27" s="44">
        <v>194.0942943135</v>
      </c>
      <c r="Q27" s="44">
        <v>9.4294313500000726E-2</v>
      </c>
      <c r="R27" s="68" t="s">
        <v>16</v>
      </c>
      <c r="S27" s="69">
        <v>193.08699999999999</v>
      </c>
      <c r="T27" s="43" t="s">
        <v>113</v>
      </c>
      <c r="U27" s="70">
        <v>1866077</v>
      </c>
      <c r="V27" s="43">
        <v>229837</v>
      </c>
      <c r="W27" s="47">
        <v>0.12316587150476642</v>
      </c>
      <c r="X27" s="48">
        <v>1.1196897409524219E-2</v>
      </c>
      <c r="Z27" s="67"/>
      <c r="AA27" s="62" t="s">
        <v>169</v>
      </c>
      <c r="AB27" s="81">
        <v>145.05276385299999</v>
      </c>
      <c r="AC27" s="44">
        <v>5.2763852999987648E-2</v>
      </c>
      <c r="AD27" s="45" t="s">
        <v>48</v>
      </c>
      <c r="AE27" s="46">
        <v>146.05969654563401</v>
      </c>
      <c r="AF27" s="66" t="s">
        <v>170</v>
      </c>
      <c r="AG27" s="43">
        <v>296001</v>
      </c>
      <c r="AH27" s="43">
        <v>21759</v>
      </c>
      <c r="AI27" s="47">
        <v>7.3509886790923004E-2</v>
      </c>
      <c r="AJ27" s="48">
        <v>8.1677651989914453E-3</v>
      </c>
    </row>
    <row r="28" spans="1:36" x14ac:dyDescent="0.25">
      <c r="A28" s="42"/>
      <c r="B28" s="62"/>
      <c r="C28" s="44">
        <v>500.34789999999998</v>
      </c>
      <c r="D28" s="44">
        <v>0.34789999999998145</v>
      </c>
      <c r="E28" s="45" t="s">
        <v>16</v>
      </c>
      <c r="F28" s="46">
        <v>499.34</v>
      </c>
      <c r="G28" s="46">
        <v>96.841999999999999</v>
      </c>
      <c r="H28" s="43" t="s">
        <v>36</v>
      </c>
      <c r="I28" s="43">
        <v>490891</v>
      </c>
      <c r="J28" s="43">
        <v>164900</v>
      </c>
      <c r="K28" s="47">
        <v>0.33591978667361999</v>
      </c>
      <c r="L28" s="48">
        <v>1.0836122150761936E-2</v>
      </c>
      <c r="N28" s="67"/>
      <c r="O28" s="62" t="s">
        <v>114</v>
      </c>
      <c r="P28" s="44">
        <v>228.07864424970001</v>
      </c>
      <c r="Q28" s="44">
        <v>7.8644249700005275E-2</v>
      </c>
      <c r="R28" s="68" t="s">
        <v>16</v>
      </c>
      <c r="S28" s="69">
        <v>227.07130000000001</v>
      </c>
      <c r="T28" s="43" t="s">
        <v>115</v>
      </c>
      <c r="U28" s="70">
        <v>1855938</v>
      </c>
      <c r="V28" s="43">
        <v>305977</v>
      </c>
      <c r="W28" s="47">
        <v>0.1648638047176145</v>
      </c>
      <c r="X28" s="48">
        <v>1.1775986051258179E-2</v>
      </c>
      <c r="Z28" s="67"/>
      <c r="AA28" s="62" t="s">
        <v>380</v>
      </c>
      <c r="AB28" s="81">
        <v>427.88391000000001</v>
      </c>
      <c r="AC28" s="44">
        <v>-0.11608999999998559</v>
      </c>
      <c r="AD28" s="45" t="s">
        <v>48</v>
      </c>
      <c r="AE28" s="46">
        <v>428.89260000000002</v>
      </c>
      <c r="AF28" s="66" t="s">
        <v>377</v>
      </c>
      <c r="AG28" s="43">
        <v>1382639</v>
      </c>
      <c r="AH28" s="43">
        <v>124828</v>
      </c>
      <c r="AI28" s="47">
        <v>9.0282423683984037E-2</v>
      </c>
      <c r="AJ28" s="48">
        <v>1.0031380409331559E-2</v>
      </c>
    </row>
    <row r="29" spans="1:36" ht="15.75" thickBot="1" x14ac:dyDescent="0.3">
      <c r="A29" s="42" t="s">
        <v>203</v>
      </c>
      <c r="B29" s="63" t="s">
        <v>204</v>
      </c>
      <c r="C29" s="44">
        <v>184.01990000000001</v>
      </c>
      <c r="D29" s="44">
        <v>1.9900000000006912E-2</v>
      </c>
      <c r="E29" s="45" t="s">
        <v>16</v>
      </c>
      <c r="F29" s="46">
        <v>183.012</v>
      </c>
      <c r="G29" s="46">
        <v>99.999225999999993</v>
      </c>
      <c r="H29" s="43" t="s">
        <v>37</v>
      </c>
      <c r="I29" s="43">
        <v>2149675</v>
      </c>
      <c r="J29" s="43">
        <v>174367</v>
      </c>
      <c r="K29" s="47">
        <v>8.111319152895205E-2</v>
      </c>
      <c r="L29" s="48">
        <v>1.0139148941119006E-2</v>
      </c>
      <c r="N29" s="73"/>
      <c r="O29" s="79" t="s">
        <v>116</v>
      </c>
      <c r="P29" s="54">
        <v>228.07864424970001</v>
      </c>
      <c r="Q29" s="54">
        <v>7.8644249700005275E-2</v>
      </c>
      <c r="R29" s="55" t="s">
        <v>48</v>
      </c>
      <c r="S29" s="74">
        <v>229.08619999999999</v>
      </c>
      <c r="T29" s="58" t="s">
        <v>115</v>
      </c>
      <c r="U29" s="75">
        <v>205209</v>
      </c>
      <c r="V29" s="76">
        <v>28480</v>
      </c>
      <c r="W29" s="59">
        <v>0.13878533592581221</v>
      </c>
      <c r="X29" s="60">
        <v>9.9132382804151577E-3</v>
      </c>
      <c r="Z29" s="67" t="s">
        <v>220</v>
      </c>
      <c r="AA29" s="62" t="s">
        <v>173</v>
      </c>
      <c r="AB29" s="81">
        <v>191.13101417199999</v>
      </c>
      <c r="AC29" s="44">
        <v>0.13101417199999332</v>
      </c>
      <c r="AD29" s="45" t="s">
        <v>48</v>
      </c>
      <c r="AE29" s="46">
        <v>192.13829999999999</v>
      </c>
      <c r="AF29" s="66" t="s">
        <v>174</v>
      </c>
      <c r="AG29" s="43">
        <v>2773843</v>
      </c>
      <c r="AH29" s="43">
        <v>324694</v>
      </c>
      <c r="AI29" s="47">
        <v>0.11705565167170601</v>
      </c>
      <c r="AJ29" s="48">
        <v>9.7546376393088333E-3</v>
      </c>
    </row>
    <row r="30" spans="1:36" ht="15.75" thickTop="1" x14ac:dyDescent="0.25">
      <c r="A30" s="42" t="s">
        <v>199</v>
      </c>
      <c r="B30" s="62"/>
      <c r="C30" s="44">
        <v>234.16300000000001</v>
      </c>
      <c r="D30" s="44">
        <v>0.16300000000001091</v>
      </c>
      <c r="E30" s="45" t="s">
        <v>16</v>
      </c>
      <c r="F30" s="46">
        <v>233.1551</v>
      </c>
      <c r="G30" s="46">
        <v>99.938367</v>
      </c>
      <c r="H30" s="43" t="s">
        <v>21</v>
      </c>
      <c r="I30" s="43">
        <v>7334312</v>
      </c>
      <c r="J30" s="43">
        <v>1086465</v>
      </c>
      <c r="K30" s="47">
        <v>0.14813454895292155</v>
      </c>
      <c r="L30" s="48">
        <v>9.8756365968614371E-3</v>
      </c>
      <c r="Z30" s="67"/>
      <c r="AA30" s="62" t="s">
        <v>380</v>
      </c>
      <c r="AB30" s="81">
        <v>427.88391000000001</v>
      </c>
      <c r="AC30" s="44">
        <v>-0.11608999999998559</v>
      </c>
      <c r="AD30" s="45" t="s">
        <v>48</v>
      </c>
      <c r="AE30" s="46">
        <v>428.89260000000002</v>
      </c>
      <c r="AF30" s="66" t="s">
        <v>377</v>
      </c>
      <c r="AG30" s="43">
        <v>448392</v>
      </c>
      <c r="AH30" s="43">
        <v>40674</v>
      </c>
      <c r="AI30" s="47">
        <v>9.0710806615639891E-2</v>
      </c>
      <c r="AJ30" s="48">
        <v>1.0078978512848877E-2</v>
      </c>
    </row>
    <row r="31" spans="1:36" ht="15.75" thickBot="1" x14ac:dyDescent="0.3">
      <c r="A31" s="42"/>
      <c r="B31" s="62"/>
      <c r="C31" s="44">
        <v>266.15600000000001</v>
      </c>
      <c r="D31" s="44">
        <v>0.15600000000000591</v>
      </c>
      <c r="E31" s="45" t="s">
        <v>16</v>
      </c>
      <c r="F31" s="46">
        <v>265.1481</v>
      </c>
      <c r="G31" s="46">
        <v>99.840472000000005</v>
      </c>
      <c r="H31" s="43" t="s">
        <v>23</v>
      </c>
      <c r="I31" s="43">
        <v>8338817</v>
      </c>
      <c r="J31" s="43">
        <v>1028721</v>
      </c>
      <c r="K31" s="47">
        <v>0.1233653406712247</v>
      </c>
      <c r="L31" s="48">
        <v>1.0280445055935393E-2</v>
      </c>
      <c r="Z31" s="73" t="s">
        <v>215</v>
      </c>
      <c r="AA31" s="86" t="s">
        <v>169</v>
      </c>
      <c r="AB31" s="83">
        <v>145.05187717838399</v>
      </c>
      <c r="AC31" s="54">
        <v>5.1877178383989531E-2</v>
      </c>
      <c r="AD31" s="55" t="s">
        <v>48</v>
      </c>
      <c r="AE31" s="57">
        <v>146.059777178384</v>
      </c>
      <c r="AF31" s="76" t="s">
        <v>170</v>
      </c>
      <c r="AG31" s="76">
        <v>276303</v>
      </c>
      <c r="AH31" s="76">
        <v>26988</v>
      </c>
      <c r="AI31" s="84">
        <v>9.7675378117501432E-2</v>
      </c>
      <c r="AJ31" s="60">
        <v>1.0852819790833492E-2</v>
      </c>
    </row>
    <row r="32" spans="1:36" ht="15.75" thickTop="1" x14ac:dyDescent="0.25">
      <c r="A32" s="42"/>
      <c r="B32" s="62"/>
      <c r="C32" s="44">
        <v>294.18389999999999</v>
      </c>
      <c r="D32" s="44">
        <v>0.18389999999999418</v>
      </c>
      <c r="E32" s="45" t="s">
        <v>16</v>
      </c>
      <c r="F32" s="46">
        <v>293.17599999999999</v>
      </c>
      <c r="G32" s="46">
        <v>98.873675000000006</v>
      </c>
      <c r="H32" s="43" t="s">
        <v>38</v>
      </c>
      <c r="I32" s="43">
        <v>1481650</v>
      </c>
      <c r="J32" s="43">
        <v>263683</v>
      </c>
      <c r="K32" s="47">
        <v>0.17796578139236663</v>
      </c>
      <c r="L32" s="48">
        <v>1.0468575376021567E-2</v>
      </c>
    </row>
    <row r="33" spans="1:36" x14ac:dyDescent="0.25">
      <c r="A33" s="42"/>
      <c r="B33" s="62"/>
      <c r="C33" s="44">
        <v>294.18729999999999</v>
      </c>
      <c r="D33" s="44">
        <v>0.18729999999999336</v>
      </c>
      <c r="E33" s="45" t="s">
        <v>16</v>
      </c>
      <c r="F33" s="46">
        <v>293.17939999999999</v>
      </c>
      <c r="G33" s="46">
        <v>98.813097999999997</v>
      </c>
      <c r="H33" s="43" t="s">
        <v>24</v>
      </c>
      <c r="I33" s="43">
        <v>2325847</v>
      </c>
      <c r="J33" s="43">
        <v>331731</v>
      </c>
      <c r="K33" s="47">
        <v>0.14262804045150004</v>
      </c>
      <c r="L33" s="48">
        <v>1.0187717175107146E-2</v>
      </c>
    </row>
    <row r="34" spans="1:36" x14ac:dyDescent="0.25">
      <c r="A34" s="42" t="s">
        <v>206</v>
      </c>
      <c r="B34" s="62" t="s">
        <v>207</v>
      </c>
      <c r="C34" s="44">
        <v>326.19220000000001</v>
      </c>
      <c r="D34" s="44">
        <v>0.19220000000001392</v>
      </c>
      <c r="E34" s="45" t="s">
        <v>16</v>
      </c>
      <c r="F34" s="46">
        <v>325.18430000000001</v>
      </c>
      <c r="G34" s="46">
        <v>99.99</v>
      </c>
      <c r="H34" s="43" t="s">
        <v>39</v>
      </c>
      <c r="I34" s="43">
        <v>6745542</v>
      </c>
      <c r="J34" s="43">
        <v>1490710</v>
      </c>
      <c r="K34" s="47">
        <v>0.22099187878453652</v>
      </c>
      <c r="L34" s="48">
        <v>1.2277326599140917E-2</v>
      </c>
    </row>
    <row r="35" spans="1:36" x14ac:dyDescent="0.25">
      <c r="A35" s="42" t="s">
        <v>205</v>
      </c>
      <c r="B35" s="62"/>
      <c r="C35" s="44">
        <v>340.20780000000002</v>
      </c>
      <c r="D35" s="44">
        <v>0.20780000000002019</v>
      </c>
      <c r="E35" s="45" t="s">
        <v>16</v>
      </c>
      <c r="F35" s="46">
        <v>339.19990000000001</v>
      </c>
      <c r="G35" s="46">
        <v>99.997</v>
      </c>
      <c r="H35" s="43" t="s">
        <v>40</v>
      </c>
      <c r="I35" s="43">
        <v>6503079</v>
      </c>
      <c r="J35" s="43">
        <v>1473364</v>
      </c>
      <c r="K35" s="47">
        <v>0.2265640629615602</v>
      </c>
      <c r="L35" s="48">
        <v>1.1924424366397906E-2</v>
      </c>
    </row>
    <row r="36" spans="1:36" x14ac:dyDescent="0.25">
      <c r="A36" s="42"/>
      <c r="B36" s="62"/>
      <c r="C36" s="44">
        <v>312.17660000000001</v>
      </c>
      <c r="D36" s="44">
        <v>0.17660000000000764</v>
      </c>
      <c r="E36" s="45" t="s">
        <v>16</v>
      </c>
      <c r="F36" s="46">
        <v>311.1687</v>
      </c>
      <c r="G36" s="46">
        <v>99.995999999999995</v>
      </c>
      <c r="H36" s="43" t="s">
        <v>22</v>
      </c>
      <c r="I36" s="43">
        <v>5162962</v>
      </c>
      <c r="J36" s="43">
        <v>973263</v>
      </c>
      <c r="K36" s="47">
        <v>0.18850865065441116</v>
      </c>
      <c r="L36" s="48">
        <v>1.1088744156141833E-2</v>
      </c>
    </row>
    <row r="37" spans="1:36" ht="15.75" thickBot="1" x14ac:dyDescent="0.3">
      <c r="A37" s="42"/>
      <c r="B37" s="62"/>
      <c r="C37" s="44">
        <v>296.2362</v>
      </c>
      <c r="D37" s="44">
        <v>0.23619999999999663</v>
      </c>
      <c r="E37" s="45" t="s">
        <v>16</v>
      </c>
      <c r="F37" s="46">
        <v>295.22829999999999</v>
      </c>
      <c r="G37" s="46">
        <v>99.999899999999997</v>
      </c>
      <c r="H37" s="43" t="s">
        <v>41</v>
      </c>
      <c r="I37" s="43">
        <v>10412638</v>
      </c>
      <c r="J37" s="43">
        <v>2041737</v>
      </c>
      <c r="K37" s="47">
        <v>0.19608258733281614</v>
      </c>
      <c r="L37" s="48">
        <v>1.0893477074045341E-2</v>
      </c>
    </row>
    <row r="38" spans="1:36" ht="45.75" thickTop="1" x14ac:dyDescent="0.25">
      <c r="A38" s="37" t="s">
        <v>1</v>
      </c>
      <c r="B38" s="61" t="s">
        <v>2</v>
      </c>
      <c r="C38" s="39" t="s">
        <v>3</v>
      </c>
      <c r="D38" s="38" t="s">
        <v>4</v>
      </c>
      <c r="E38" s="38" t="s">
        <v>5</v>
      </c>
      <c r="F38" s="39" t="s">
        <v>6</v>
      </c>
      <c r="G38" s="39" t="s">
        <v>7</v>
      </c>
      <c r="H38" s="38" t="s">
        <v>8</v>
      </c>
      <c r="I38" s="38" t="s">
        <v>368</v>
      </c>
      <c r="J38" s="38" t="s">
        <v>369</v>
      </c>
      <c r="K38" s="40" t="s">
        <v>11</v>
      </c>
      <c r="L38" s="41" t="s">
        <v>12</v>
      </c>
      <c r="N38" s="37" t="s">
        <v>1</v>
      </c>
      <c r="O38" s="61" t="s">
        <v>353</v>
      </c>
      <c r="P38" s="39" t="s">
        <v>3</v>
      </c>
      <c r="Q38" s="38" t="s">
        <v>4</v>
      </c>
      <c r="R38" s="38" t="s">
        <v>5</v>
      </c>
      <c r="S38" s="39" t="s">
        <v>6</v>
      </c>
      <c r="T38" s="38" t="s">
        <v>364</v>
      </c>
      <c r="U38" s="38" t="s">
        <v>368</v>
      </c>
      <c r="V38" s="38" t="s">
        <v>369</v>
      </c>
      <c r="W38" s="40" t="s">
        <v>11</v>
      </c>
      <c r="X38" s="41" t="s">
        <v>12</v>
      </c>
      <c r="Z38" s="37" t="s">
        <v>1</v>
      </c>
      <c r="AA38" s="61" t="s">
        <v>353</v>
      </c>
      <c r="AB38" s="39" t="s">
        <v>3</v>
      </c>
      <c r="AC38" s="38" t="s">
        <v>4</v>
      </c>
      <c r="AD38" s="38" t="s">
        <v>5</v>
      </c>
      <c r="AE38" s="39" t="s">
        <v>6</v>
      </c>
      <c r="AF38" s="38" t="s">
        <v>8</v>
      </c>
      <c r="AG38" s="38" t="s">
        <v>368</v>
      </c>
      <c r="AH38" s="38" t="s">
        <v>369</v>
      </c>
      <c r="AI38" s="40" t="s">
        <v>11</v>
      </c>
      <c r="AJ38" s="41" t="s">
        <v>12</v>
      </c>
    </row>
    <row r="39" spans="1:36" ht="15.75" thickBot="1" x14ac:dyDescent="0.3">
      <c r="A39" s="87"/>
      <c r="B39" s="88"/>
      <c r="C39" s="89" t="s">
        <v>366</v>
      </c>
      <c r="D39" s="90" t="s">
        <v>366</v>
      </c>
      <c r="E39" s="90"/>
      <c r="F39" s="91" t="s">
        <v>367</v>
      </c>
      <c r="G39" s="91"/>
      <c r="H39" s="90"/>
      <c r="I39" s="90"/>
      <c r="J39" s="90"/>
      <c r="K39" s="92"/>
      <c r="L39" s="93"/>
      <c r="N39" s="87"/>
      <c r="O39" s="88"/>
      <c r="P39" s="89" t="s">
        <v>366</v>
      </c>
      <c r="Q39" s="90" t="s">
        <v>366</v>
      </c>
      <c r="R39" s="90"/>
      <c r="S39" s="91" t="s">
        <v>367</v>
      </c>
      <c r="T39" s="90"/>
      <c r="U39" s="90"/>
      <c r="V39" s="90"/>
      <c r="W39" s="92"/>
      <c r="X39" s="93"/>
      <c r="Z39" s="87"/>
      <c r="AA39" s="88"/>
      <c r="AB39" s="89" t="s">
        <v>366</v>
      </c>
      <c r="AC39" s="90" t="s">
        <v>366</v>
      </c>
      <c r="AD39" s="90"/>
      <c r="AE39" s="91" t="s">
        <v>367</v>
      </c>
      <c r="AF39" s="90"/>
      <c r="AG39" s="90"/>
      <c r="AH39" s="90"/>
      <c r="AI39" s="92"/>
      <c r="AJ39" s="93"/>
    </row>
    <row r="40" spans="1:36" ht="15.75" thickTop="1" x14ac:dyDescent="0.25">
      <c r="A40" s="42"/>
      <c r="B40" s="62"/>
      <c r="C40" s="44">
        <v>280.24090000000001</v>
      </c>
      <c r="D40" s="44">
        <v>0.24090000000001055</v>
      </c>
      <c r="E40" s="45" t="s">
        <v>16</v>
      </c>
      <c r="F40" s="46">
        <v>279.233</v>
      </c>
      <c r="G40" s="46">
        <v>99.999989999999997</v>
      </c>
      <c r="H40" s="43" t="s">
        <v>42</v>
      </c>
      <c r="I40" s="43">
        <v>3479199</v>
      </c>
      <c r="J40" s="43">
        <v>701345</v>
      </c>
      <c r="K40" s="47">
        <v>0.20158231822899467</v>
      </c>
      <c r="L40" s="48">
        <v>1.1199017679388593E-2</v>
      </c>
      <c r="N40" s="67" t="s">
        <v>90</v>
      </c>
      <c r="O40" s="77" t="s">
        <v>119</v>
      </c>
      <c r="P40" s="44">
        <v>254.16706532410001</v>
      </c>
      <c r="Q40" s="44">
        <v>0.16706532410000818</v>
      </c>
      <c r="R40" s="68" t="s">
        <v>48</v>
      </c>
      <c r="S40" s="69">
        <v>255.17500000000001</v>
      </c>
      <c r="T40" s="43" t="s">
        <v>120</v>
      </c>
      <c r="U40" s="70">
        <v>368196</v>
      </c>
      <c r="V40" s="43">
        <v>71172</v>
      </c>
      <c r="W40" s="47">
        <v>0.19329922106704039</v>
      </c>
      <c r="X40" s="48">
        <v>1.0738845614835577E-2</v>
      </c>
      <c r="Z40" s="67" t="s">
        <v>221</v>
      </c>
      <c r="AA40" s="62" t="s">
        <v>128</v>
      </c>
      <c r="AB40" s="81">
        <v>361.20417911329997</v>
      </c>
      <c r="AC40" s="44">
        <v>0.20417911329997196</v>
      </c>
      <c r="AD40" s="45" t="s">
        <v>48</v>
      </c>
      <c r="AE40" s="46">
        <v>362.21230000000003</v>
      </c>
      <c r="AF40" s="66" t="s">
        <v>129</v>
      </c>
      <c r="AG40" s="43">
        <v>166759</v>
      </c>
      <c r="AH40" s="43">
        <v>46075</v>
      </c>
      <c r="AI40" s="47">
        <v>0.27629693149994905</v>
      </c>
      <c r="AJ40" s="48">
        <v>1.151237214583121E-2</v>
      </c>
    </row>
    <row r="41" spans="1:36" x14ac:dyDescent="0.25">
      <c r="A41" s="42"/>
      <c r="B41" s="62"/>
      <c r="C41" s="44">
        <v>298.16090000000003</v>
      </c>
      <c r="D41" s="44">
        <v>0.16090000000002647</v>
      </c>
      <c r="E41" s="45" t="s">
        <v>16</v>
      </c>
      <c r="F41" s="46">
        <v>297.15300000000002</v>
      </c>
      <c r="G41" s="46">
        <v>99.989000000000004</v>
      </c>
      <c r="H41" s="43" t="s">
        <v>43</v>
      </c>
      <c r="I41" s="43">
        <v>1518337</v>
      </c>
      <c r="J41" s="43">
        <v>278061</v>
      </c>
      <c r="K41" s="47">
        <v>0.18313523282380656</v>
      </c>
      <c r="L41" s="48">
        <v>1.144595205148791E-2</v>
      </c>
      <c r="N41" s="67"/>
      <c r="O41" s="62" t="s">
        <v>121</v>
      </c>
      <c r="P41" s="44">
        <v>277.20417911329997</v>
      </c>
      <c r="Q41" s="44">
        <v>0.20417911329997196</v>
      </c>
      <c r="R41" s="68" t="s">
        <v>48</v>
      </c>
      <c r="S41" s="69">
        <v>278.21190000000001</v>
      </c>
      <c r="T41" s="43" t="s">
        <v>122</v>
      </c>
      <c r="U41" s="70">
        <v>4407665</v>
      </c>
      <c r="V41" s="43">
        <v>859381</v>
      </c>
      <c r="W41" s="47">
        <v>0.19497420970060111</v>
      </c>
      <c r="X41" s="48">
        <v>1.1469071158858889E-2</v>
      </c>
      <c r="Z41" s="67"/>
      <c r="AA41" s="62" t="s">
        <v>373</v>
      </c>
      <c r="AB41" s="81">
        <v>191.15214499999999</v>
      </c>
      <c r="AC41" s="44">
        <v>0.1521449999999902</v>
      </c>
      <c r="AD41" s="45" t="s">
        <v>48</v>
      </c>
      <c r="AE41" s="46">
        <v>192.15979999999999</v>
      </c>
      <c r="AF41" s="66" t="s">
        <v>374</v>
      </c>
      <c r="AG41" s="43">
        <v>470079</v>
      </c>
      <c r="AH41" s="43">
        <v>45957</v>
      </c>
      <c r="AI41" s="47">
        <v>9.77644183211758E-2</v>
      </c>
      <c r="AJ41" s="48">
        <v>1.0862713146797312E-2</v>
      </c>
    </row>
    <row r="42" spans="1:36" x14ac:dyDescent="0.25">
      <c r="A42" s="42"/>
      <c r="B42" s="62" t="s">
        <v>208</v>
      </c>
      <c r="C42" s="44">
        <v>326.19310000000002</v>
      </c>
      <c r="D42" s="44">
        <v>0.19310000000001537</v>
      </c>
      <c r="E42" s="45" t="s">
        <v>16</v>
      </c>
      <c r="F42" s="46">
        <v>325.18520000000001</v>
      </c>
      <c r="G42" s="46">
        <v>99.36</v>
      </c>
      <c r="H42" s="43" t="s">
        <v>39</v>
      </c>
      <c r="I42" s="43">
        <v>9436780</v>
      </c>
      <c r="J42" s="43">
        <v>2230755</v>
      </c>
      <c r="K42" s="47">
        <v>0.23638942520647932</v>
      </c>
      <c r="L42" s="48">
        <v>1.3132745844804406E-2</v>
      </c>
      <c r="N42" s="67"/>
      <c r="O42" s="62" t="s">
        <v>123</v>
      </c>
      <c r="P42" s="44">
        <v>275.18852904949898</v>
      </c>
      <c r="Q42" s="44">
        <v>0.18852904949898175</v>
      </c>
      <c r="R42" s="68" t="s">
        <v>48</v>
      </c>
      <c r="S42" s="69">
        <v>276.19569999999999</v>
      </c>
      <c r="T42" s="43" t="s">
        <v>124</v>
      </c>
      <c r="U42" s="70">
        <v>34299</v>
      </c>
      <c r="V42" s="43">
        <v>7407</v>
      </c>
      <c r="W42" s="47">
        <v>0.21595381789556548</v>
      </c>
      <c r="X42" s="48">
        <v>1.2703165758562675E-2</v>
      </c>
      <c r="Z42" s="67" t="s">
        <v>222</v>
      </c>
      <c r="AA42" s="62" t="s">
        <v>173</v>
      </c>
      <c r="AB42" s="81">
        <v>191.13101417199999</v>
      </c>
      <c r="AC42" s="44">
        <v>0.13101417199999332</v>
      </c>
      <c r="AD42" s="45" t="s">
        <v>48</v>
      </c>
      <c r="AE42" s="46">
        <v>192.1388</v>
      </c>
      <c r="AF42" s="66" t="s">
        <v>174</v>
      </c>
      <c r="AG42" s="43">
        <v>3915876</v>
      </c>
      <c r="AH42" s="43">
        <v>458480</v>
      </c>
      <c r="AI42" s="47">
        <v>0.11708235909410819</v>
      </c>
      <c r="AJ42" s="48">
        <v>9.7568632578423492E-3</v>
      </c>
    </row>
    <row r="43" spans="1:36" x14ac:dyDescent="0.25">
      <c r="A43" s="42"/>
      <c r="B43" s="62"/>
      <c r="C43" s="44">
        <v>340.20870000000002</v>
      </c>
      <c r="D43" s="44">
        <v>0.20870000000002165</v>
      </c>
      <c r="E43" s="45" t="s">
        <v>16</v>
      </c>
      <c r="F43" s="46">
        <v>339.20080000000002</v>
      </c>
      <c r="G43" s="46">
        <v>99.52</v>
      </c>
      <c r="H43" s="43" t="s">
        <v>40</v>
      </c>
      <c r="I43" s="43">
        <v>8998966</v>
      </c>
      <c r="J43" s="43">
        <v>2124832</v>
      </c>
      <c r="K43" s="47">
        <v>0.23611957195971181</v>
      </c>
      <c r="L43" s="48">
        <v>1.2427345892616411E-2</v>
      </c>
      <c r="N43" s="67"/>
      <c r="O43" s="62" t="s">
        <v>125</v>
      </c>
      <c r="P43" s="44">
        <v>290.1881946963</v>
      </c>
      <c r="Q43" s="44">
        <v>0.18819469630000185</v>
      </c>
      <c r="R43" s="68" t="s">
        <v>48</v>
      </c>
      <c r="S43" s="69">
        <v>291.19490000000002</v>
      </c>
      <c r="T43" s="43" t="s">
        <v>126</v>
      </c>
      <c r="U43" s="70">
        <v>18781</v>
      </c>
      <c r="V43" s="43">
        <v>3471</v>
      </c>
      <c r="W43" s="47">
        <v>0.18481444012565892</v>
      </c>
      <c r="X43" s="48">
        <v>1.0267468895869941E-2</v>
      </c>
      <c r="Z43" s="67"/>
      <c r="AA43" s="62" t="s">
        <v>373</v>
      </c>
      <c r="AB43" s="81">
        <v>191.15214499999999</v>
      </c>
      <c r="AC43" s="44">
        <v>0.1521449999999902</v>
      </c>
      <c r="AD43" s="45" t="s">
        <v>48</v>
      </c>
      <c r="AE43" s="46">
        <v>192.15979999999999</v>
      </c>
      <c r="AF43" s="66" t="s">
        <v>374</v>
      </c>
      <c r="AG43" s="43">
        <v>2944300</v>
      </c>
      <c r="AH43" s="43">
        <v>252010</v>
      </c>
      <c r="AI43" s="47">
        <v>8.5592500764188437E-2</v>
      </c>
      <c r="AJ43" s="48">
        <v>9.5102778626876047E-3</v>
      </c>
    </row>
    <row r="44" spans="1:36" x14ac:dyDescent="0.25">
      <c r="A44" s="42"/>
      <c r="B44" s="62"/>
      <c r="C44" s="44">
        <v>312.17660000000001</v>
      </c>
      <c r="D44" s="44">
        <v>0.17660000000000764</v>
      </c>
      <c r="E44" s="45" t="s">
        <v>16</v>
      </c>
      <c r="F44" s="46">
        <v>311.1687</v>
      </c>
      <c r="G44" s="46">
        <v>99.995999999999995</v>
      </c>
      <c r="H44" s="43" t="s">
        <v>22</v>
      </c>
      <c r="I44" s="43">
        <v>7847946</v>
      </c>
      <c r="J44" s="43">
        <v>1516003</v>
      </c>
      <c r="K44" s="47">
        <v>0.1931719458824003</v>
      </c>
      <c r="L44" s="48">
        <v>1.1363055640141194E-2</v>
      </c>
      <c r="N44" s="67"/>
      <c r="O44" s="62" t="s">
        <v>117</v>
      </c>
      <c r="P44" s="44">
        <v>311.15689456869899</v>
      </c>
      <c r="Q44" s="44">
        <v>0.15689456869898777</v>
      </c>
      <c r="R44" s="68" t="s">
        <v>48</v>
      </c>
      <c r="S44" s="69">
        <v>311.16449999999998</v>
      </c>
      <c r="T44" s="43" t="s">
        <v>127</v>
      </c>
      <c r="U44" s="70">
        <v>825536</v>
      </c>
      <c r="V44" s="43">
        <v>197405</v>
      </c>
      <c r="W44" s="47">
        <v>0.23912343011086132</v>
      </c>
      <c r="X44" s="48">
        <v>1.1956171505543066E-2</v>
      </c>
      <c r="Z44" s="67"/>
      <c r="AA44" s="62" t="s">
        <v>101</v>
      </c>
      <c r="AB44" s="81">
        <v>246.05279999999999</v>
      </c>
      <c r="AC44" s="44">
        <v>5.2799999999990632E-2</v>
      </c>
      <c r="AD44" s="45" t="s">
        <v>16</v>
      </c>
      <c r="AE44" s="46">
        <v>245.04249999999999</v>
      </c>
      <c r="AF44" s="66" t="s">
        <v>102</v>
      </c>
      <c r="AG44" s="43">
        <v>112119</v>
      </c>
      <c r="AH44" s="43">
        <v>12318</v>
      </c>
      <c r="AI44" s="47">
        <v>0.10986541085810612</v>
      </c>
      <c r="AJ44" s="48">
        <v>8.4511854506235488E-3</v>
      </c>
    </row>
    <row r="45" spans="1:36" x14ac:dyDescent="0.25">
      <c r="A45" s="42"/>
      <c r="B45" s="62"/>
      <c r="C45" s="44">
        <v>326.19280000000003</v>
      </c>
      <c r="D45" s="44">
        <v>0.19280000000003383</v>
      </c>
      <c r="E45" s="45" t="s">
        <v>16</v>
      </c>
      <c r="F45" s="46">
        <v>325.18490000000003</v>
      </c>
      <c r="G45" s="46">
        <v>99.947699999999998</v>
      </c>
      <c r="H45" s="43" t="s">
        <v>39</v>
      </c>
      <c r="I45" s="43">
        <v>6202501</v>
      </c>
      <c r="J45" s="43">
        <v>1243053</v>
      </c>
      <c r="K45" s="47">
        <v>0.200411575911072</v>
      </c>
      <c r="L45" s="48">
        <v>1.1133976439503999E-2</v>
      </c>
      <c r="N45" s="67"/>
      <c r="O45" s="62" t="s">
        <v>128</v>
      </c>
      <c r="P45" s="44">
        <v>361.20417911329997</v>
      </c>
      <c r="Q45" s="44">
        <v>0.20417911329997196</v>
      </c>
      <c r="R45" s="68" t="s">
        <v>48</v>
      </c>
      <c r="S45" s="69">
        <v>362.21120000000002</v>
      </c>
      <c r="T45" s="43" t="s">
        <v>129</v>
      </c>
      <c r="U45" s="70">
        <v>84902</v>
      </c>
      <c r="V45" s="43">
        <v>22701</v>
      </c>
      <c r="W45" s="47">
        <v>0.26737886033308994</v>
      </c>
      <c r="X45" s="48">
        <v>1.114078584721208E-2</v>
      </c>
      <c r="Z45" s="67" t="s">
        <v>216</v>
      </c>
      <c r="AA45" s="62" t="s">
        <v>380</v>
      </c>
      <c r="AB45" s="81">
        <v>427.88391000000001</v>
      </c>
      <c r="AC45" s="44">
        <v>-0.11608999999998559</v>
      </c>
      <c r="AD45" s="45" t="s">
        <v>48</v>
      </c>
      <c r="AE45" s="46">
        <v>428.89260000000002</v>
      </c>
      <c r="AF45" s="66" t="s">
        <v>377</v>
      </c>
      <c r="AG45" s="43">
        <v>8503204</v>
      </c>
      <c r="AH45" s="43">
        <v>721396</v>
      </c>
      <c r="AI45" s="47">
        <v>8.4838138659263027E-2</v>
      </c>
      <c r="AJ45" s="48">
        <v>9.4264598510292244E-3</v>
      </c>
    </row>
    <row r="46" spans="1:36" x14ac:dyDescent="0.25">
      <c r="A46" s="42"/>
      <c r="B46" s="62"/>
      <c r="C46" s="44">
        <v>312.17720000000003</v>
      </c>
      <c r="D46" s="44">
        <v>0.17720000000002756</v>
      </c>
      <c r="E46" s="45" t="s">
        <v>16</v>
      </c>
      <c r="F46" s="46">
        <v>311.16930000000002</v>
      </c>
      <c r="G46" s="46">
        <v>99.501999999999995</v>
      </c>
      <c r="H46" s="43" t="s">
        <v>22</v>
      </c>
      <c r="I46" s="43">
        <v>5701140</v>
      </c>
      <c r="J46" s="43">
        <v>1040257</v>
      </c>
      <c r="K46" s="47">
        <v>0.18246473512315081</v>
      </c>
      <c r="L46" s="48">
        <v>1.0733219713126518E-2</v>
      </c>
      <c r="N46" s="67" t="s">
        <v>130</v>
      </c>
      <c r="O46" s="78" t="s">
        <v>131</v>
      </c>
      <c r="P46" s="44">
        <v>215.09379999999999</v>
      </c>
      <c r="Q46" s="44">
        <v>9.3799999999987449E-2</v>
      </c>
      <c r="R46" s="45" t="s">
        <v>48</v>
      </c>
      <c r="S46" s="46">
        <v>216.10050000000001</v>
      </c>
      <c r="T46" s="43" t="s">
        <v>132</v>
      </c>
      <c r="U46" s="71">
        <v>11911139</v>
      </c>
      <c r="V46" s="49">
        <v>1287421</v>
      </c>
      <c r="W46" s="47">
        <v>0.10808546521033799</v>
      </c>
      <c r="X46" s="48">
        <v>1.3510683151292249E-2</v>
      </c>
      <c r="Z46" s="67"/>
      <c r="AA46" s="62" t="s">
        <v>99</v>
      </c>
      <c r="AB46" s="81">
        <v>152.04730000000001</v>
      </c>
      <c r="AC46" s="44">
        <v>4.7300000000007003E-2</v>
      </c>
      <c r="AD46" s="45" t="s">
        <v>16</v>
      </c>
      <c r="AE46" s="46">
        <v>151.03749999999999</v>
      </c>
      <c r="AF46" s="66" t="s">
        <v>100</v>
      </c>
      <c r="AG46" s="43">
        <v>426746</v>
      </c>
      <c r="AH46" s="43">
        <v>26576</v>
      </c>
      <c r="AI46" s="47">
        <v>6.2275920571018828E-2</v>
      </c>
      <c r="AJ46" s="48">
        <v>7.7844900713773535E-3</v>
      </c>
    </row>
    <row r="47" spans="1:36" x14ac:dyDescent="0.25">
      <c r="A47" s="42"/>
      <c r="B47" s="62"/>
      <c r="C47" s="44">
        <v>326.19299999999998</v>
      </c>
      <c r="D47" s="44">
        <v>0.19299999999998363</v>
      </c>
      <c r="E47" s="45" t="s">
        <v>16</v>
      </c>
      <c r="F47" s="46">
        <v>325.18509999999998</v>
      </c>
      <c r="G47" s="46">
        <v>99.779799999999994</v>
      </c>
      <c r="H47" s="43" t="s">
        <v>39</v>
      </c>
      <c r="I47" s="43">
        <v>5205112</v>
      </c>
      <c r="J47" s="43">
        <v>1025941</v>
      </c>
      <c r="K47" s="47">
        <v>0.19710257915679816</v>
      </c>
      <c r="L47" s="48">
        <v>1.0950143286488787E-2</v>
      </c>
      <c r="N47" s="67"/>
      <c r="O47" s="78" t="s">
        <v>133</v>
      </c>
      <c r="P47" s="44">
        <v>187.0625</v>
      </c>
      <c r="Q47" s="44">
        <v>6.25E-2</v>
      </c>
      <c r="R47" s="45" t="s">
        <v>48</v>
      </c>
      <c r="S47" s="46">
        <v>188.0694</v>
      </c>
      <c r="T47" s="43" t="s">
        <v>134</v>
      </c>
      <c r="U47" s="71">
        <v>5565797</v>
      </c>
      <c r="V47" s="49">
        <v>471492</v>
      </c>
      <c r="W47" s="47">
        <v>8.4712396086310732E-2</v>
      </c>
      <c r="X47" s="48">
        <v>1.4118732681051788E-2</v>
      </c>
      <c r="Z47" s="67" t="s">
        <v>217</v>
      </c>
      <c r="AA47" s="62" t="s">
        <v>173</v>
      </c>
      <c r="AB47" s="81">
        <v>191.13101417199999</v>
      </c>
      <c r="AC47" s="44">
        <v>0.13101417199999332</v>
      </c>
      <c r="AD47" s="45" t="s">
        <v>48</v>
      </c>
      <c r="AE47" s="46">
        <v>192.1388</v>
      </c>
      <c r="AF47" s="66" t="s">
        <v>174</v>
      </c>
      <c r="AG47" s="43">
        <v>3915876</v>
      </c>
      <c r="AH47" s="43">
        <v>458480</v>
      </c>
      <c r="AI47" s="47">
        <v>0.11708235909410819</v>
      </c>
      <c r="AJ47" s="48">
        <v>9.7568632578423492E-3</v>
      </c>
    </row>
    <row r="48" spans="1:36" x14ac:dyDescent="0.25">
      <c r="A48" s="42"/>
      <c r="B48" s="62"/>
      <c r="C48" s="44">
        <v>340.20839999999998</v>
      </c>
      <c r="D48" s="44">
        <v>0.20839999999998327</v>
      </c>
      <c r="E48" s="45" t="s">
        <v>16</v>
      </c>
      <c r="F48" s="46">
        <v>339.20049999999998</v>
      </c>
      <c r="G48" s="46">
        <v>98.236000000000004</v>
      </c>
      <c r="H48" s="43" t="s">
        <v>40</v>
      </c>
      <c r="I48" s="43">
        <v>5187918</v>
      </c>
      <c r="J48" s="43">
        <v>1066632</v>
      </c>
      <c r="K48" s="47">
        <v>0.20559924038891902</v>
      </c>
      <c r="L48" s="48">
        <v>1.082101265204837E-2</v>
      </c>
      <c r="N48" s="67"/>
      <c r="O48" s="78" t="s">
        <v>135</v>
      </c>
      <c r="P48" s="44">
        <v>305.15620000000001</v>
      </c>
      <c r="Q48" s="44">
        <v>0.15620000000001255</v>
      </c>
      <c r="R48" s="45" t="s">
        <v>48</v>
      </c>
      <c r="S48" s="46">
        <v>306.16320000000002</v>
      </c>
      <c r="T48" s="43" t="s">
        <v>136</v>
      </c>
      <c r="U48" s="71">
        <v>14368959</v>
      </c>
      <c r="V48" s="49">
        <v>2790554</v>
      </c>
      <c r="W48" s="47">
        <v>0.19420710992355117</v>
      </c>
      <c r="X48" s="48">
        <v>1.2137944370221948E-2</v>
      </c>
      <c r="Z48" s="67"/>
      <c r="AA48" s="62" t="s">
        <v>111</v>
      </c>
      <c r="AB48" s="81">
        <v>214.062994</v>
      </c>
      <c r="AC48" s="44">
        <v>6.2994000000003325E-2</v>
      </c>
      <c r="AD48" s="45" t="s">
        <v>16</v>
      </c>
      <c r="AE48" s="46">
        <v>213.05350000000001</v>
      </c>
      <c r="AF48" s="66" t="s">
        <v>98</v>
      </c>
      <c r="AG48" s="43">
        <v>243016</v>
      </c>
      <c r="AH48" s="43">
        <v>24735</v>
      </c>
      <c r="AI48" s="47">
        <v>0.10178342166770912</v>
      </c>
      <c r="AJ48" s="48">
        <v>7.8294939744391629E-3</v>
      </c>
    </row>
    <row r="49" spans="1:36" x14ac:dyDescent="0.25">
      <c r="A49" s="42"/>
      <c r="B49" s="62" t="s">
        <v>209</v>
      </c>
      <c r="C49" s="44">
        <v>266.15609999999998</v>
      </c>
      <c r="D49" s="44">
        <v>0.15609999999998081</v>
      </c>
      <c r="E49" s="45" t="s">
        <v>16</v>
      </c>
      <c r="F49" s="46">
        <v>265.14819999999997</v>
      </c>
      <c r="G49" s="46">
        <v>99.999899999999997</v>
      </c>
      <c r="H49" s="43" t="s">
        <v>23</v>
      </c>
      <c r="I49" s="43">
        <v>10624367</v>
      </c>
      <c r="J49" s="43">
        <v>1477759</v>
      </c>
      <c r="K49" s="47">
        <v>0.13909148657985929</v>
      </c>
      <c r="L49" s="48">
        <v>1.1590957214988274E-2</v>
      </c>
      <c r="N49" s="67"/>
      <c r="O49" s="78" t="s">
        <v>137</v>
      </c>
      <c r="P49" s="44">
        <v>212.07159999999999</v>
      </c>
      <c r="Q49" s="44">
        <v>7.159999999998945E-2</v>
      </c>
      <c r="R49" s="45" t="s">
        <v>48</v>
      </c>
      <c r="S49" s="46">
        <v>213.0788</v>
      </c>
      <c r="T49" s="43" t="s">
        <v>138</v>
      </c>
      <c r="U49" s="71">
        <v>9928938</v>
      </c>
      <c r="V49" s="49">
        <v>1278841</v>
      </c>
      <c r="W49" s="47">
        <v>0.12879937411231696</v>
      </c>
      <c r="X49" s="48">
        <v>1.2879937411231696E-2</v>
      </c>
      <c r="Z49" s="67"/>
      <c r="AA49" s="62" t="s">
        <v>99</v>
      </c>
      <c r="AB49" s="81">
        <v>152.04730000000001</v>
      </c>
      <c r="AC49" s="44">
        <v>4.7300000000007003E-2</v>
      </c>
      <c r="AD49" s="45" t="s">
        <v>16</v>
      </c>
      <c r="AE49" s="46">
        <v>151.03729999999999</v>
      </c>
      <c r="AF49" s="66" t="s">
        <v>100</v>
      </c>
      <c r="AG49" s="43">
        <v>379222</v>
      </c>
      <c r="AH49" s="43">
        <v>22582</v>
      </c>
      <c r="AI49" s="47">
        <v>5.9548232961167867E-2</v>
      </c>
      <c r="AJ49" s="48">
        <v>7.4435291201459834E-3</v>
      </c>
    </row>
    <row r="50" spans="1:36" x14ac:dyDescent="0.25">
      <c r="A50" s="42"/>
      <c r="B50" s="62"/>
      <c r="C50" s="44">
        <v>294.18799999999999</v>
      </c>
      <c r="D50" s="44">
        <v>0.18799999999998818</v>
      </c>
      <c r="E50" s="45" t="s">
        <v>16</v>
      </c>
      <c r="F50" s="46">
        <v>293.18009999999998</v>
      </c>
      <c r="G50" s="46">
        <v>99.366</v>
      </c>
      <c r="H50" s="43" t="s">
        <v>24</v>
      </c>
      <c r="I50" s="43">
        <v>5850310</v>
      </c>
      <c r="J50" s="43">
        <v>889706</v>
      </c>
      <c r="K50" s="47">
        <v>0.15207843686915737</v>
      </c>
      <c r="L50" s="48">
        <v>1.0862745490654097E-2</v>
      </c>
      <c r="N50" s="67"/>
      <c r="O50" s="78" t="s">
        <v>139</v>
      </c>
      <c r="P50" s="44">
        <v>240.089</v>
      </c>
      <c r="Q50" s="44">
        <v>8.8999999999998636E-2</v>
      </c>
      <c r="R50" s="45" t="s">
        <v>48</v>
      </c>
      <c r="S50" s="46">
        <v>241.0959</v>
      </c>
      <c r="T50" s="43" t="s">
        <v>140</v>
      </c>
      <c r="U50" s="71">
        <v>9817275</v>
      </c>
      <c r="V50" s="49">
        <v>1215201</v>
      </c>
      <c r="W50" s="47">
        <v>0.12378190485649022</v>
      </c>
      <c r="X50" s="48">
        <v>1.3753544984054469E-2</v>
      </c>
      <c r="Z50" s="67"/>
      <c r="AA50" s="62" t="s">
        <v>109</v>
      </c>
      <c r="AB50" s="81">
        <v>180.07859999999999</v>
      </c>
      <c r="AC50" s="44">
        <v>7.8599999999994452E-2</v>
      </c>
      <c r="AD50" s="45" t="s">
        <v>16</v>
      </c>
      <c r="AE50" s="46">
        <v>179.0686</v>
      </c>
      <c r="AF50" s="66" t="s">
        <v>110</v>
      </c>
      <c r="AG50" s="43">
        <v>307615</v>
      </c>
      <c r="AH50" s="43">
        <v>23308</v>
      </c>
      <c r="AI50" s="47">
        <v>7.5770037221851994E-2</v>
      </c>
      <c r="AJ50" s="48">
        <v>7.5770037221851994E-3</v>
      </c>
    </row>
    <row r="51" spans="1:36" x14ac:dyDescent="0.25">
      <c r="A51" s="42"/>
      <c r="B51" s="62"/>
      <c r="C51" s="44">
        <v>234.1628</v>
      </c>
      <c r="D51" s="44">
        <v>0.16280000000000427</v>
      </c>
      <c r="E51" s="45" t="s">
        <v>16</v>
      </c>
      <c r="F51" s="46">
        <v>233.1549</v>
      </c>
      <c r="G51" s="46">
        <v>99.998099999999994</v>
      </c>
      <c r="H51" s="43" t="s">
        <v>21</v>
      </c>
      <c r="I51" s="43">
        <v>2797906</v>
      </c>
      <c r="J51" s="43">
        <v>472146</v>
      </c>
      <c r="K51" s="47">
        <v>0.1687497721510301</v>
      </c>
      <c r="L51" s="48">
        <v>1.1249984810068673E-2</v>
      </c>
      <c r="N51" s="67"/>
      <c r="O51" s="78" t="s">
        <v>141</v>
      </c>
      <c r="P51" s="44">
        <v>237.07660000000001</v>
      </c>
      <c r="Q51" s="44">
        <v>7.6600000000013324E-2</v>
      </c>
      <c r="R51" s="45" t="s">
        <v>48</v>
      </c>
      <c r="S51" s="46">
        <v>238.08369999999999</v>
      </c>
      <c r="T51" s="43" t="s">
        <v>142</v>
      </c>
      <c r="U51" s="71">
        <v>5953428</v>
      </c>
      <c r="V51" s="49">
        <v>602827</v>
      </c>
      <c r="W51" s="47">
        <v>0.1012571244667778</v>
      </c>
      <c r="X51" s="48">
        <v>1.2657140558347225E-2</v>
      </c>
      <c r="Z51" s="67" t="s">
        <v>192</v>
      </c>
      <c r="AA51" s="63" t="s">
        <v>111</v>
      </c>
      <c r="AB51" s="81">
        <v>214.06278520107</v>
      </c>
      <c r="AC51" s="44">
        <v>6.278520106999963E-2</v>
      </c>
      <c r="AD51" s="45" t="s">
        <v>16</v>
      </c>
      <c r="AE51" s="50">
        <v>213.05488520106999</v>
      </c>
      <c r="AF51" s="49" t="s">
        <v>177</v>
      </c>
      <c r="AG51" s="49">
        <v>454024</v>
      </c>
      <c r="AH51" s="49">
        <v>55596</v>
      </c>
      <c r="AI51" s="82">
        <v>0.12245167656335348</v>
      </c>
      <c r="AJ51" s="48">
        <v>9.419359735642575E-3</v>
      </c>
    </row>
    <row r="52" spans="1:36" x14ac:dyDescent="0.25">
      <c r="A52" s="42" t="s">
        <v>44</v>
      </c>
      <c r="B52" s="62" t="s">
        <v>210</v>
      </c>
      <c r="C52" s="44">
        <v>266.15629999999999</v>
      </c>
      <c r="D52" s="44">
        <v>0.15629999999998745</v>
      </c>
      <c r="E52" s="45" t="s">
        <v>16</v>
      </c>
      <c r="F52" s="46">
        <v>265.14839999999998</v>
      </c>
      <c r="G52" s="46">
        <v>99.999970000000005</v>
      </c>
      <c r="H52" s="43" t="s">
        <v>23</v>
      </c>
      <c r="I52" s="43">
        <v>13751896</v>
      </c>
      <c r="J52" s="43">
        <v>1931341</v>
      </c>
      <c r="K52" s="47">
        <v>0.14044179798916454</v>
      </c>
      <c r="L52" s="48">
        <v>1.1703483165763711E-2</v>
      </c>
      <c r="N52" s="67"/>
      <c r="O52" s="78" t="s">
        <v>143</v>
      </c>
      <c r="P52" s="44">
        <v>232.017</v>
      </c>
      <c r="Q52" s="44">
        <v>1.6999999999995907E-2</v>
      </c>
      <c r="R52" s="45" t="s">
        <v>48</v>
      </c>
      <c r="S52" s="46">
        <v>233.02449999999999</v>
      </c>
      <c r="T52" s="43" t="s">
        <v>144</v>
      </c>
      <c r="U52" s="71">
        <v>7825305</v>
      </c>
      <c r="V52" s="49">
        <v>864997</v>
      </c>
      <c r="W52" s="47">
        <v>0.11053843907681554</v>
      </c>
      <c r="X52" s="48">
        <v>1.2282048786312838E-2</v>
      </c>
      <c r="Z52" s="67"/>
      <c r="AA52" s="63" t="s">
        <v>95</v>
      </c>
      <c r="AB52" s="81">
        <v>308.03579196439802</v>
      </c>
      <c r="AC52" s="44">
        <v>3.5791964398015352E-2</v>
      </c>
      <c r="AD52" s="45" t="s">
        <v>16</v>
      </c>
      <c r="AE52" s="50">
        <v>307.02789196439801</v>
      </c>
      <c r="AF52" s="49" t="s">
        <v>177</v>
      </c>
      <c r="AG52" s="49">
        <v>196881</v>
      </c>
      <c r="AH52" s="49">
        <v>29023</v>
      </c>
      <c r="AI52" s="82">
        <v>0.14741392008370538</v>
      </c>
      <c r="AJ52" s="48">
        <v>1.1339532314131182E-2</v>
      </c>
    </row>
    <row r="53" spans="1:36" x14ac:dyDescent="0.25">
      <c r="A53" s="42" t="s">
        <v>205</v>
      </c>
      <c r="B53" s="62"/>
      <c r="C53" s="44">
        <v>182.08010000000002</v>
      </c>
      <c r="D53" s="44">
        <v>8.0100000000015825E-2</v>
      </c>
      <c r="E53" s="45" t="s">
        <v>16</v>
      </c>
      <c r="F53" s="46">
        <v>181.07220000000001</v>
      </c>
      <c r="G53" s="46">
        <v>9.3059999999999992</v>
      </c>
      <c r="H53" s="43" t="s">
        <v>45</v>
      </c>
      <c r="I53" s="43">
        <v>6529468</v>
      </c>
      <c r="J53" s="43">
        <v>448094</v>
      </c>
      <c r="K53" s="47">
        <v>6.8626417956256167E-2</v>
      </c>
      <c r="L53" s="48">
        <v>1.1437736326042695E-2</v>
      </c>
      <c r="N53" s="67"/>
      <c r="O53" s="78" t="s">
        <v>145</v>
      </c>
      <c r="P53" s="44">
        <v>252.15860000000001</v>
      </c>
      <c r="Q53" s="44">
        <v>0.15860000000000696</v>
      </c>
      <c r="R53" s="45" t="s">
        <v>48</v>
      </c>
      <c r="S53" s="46">
        <v>253.16560000000001</v>
      </c>
      <c r="T53" s="43" t="s">
        <v>146</v>
      </c>
      <c r="U53" s="71">
        <v>11763229</v>
      </c>
      <c r="V53" s="49">
        <v>1772309</v>
      </c>
      <c r="W53" s="47">
        <v>0.15066517875321478</v>
      </c>
      <c r="X53" s="48">
        <v>1.2555431562767899E-2</v>
      </c>
      <c r="Z53" s="67"/>
      <c r="AA53" s="63" t="s">
        <v>112</v>
      </c>
      <c r="AB53" s="81">
        <v>194.09380870330401</v>
      </c>
      <c r="AC53" s="44">
        <v>9.3808703304006258E-2</v>
      </c>
      <c r="AD53" s="45" t="s">
        <v>16</v>
      </c>
      <c r="AE53" s="50">
        <v>193.085908703304</v>
      </c>
      <c r="AF53" s="49" t="s">
        <v>113</v>
      </c>
      <c r="AG53" s="49">
        <v>105460</v>
      </c>
      <c r="AH53" s="49">
        <v>11871</v>
      </c>
      <c r="AI53" s="82">
        <v>0.11256400531007017</v>
      </c>
      <c r="AJ53" s="48">
        <v>1.023309139182456E-2</v>
      </c>
    </row>
    <row r="54" spans="1:36" x14ac:dyDescent="0.25">
      <c r="A54" s="42"/>
      <c r="B54" s="62"/>
      <c r="C54" s="44">
        <v>294.18740000000003</v>
      </c>
      <c r="D54" s="44">
        <v>0.1874000000000251</v>
      </c>
      <c r="E54" s="45" t="s">
        <v>16</v>
      </c>
      <c r="F54" s="46">
        <v>293.17950000000002</v>
      </c>
      <c r="G54" s="46">
        <v>97.439580000000007</v>
      </c>
      <c r="H54" s="43" t="s">
        <v>24</v>
      </c>
      <c r="I54" s="43">
        <v>5728433</v>
      </c>
      <c r="J54" s="43">
        <v>956071</v>
      </c>
      <c r="K54" s="47">
        <v>0.16689922008339803</v>
      </c>
      <c r="L54" s="48">
        <v>1.1921372863099858E-2</v>
      </c>
      <c r="N54" s="67"/>
      <c r="O54" s="78" t="s">
        <v>147</v>
      </c>
      <c r="P54" s="44">
        <v>248.0119</v>
      </c>
      <c r="Q54" s="44">
        <v>1.1899999999997135E-2</v>
      </c>
      <c r="R54" s="45" t="s">
        <v>48</v>
      </c>
      <c r="S54" s="46">
        <v>249.01939999999999</v>
      </c>
      <c r="T54" s="43" t="s">
        <v>148</v>
      </c>
      <c r="U54" s="72">
        <v>5402035</v>
      </c>
      <c r="V54" s="71">
        <v>594019</v>
      </c>
      <c r="W54" s="47">
        <v>0.10996207910537417</v>
      </c>
      <c r="X54" s="48">
        <v>1.2218008789486019E-2</v>
      </c>
      <c r="Z54" s="67"/>
      <c r="AA54" s="63" t="s">
        <v>109</v>
      </c>
      <c r="AB54" s="81">
        <v>180.07853559984699</v>
      </c>
      <c r="AC54" s="44">
        <v>7.853559984698677E-2</v>
      </c>
      <c r="AD54" s="45" t="s">
        <v>16</v>
      </c>
      <c r="AE54" s="50">
        <v>179.07063559984698</v>
      </c>
      <c r="AF54" s="49" t="s">
        <v>110</v>
      </c>
      <c r="AG54" s="49">
        <v>3775766</v>
      </c>
      <c r="AH54" s="49">
        <v>315669</v>
      </c>
      <c r="AI54" s="82">
        <v>8.3603962745572691E-2</v>
      </c>
      <c r="AJ54" s="48">
        <v>8.3603962745572684E-3</v>
      </c>
    </row>
    <row r="55" spans="1:36" x14ac:dyDescent="0.25">
      <c r="A55" s="42"/>
      <c r="B55" s="62"/>
      <c r="C55" s="44">
        <v>234.1628</v>
      </c>
      <c r="D55" s="44">
        <v>0.16280000000000427</v>
      </c>
      <c r="E55" s="45" t="s">
        <v>16</v>
      </c>
      <c r="F55" s="46">
        <v>233.1549</v>
      </c>
      <c r="G55" s="46">
        <v>99.997168000000002</v>
      </c>
      <c r="H55" s="43" t="s">
        <v>21</v>
      </c>
      <c r="I55" s="43">
        <v>2925311</v>
      </c>
      <c r="J55" s="43">
        <v>496081</v>
      </c>
      <c r="K55" s="47">
        <v>0.16958231107735211</v>
      </c>
      <c r="L55" s="48">
        <v>1.1305487405156807E-2</v>
      </c>
      <c r="N55" s="67"/>
      <c r="O55" s="78" t="s">
        <v>149</v>
      </c>
      <c r="P55" s="44">
        <v>141.00129999999999</v>
      </c>
      <c r="Q55" s="44">
        <v>1.2999999999863121E-3</v>
      </c>
      <c r="R55" s="45" t="s">
        <v>48</v>
      </c>
      <c r="S55" s="46">
        <v>142.00839999999999</v>
      </c>
      <c r="T55" s="43" t="s">
        <v>150</v>
      </c>
      <c r="U55" s="71">
        <v>2435086</v>
      </c>
      <c r="V55" s="49">
        <v>53026</v>
      </c>
      <c r="W55" s="47">
        <v>2.177582229128663E-2</v>
      </c>
      <c r="X55" s="48">
        <v>1.0887911145643315E-2</v>
      </c>
      <c r="Z55" s="67"/>
      <c r="AA55" s="63" t="s">
        <v>105</v>
      </c>
      <c r="AB55" s="81">
        <v>166.06244118354499</v>
      </c>
      <c r="AC55" s="44">
        <v>6.2441183544990508E-2</v>
      </c>
      <c r="AD55" s="45" t="s">
        <v>16</v>
      </c>
      <c r="AE55" s="50">
        <v>165.05454118354498</v>
      </c>
      <c r="AF55" s="49" t="s">
        <v>106</v>
      </c>
      <c r="AG55" s="49">
        <v>195105</v>
      </c>
      <c r="AH55" s="49">
        <v>21970</v>
      </c>
      <c r="AI55" s="82">
        <v>0.11260603264908639</v>
      </c>
      <c r="AJ55" s="48">
        <v>1.2511781405454043E-2</v>
      </c>
    </row>
    <row r="56" spans="1:36" x14ac:dyDescent="0.25">
      <c r="A56" s="42" t="s">
        <v>211</v>
      </c>
      <c r="B56" s="62" t="s">
        <v>210</v>
      </c>
      <c r="C56" s="44">
        <v>266.15609999999998</v>
      </c>
      <c r="D56" s="44">
        <v>0.15609999999998081</v>
      </c>
      <c r="E56" s="45" t="s">
        <v>16</v>
      </c>
      <c r="F56" s="46">
        <v>265.14819999999997</v>
      </c>
      <c r="G56" s="46">
        <v>99.999979999999994</v>
      </c>
      <c r="H56" s="43" t="s">
        <v>23</v>
      </c>
      <c r="I56" s="43">
        <v>10263670</v>
      </c>
      <c r="J56" s="43">
        <v>1430313</v>
      </c>
      <c r="K56" s="47">
        <v>0.13935687721838289</v>
      </c>
      <c r="L56" s="48">
        <v>1.1613073101531908E-2</v>
      </c>
      <c r="N56" s="67"/>
      <c r="O56" s="78" t="s">
        <v>151</v>
      </c>
      <c r="P56" s="44">
        <v>258.00040000000001</v>
      </c>
      <c r="Q56" s="44">
        <v>4.0000000001327862E-4</v>
      </c>
      <c r="R56" s="45" t="s">
        <v>48</v>
      </c>
      <c r="S56" s="46">
        <v>259.0077</v>
      </c>
      <c r="T56" s="43" t="s">
        <v>152</v>
      </c>
      <c r="U56" s="71">
        <v>5062937</v>
      </c>
      <c r="V56" s="49">
        <v>574786</v>
      </c>
      <c r="W56" s="47">
        <v>0.11352817544441102</v>
      </c>
      <c r="X56" s="48">
        <v>1.2614241716045669E-2</v>
      </c>
      <c r="Z56" s="67" t="s">
        <v>193</v>
      </c>
      <c r="AA56" s="63" t="s">
        <v>111</v>
      </c>
      <c r="AB56" s="81">
        <v>214.06230985322199</v>
      </c>
      <c r="AC56" s="44">
        <v>6.2309853221989897E-2</v>
      </c>
      <c r="AD56" s="45" t="s">
        <v>16</v>
      </c>
      <c r="AE56" s="50">
        <v>213.05440985322198</v>
      </c>
      <c r="AF56" s="49" t="s">
        <v>177</v>
      </c>
      <c r="AG56" s="49">
        <v>706033</v>
      </c>
      <c r="AH56" s="49">
        <v>88092</v>
      </c>
      <c r="AI56" s="82">
        <v>0.1247703719231254</v>
      </c>
      <c r="AJ56" s="48">
        <v>9.5977209171634915E-3</v>
      </c>
    </row>
    <row r="57" spans="1:36" x14ac:dyDescent="0.25">
      <c r="A57" s="42" t="s">
        <v>212</v>
      </c>
      <c r="B57" s="62"/>
      <c r="C57" s="44">
        <v>294.1875</v>
      </c>
      <c r="D57" s="44">
        <v>0.1875</v>
      </c>
      <c r="E57" s="45" t="s">
        <v>16</v>
      </c>
      <c r="F57" s="46">
        <v>293.17959999999999</v>
      </c>
      <c r="G57" s="46">
        <v>99.877099999999999</v>
      </c>
      <c r="H57" s="43" t="s">
        <v>24</v>
      </c>
      <c r="I57" s="43">
        <v>5490642</v>
      </c>
      <c r="J57" s="43">
        <v>900799</v>
      </c>
      <c r="K57" s="47">
        <v>0.16406077832064084</v>
      </c>
      <c r="L57" s="48">
        <v>1.1718627022902916E-2</v>
      </c>
      <c r="N57" s="67"/>
      <c r="O57" s="78" t="s">
        <v>153</v>
      </c>
      <c r="P57" s="44">
        <v>283.13389999999998</v>
      </c>
      <c r="Q57" s="44">
        <v>0.13389999999998281</v>
      </c>
      <c r="R57" s="45" t="s">
        <v>48</v>
      </c>
      <c r="S57" s="46">
        <v>284.14120000000003</v>
      </c>
      <c r="T57" s="43" t="s">
        <v>154</v>
      </c>
      <c r="U57" s="71">
        <v>10497867</v>
      </c>
      <c r="V57" s="49">
        <v>1788617</v>
      </c>
      <c r="W57" s="47">
        <v>0.1703790874851053</v>
      </c>
      <c r="X57" s="48">
        <v>1.1358605832340354E-2</v>
      </c>
      <c r="Z57" s="67"/>
      <c r="AA57" s="63" t="s">
        <v>95</v>
      </c>
      <c r="AB57" s="81">
        <v>308.03534805258698</v>
      </c>
      <c r="AC57" s="44">
        <v>3.5348052586982703E-2</v>
      </c>
      <c r="AD57" s="45" t="s">
        <v>16</v>
      </c>
      <c r="AE57" s="50">
        <v>307.02744805258698</v>
      </c>
      <c r="AF57" s="49" t="s">
        <v>177</v>
      </c>
      <c r="AG57" s="49">
        <v>202721</v>
      </c>
      <c r="AH57" s="49">
        <v>25975</v>
      </c>
      <c r="AI57" s="82">
        <v>0.12813176730580453</v>
      </c>
      <c r="AJ57" s="48">
        <v>9.8562897927541946E-3</v>
      </c>
    </row>
    <row r="58" spans="1:36" x14ac:dyDescent="0.25">
      <c r="A58" s="42"/>
      <c r="B58" s="62"/>
      <c r="C58" s="44">
        <v>234.16290000000001</v>
      </c>
      <c r="D58" s="44">
        <v>0.16290000000000759</v>
      </c>
      <c r="E58" s="45" t="s">
        <v>16</v>
      </c>
      <c r="F58" s="46">
        <v>233.155</v>
      </c>
      <c r="G58" s="46">
        <v>99.983800000000002</v>
      </c>
      <c r="H58" s="43" t="s">
        <v>21</v>
      </c>
      <c r="I58" s="43">
        <v>2782984</v>
      </c>
      <c r="J58" s="43">
        <v>462271</v>
      </c>
      <c r="K58" s="47">
        <v>0.16610623704627839</v>
      </c>
      <c r="L58" s="48">
        <v>1.107374913641856E-2</v>
      </c>
      <c r="N58" s="67"/>
      <c r="O58" s="78" t="s">
        <v>155</v>
      </c>
      <c r="P58" s="44">
        <v>228.06659999999999</v>
      </c>
      <c r="Q58" s="44">
        <v>6.6599999999993997E-2</v>
      </c>
      <c r="R58" s="45" t="s">
        <v>48</v>
      </c>
      <c r="S58" s="46">
        <v>229.0736</v>
      </c>
      <c r="T58" s="43" t="s">
        <v>156</v>
      </c>
      <c r="U58" s="71">
        <v>10333992</v>
      </c>
      <c r="V58" s="49">
        <v>1249333</v>
      </c>
      <c r="W58" s="47">
        <v>0.12089548743602666</v>
      </c>
      <c r="X58" s="48">
        <v>1.2089548743602666E-2</v>
      </c>
      <c r="Z58" s="67"/>
      <c r="AA58" s="63" t="s">
        <v>109</v>
      </c>
      <c r="AB58" s="81">
        <v>180.07834448352</v>
      </c>
      <c r="AC58" s="44">
        <v>7.8344483519998676E-2</v>
      </c>
      <c r="AD58" s="45" t="s">
        <v>16</v>
      </c>
      <c r="AE58" s="50">
        <v>179.07044448351999</v>
      </c>
      <c r="AF58" s="49" t="s">
        <v>110</v>
      </c>
      <c r="AG58" s="49">
        <v>5652639</v>
      </c>
      <c r="AH58" s="49">
        <v>553872</v>
      </c>
      <c r="AI58" s="82">
        <v>9.7984675830174187E-2</v>
      </c>
      <c r="AJ58" s="48">
        <v>9.798467583017419E-3</v>
      </c>
    </row>
    <row r="59" spans="1:36" x14ac:dyDescent="0.25">
      <c r="A59" s="42"/>
      <c r="B59" s="62" t="s">
        <v>270</v>
      </c>
      <c r="C59" s="44">
        <v>298.16120000000001</v>
      </c>
      <c r="D59" s="44">
        <v>0.161200000000008</v>
      </c>
      <c r="E59" s="45" t="s">
        <v>16</v>
      </c>
      <c r="F59" s="46">
        <v>297.1533</v>
      </c>
      <c r="G59" s="46">
        <v>94.376000000000005</v>
      </c>
      <c r="H59" s="43" t="s">
        <v>43</v>
      </c>
      <c r="I59" s="43">
        <v>3148093</v>
      </c>
      <c r="J59" s="43">
        <v>600486</v>
      </c>
      <c r="K59" s="47">
        <v>0.19074595318499168</v>
      </c>
      <c r="L59" s="48">
        <v>1.192162207406198E-2</v>
      </c>
      <c r="N59" s="67"/>
      <c r="O59" s="78" t="s">
        <v>157</v>
      </c>
      <c r="P59" s="44">
        <v>214.05090000000001</v>
      </c>
      <c r="Q59" s="44">
        <v>5.0900000000012824E-2</v>
      </c>
      <c r="R59" s="45" t="s">
        <v>48</v>
      </c>
      <c r="S59" s="46">
        <v>215.05799999999999</v>
      </c>
      <c r="T59" s="43" t="s">
        <v>158</v>
      </c>
      <c r="U59" s="71">
        <v>6349026</v>
      </c>
      <c r="V59" s="71">
        <v>701615</v>
      </c>
      <c r="W59" s="47">
        <v>0.11050750146557912</v>
      </c>
      <c r="X59" s="48">
        <v>1.2278611273953237E-2</v>
      </c>
      <c r="Z59" s="67"/>
      <c r="AA59" s="63" t="s">
        <v>105</v>
      </c>
      <c r="AB59" s="81">
        <v>166.06233128074601</v>
      </c>
      <c r="AC59" s="44">
        <v>6.2331280746008133E-2</v>
      </c>
      <c r="AD59" s="45" t="s">
        <v>16</v>
      </c>
      <c r="AE59" s="50">
        <v>165.054431280746</v>
      </c>
      <c r="AF59" s="49" t="s">
        <v>106</v>
      </c>
      <c r="AG59" s="49">
        <v>255140</v>
      </c>
      <c r="AH59" s="49">
        <v>24302</v>
      </c>
      <c r="AI59" s="82">
        <v>9.5249666849572784E-2</v>
      </c>
      <c r="AJ59" s="48">
        <v>1.0583296316619199E-2</v>
      </c>
    </row>
    <row r="60" spans="1:36" x14ac:dyDescent="0.25">
      <c r="A60" s="42"/>
      <c r="B60" s="62"/>
      <c r="C60" s="44">
        <v>266.15609999999998</v>
      </c>
      <c r="D60" s="44">
        <v>0.15609999999998081</v>
      </c>
      <c r="E60" s="45" t="s">
        <v>16</v>
      </c>
      <c r="F60" s="46">
        <v>265.14819999999997</v>
      </c>
      <c r="G60" s="46">
        <v>99.999899999999997</v>
      </c>
      <c r="H60" s="43" t="s">
        <v>23</v>
      </c>
      <c r="I60" s="43">
        <v>12112850</v>
      </c>
      <c r="J60" s="43">
        <v>1749928</v>
      </c>
      <c r="K60" s="47">
        <v>0.14446872536190905</v>
      </c>
      <c r="L60" s="48">
        <v>1.2039060446825754E-2</v>
      </c>
      <c r="N60" s="67"/>
      <c r="O60" s="78" t="s">
        <v>159</v>
      </c>
      <c r="P60" s="44">
        <v>229.10939999999999</v>
      </c>
      <c r="Q60" s="44">
        <v>0.10939999999999372</v>
      </c>
      <c r="R60" s="45" t="s">
        <v>48</v>
      </c>
      <c r="S60" s="46">
        <v>230.11680000000001</v>
      </c>
      <c r="T60" s="43" t="s">
        <v>160</v>
      </c>
      <c r="U60" s="71">
        <v>10616757</v>
      </c>
      <c r="V60" s="49">
        <v>1276423</v>
      </c>
      <c r="W60" s="47">
        <v>0.12022720309035989</v>
      </c>
      <c r="X60" s="48">
        <v>1.3358578121151099E-2</v>
      </c>
      <c r="Z60" s="67" t="s">
        <v>194</v>
      </c>
      <c r="AA60" s="63" t="s">
        <v>111</v>
      </c>
      <c r="AB60" s="81">
        <v>214.06229339776499</v>
      </c>
      <c r="AC60" s="44">
        <v>6.2293397764989322E-2</v>
      </c>
      <c r="AD60" s="45" t="s">
        <v>16</v>
      </c>
      <c r="AE60" s="50">
        <v>213.05439339776498</v>
      </c>
      <c r="AF60" s="49" t="s">
        <v>177</v>
      </c>
      <c r="AG60" s="49">
        <v>645985</v>
      </c>
      <c r="AH60" s="49">
        <v>78359</v>
      </c>
      <c r="AI60" s="82">
        <v>0.12130157821002036</v>
      </c>
      <c r="AJ60" s="48">
        <v>9.3308906315400265E-3</v>
      </c>
    </row>
    <row r="61" spans="1:36" x14ac:dyDescent="0.25">
      <c r="A61" s="42"/>
      <c r="B61" s="62"/>
      <c r="C61" s="44">
        <v>294.18779999999998</v>
      </c>
      <c r="D61" s="44">
        <v>0.18779999999998154</v>
      </c>
      <c r="E61" s="45" t="s">
        <v>16</v>
      </c>
      <c r="F61" s="46">
        <v>293.17989999999998</v>
      </c>
      <c r="G61" s="46">
        <v>99.281999999999996</v>
      </c>
      <c r="H61" s="43" t="s">
        <v>24</v>
      </c>
      <c r="I61" s="43">
        <v>4953223</v>
      </c>
      <c r="J61" s="43">
        <v>836701</v>
      </c>
      <c r="K61" s="47">
        <v>0.16892051902367408</v>
      </c>
      <c r="L61" s="48">
        <v>1.2065751358833863E-2</v>
      </c>
      <c r="N61" s="67"/>
      <c r="O61" s="78" t="s">
        <v>161</v>
      </c>
      <c r="P61" s="44">
        <v>201.07810000000001</v>
      </c>
      <c r="Q61" s="44">
        <v>7.8100000000006276E-2</v>
      </c>
      <c r="R61" s="45" t="s">
        <v>48</v>
      </c>
      <c r="S61" s="46">
        <v>202.0849</v>
      </c>
      <c r="T61" s="43" t="s">
        <v>162</v>
      </c>
      <c r="U61" s="71">
        <v>10447405</v>
      </c>
      <c r="V61" s="49">
        <v>1019461</v>
      </c>
      <c r="W61" s="47">
        <v>9.7580308220079529E-2</v>
      </c>
      <c r="X61" s="48">
        <v>1.3940044031439933E-2</v>
      </c>
      <c r="Z61" s="67"/>
      <c r="AA61" s="63" t="s">
        <v>95</v>
      </c>
      <c r="AB61" s="81">
        <v>308.03531674730402</v>
      </c>
      <c r="AC61" s="44">
        <v>3.5316747304023011E-2</v>
      </c>
      <c r="AD61" s="45" t="s">
        <v>16</v>
      </c>
      <c r="AE61" s="50">
        <v>307.02741674730402</v>
      </c>
      <c r="AF61" s="49" t="s">
        <v>177</v>
      </c>
      <c r="AG61" s="49">
        <v>195189</v>
      </c>
      <c r="AH61" s="49">
        <v>26920</v>
      </c>
      <c r="AI61" s="82">
        <v>0.13791760806192971</v>
      </c>
      <c r="AJ61" s="48">
        <v>1.0609046773994593E-2</v>
      </c>
    </row>
    <row r="62" spans="1:36" ht="15.75" thickBot="1" x14ac:dyDescent="0.3">
      <c r="A62" s="42"/>
      <c r="B62" s="62"/>
      <c r="C62" s="44">
        <v>234.16310000000001</v>
      </c>
      <c r="D62" s="44">
        <v>0.16310000000001423</v>
      </c>
      <c r="E62" s="45" t="s">
        <v>16</v>
      </c>
      <c r="F62" s="46">
        <v>233.15520000000001</v>
      </c>
      <c r="G62" s="46">
        <v>99.975999999999999</v>
      </c>
      <c r="H62" s="43" t="s">
        <v>21</v>
      </c>
      <c r="I62" s="43">
        <v>2854595</v>
      </c>
      <c r="J62" s="43">
        <v>485206</v>
      </c>
      <c r="K62" s="47">
        <v>0.16997367402381072</v>
      </c>
      <c r="L62" s="48">
        <v>1.1331578268254048E-2</v>
      </c>
      <c r="N62" s="73"/>
      <c r="O62" s="79" t="s">
        <v>163</v>
      </c>
      <c r="P62" s="54">
        <v>229.10939999999999</v>
      </c>
      <c r="Q62" s="54">
        <v>0.10939999999999372</v>
      </c>
      <c r="R62" s="55" t="s">
        <v>48</v>
      </c>
      <c r="S62" s="74">
        <v>230.11680000000001</v>
      </c>
      <c r="T62" s="58" t="s">
        <v>160</v>
      </c>
      <c r="U62" s="75">
        <v>10797958</v>
      </c>
      <c r="V62" s="76">
        <v>1299395</v>
      </c>
      <c r="W62" s="59">
        <v>0.12033710447845787</v>
      </c>
      <c r="X62" s="60">
        <v>1.3370789386495319E-2</v>
      </c>
      <c r="Z62" s="67"/>
      <c r="AA62" s="63" t="s">
        <v>109</v>
      </c>
      <c r="AB62" s="81">
        <v>180.07780073309999</v>
      </c>
      <c r="AC62" s="44">
        <v>7.7800733099991248E-2</v>
      </c>
      <c r="AD62" s="45" t="s">
        <v>16</v>
      </c>
      <c r="AE62" s="50">
        <v>179.06990073309998</v>
      </c>
      <c r="AF62" s="49" t="s">
        <v>110</v>
      </c>
      <c r="AG62" s="49">
        <v>5054021</v>
      </c>
      <c r="AH62" s="49">
        <v>495732</v>
      </c>
      <c r="AI62" s="82">
        <v>9.808665219238305E-2</v>
      </c>
      <c r="AJ62" s="48">
        <v>9.8086652192383057E-3</v>
      </c>
    </row>
    <row r="63" spans="1:36" ht="15.75" thickTop="1" x14ac:dyDescent="0.25">
      <c r="A63" s="42" t="s">
        <v>46</v>
      </c>
      <c r="B63" s="63" t="s">
        <v>47</v>
      </c>
      <c r="C63" s="44">
        <v>415.11619999999999</v>
      </c>
      <c r="D63" s="44">
        <v>0.11619999999999209</v>
      </c>
      <c r="E63" s="45" t="s">
        <v>16</v>
      </c>
      <c r="F63" s="46">
        <v>414.10980000000001</v>
      </c>
      <c r="G63" s="46">
        <v>100</v>
      </c>
      <c r="H63" s="43" t="s">
        <v>49</v>
      </c>
      <c r="I63" s="43">
        <v>1035008</v>
      </c>
      <c r="J63" s="43">
        <v>170778</v>
      </c>
      <c r="K63" s="47">
        <v>0.16500162317585951</v>
      </c>
      <c r="L63" s="48">
        <v>1.1000108211723968E-2</v>
      </c>
      <c r="Z63" s="67" t="s">
        <v>195</v>
      </c>
      <c r="AA63" s="63" t="s">
        <v>111</v>
      </c>
      <c r="AB63" s="81">
        <v>214.06200725364101</v>
      </c>
      <c r="AC63" s="44">
        <v>6.2007253641013449E-2</v>
      </c>
      <c r="AD63" s="45" t="s">
        <v>16</v>
      </c>
      <c r="AE63" s="50">
        <v>213.05410725364101</v>
      </c>
      <c r="AF63" s="49" t="s">
        <v>177</v>
      </c>
      <c r="AG63" s="49">
        <v>216205</v>
      </c>
      <c r="AH63" s="49">
        <v>18370</v>
      </c>
      <c r="AI63" s="82">
        <v>8.4965657593487662E-2</v>
      </c>
      <c r="AJ63" s="48">
        <v>6.5358198148836666E-3</v>
      </c>
    </row>
    <row r="64" spans="1:36" x14ac:dyDescent="0.25">
      <c r="A64" s="42"/>
      <c r="B64" s="63" t="s">
        <v>50</v>
      </c>
      <c r="C64" s="44">
        <v>909.48469999999998</v>
      </c>
      <c r="D64" s="44">
        <v>0.48469999999997526</v>
      </c>
      <c r="E64" s="45" t="s">
        <v>16</v>
      </c>
      <c r="F64" s="46">
        <v>908.47760000000005</v>
      </c>
      <c r="G64" s="46">
        <v>100</v>
      </c>
      <c r="H64" s="43" t="s">
        <v>51</v>
      </c>
      <c r="I64" s="43">
        <v>377930</v>
      </c>
      <c r="J64" s="43">
        <v>191363</v>
      </c>
      <c r="K64" s="47">
        <v>0.50634509036064879</v>
      </c>
      <c r="L64" s="48">
        <v>1.100750196436193E-2</v>
      </c>
      <c r="Z64" s="67"/>
      <c r="AA64" s="63" t="s">
        <v>95</v>
      </c>
      <c r="AB64" s="81">
        <v>308.03473927000402</v>
      </c>
      <c r="AC64" s="44">
        <v>3.4739270004024547E-2</v>
      </c>
      <c r="AD64" s="45" t="s">
        <v>16</v>
      </c>
      <c r="AE64" s="50">
        <v>307.02683927000402</v>
      </c>
      <c r="AF64" s="49" t="s">
        <v>177</v>
      </c>
      <c r="AG64" s="49">
        <v>213279</v>
      </c>
      <c r="AH64" s="49">
        <v>26489</v>
      </c>
      <c r="AI64" s="82">
        <v>0.12419881938681258</v>
      </c>
      <c r="AJ64" s="48">
        <v>9.5537553374471212E-3</v>
      </c>
    </row>
    <row r="65" spans="1:36" x14ac:dyDescent="0.25">
      <c r="A65" s="42"/>
      <c r="B65" s="63" t="s">
        <v>52</v>
      </c>
      <c r="C65" s="44">
        <v>994.548767</v>
      </c>
      <c r="D65" s="44">
        <v>-0.45123300000000199</v>
      </c>
      <c r="E65" s="45" t="s">
        <v>16</v>
      </c>
      <c r="F65" s="46">
        <v>993.5412</v>
      </c>
      <c r="G65" s="46">
        <v>100</v>
      </c>
      <c r="H65" s="43" t="s">
        <v>53</v>
      </c>
      <c r="I65" s="43">
        <v>415420</v>
      </c>
      <c r="J65" s="43">
        <v>218660</v>
      </c>
      <c r="K65" s="47">
        <v>0.5263588657262529</v>
      </c>
      <c r="L65" s="48">
        <v>1.0742017667882712E-2</v>
      </c>
      <c r="Z65" s="67"/>
      <c r="AA65" s="63" t="s">
        <v>112</v>
      </c>
      <c r="AB65" s="81">
        <v>194.09345514250401</v>
      </c>
      <c r="AC65" s="44">
        <v>9.3455142504012656E-2</v>
      </c>
      <c r="AD65" s="45" t="s">
        <v>16</v>
      </c>
      <c r="AE65" s="50">
        <v>193.08555514250401</v>
      </c>
      <c r="AF65" s="49" t="s">
        <v>113</v>
      </c>
      <c r="AG65" s="49">
        <v>106100</v>
      </c>
      <c r="AH65" s="49">
        <v>13117</v>
      </c>
      <c r="AI65" s="82">
        <v>0.12362865221489161</v>
      </c>
      <c r="AJ65" s="48">
        <v>1.1238968383171965E-2</v>
      </c>
    </row>
    <row r="66" spans="1:36" ht="15.75" thickBot="1" x14ac:dyDescent="0.3">
      <c r="A66" s="42"/>
      <c r="B66" s="63" t="s">
        <v>54</v>
      </c>
      <c r="C66" s="44">
        <v>1001.511</v>
      </c>
      <c r="D66" s="44">
        <v>-0.48900000000003274</v>
      </c>
      <c r="E66" s="45" t="s">
        <v>16</v>
      </c>
      <c r="F66" s="46">
        <v>1000.5041</v>
      </c>
      <c r="G66" s="46">
        <v>100</v>
      </c>
      <c r="H66" s="43" t="s">
        <v>55</v>
      </c>
      <c r="I66" s="43">
        <v>314790</v>
      </c>
      <c r="J66" s="43">
        <v>181417</v>
      </c>
      <c r="K66" s="47">
        <v>0.57631119158804278</v>
      </c>
      <c r="L66" s="48">
        <v>1.1082907530539284E-2</v>
      </c>
      <c r="Z66" s="73"/>
      <c r="AA66" s="86" t="s">
        <v>99</v>
      </c>
      <c r="AB66" s="83">
        <v>152.04673660339</v>
      </c>
      <c r="AC66" s="54">
        <v>4.6736603390002074E-2</v>
      </c>
      <c r="AD66" s="55" t="s">
        <v>16</v>
      </c>
      <c r="AE66" s="57">
        <v>151.03883660339</v>
      </c>
      <c r="AF66" s="76" t="s">
        <v>100</v>
      </c>
      <c r="AG66" s="76">
        <v>426979</v>
      </c>
      <c r="AH66" s="76">
        <v>29499</v>
      </c>
      <c r="AI66" s="84">
        <v>6.9087706889566003E-2</v>
      </c>
      <c r="AJ66" s="60">
        <v>8.6359633611957504E-3</v>
      </c>
    </row>
    <row r="67" spans="1:36" ht="15.75" thickTop="1" x14ac:dyDescent="0.25">
      <c r="A67" s="42"/>
      <c r="B67" s="63" t="s">
        <v>56</v>
      </c>
      <c r="C67" s="44">
        <v>1037.5658000000001</v>
      </c>
      <c r="D67" s="44">
        <v>-0.43419999999991887</v>
      </c>
      <c r="E67" s="45" t="s">
        <v>16</v>
      </c>
      <c r="F67" s="46">
        <v>1036.558</v>
      </c>
      <c r="G67" s="46">
        <v>100</v>
      </c>
      <c r="H67" s="43" t="s">
        <v>57</v>
      </c>
      <c r="I67" s="43">
        <v>199727</v>
      </c>
      <c r="J67" s="43">
        <v>109818</v>
      </c>
      <c r="K67" s="47">
        <v>0.54984053232662589</v>
      </c>
      <c r="L67" s="48">
        <v>1.122123535360461E-2</v>
      </c>
    </row>
    <row r="68" spans="1:36" x14ac:dyDescent="0.25">
      <c r="A68" s="42"/>
      <c r="B68" s="63" t="s">
        <v>58</v>
      </c>
      <c r="C68" s="44">
        <v>1044.5281</v>
      </c>
      <c r="D68" s="44">
        <v>-0.47190000000000509</v>
      </c>
      <c r="E68" s="45" t="s">
        <v>16</v>
      </c>
      <c r="F68" s="46">
        <v>1043.5202999999999</v>
      </c>
      <c r="G68" s="46">
        <v>100</v>
      </c>
      <c r="H68" s="43" t="s">
        <v>59</v>
      </c>
      <c r="I68" s="43">
        <v>206374</v>
      </c>
      <c r="J68" s="43">
        <v>114911</v>
      </c>
      <c r="K68" s="47">
        <v>0.55680948181456968</v>
      </c>
      <c r="L68" s="48">
        <v>1.0707874650280187E-2</v>
      </c>
    </row>
    <row r="69" spans="1:36" ht="15.75" thickBot="1" x14ac:dyDescent="0.3">
      <c r="A69" s="42"/>
      <c r="B69" s="63" t="s">
        <v>60</v>
      </c>
      <c r="C69" s="44">
        <v>824.44320000000005</v>
      </c>
      <c r="D69" s="44">
        <v>0.44320000000004711</v>
      </c>
      <c r="E69" s="45" t="s">
        <v>16</v>
      </c>
      <c r="F69" s="46">
        <v>823.43439999999998</v>
      </c>
      <c r="G69" s="46">
        <v>100</v>
      </c>
      <c r="H69" s="43" t="s">
        <v>61</v>
      </c>
      <c r="I69" s="43">
        <v>586527</v>
      </c>
      <c r="J69" s="43">
        <v>251287</v>
      </c>
      <c r="K69" s="47">
        <v>0.42843210968974998</v>
      </c>
      <c r="L69" s="48">
        <v>1.0449563650969511E-2</v>
      </c>
    </row>
    <row r="70" spans="1:36" ht="45.75" thickTop="1" x14ac:dyDescent="0.25">
      <c r="A70" s="37" t="s">
        <v>1</v>
      </c>
      <c r="B70" s="61" t="s">
        <v>2</v>
      </c>
      <c r="C70" s="39" t="s">
        <v>3</v>
      </c>
      <c r="D70" s="38" t="s">
        <v>4</v>
      </c>
      <c r="E70" s="38" t="s">
        <v>5</v>
      </c>
      <c r="F70" s="39" t="s">
        <v>6</v>
      </c>
      <c r="G70" s="39" t="s">
        <v>7</v>
      </c>
      <c r="H70" s="38" t="s">
        <v>8</v>
      </c>
      <c r="I70" s="38" t="s">
        <v>368</v>
      </c>
      <c r="J70" s="38" t="s">
        <v>369</v>
      </c>
      <c r="K70" s="40" t="s">
        <v>11</v>
      </c>
      <c r="L70" s="41" t="s">
        <v>12</v>
      </c>
    </row>
    <row r="71" spans="1:36" ht="15.75" thickBot="1" x14ac:dyDescent="0.3">
      <c r="A71" s="87"/>
      <c r="B71" s="88"/>
      <c r="C71" s="89" t="s">
        <v>366</v>
      </c>
      <c r="D71" s="90" t="s">
        <v>366</v>
      </c>
      <c r="E71" s="90"/>
      <c r="F71" s="91" t="s">
        <v>367</v>
      </c>
      <c r="G71" s="91"/>
      <c r="H71" s="90"/>
      <c r="I71" s="90"/>
      <c r="J71" s="90"/>
      <c r="K71" s="92"/>
      <c r="L71" s="93"/>
    </row>
    <row r="72" spans="1:36" ht="15.75" thickTop="1" x14ac:dyDescent="0.25">
      <c r="A72" s="42" t="s">
        <v>324</v>
      </c>
      <c r="B72" s="63" t="s">
        <v>323</v>
      </c>
      <c r="C72" s="44">
        <v>202.215744</v>
      </c>
      <c r="D72" s="44">
        <v>0.21574400000000082</v>
      </c>
      <c r="E72" s="45" t="s">
        <v>48</v>
      </c>
      <c r="F72" s="46">
        <v>203.2226</v>
      </c>
      <c r="G72" s="46">
        <v>100</v>
      </c>
      <c r="H72" s="43" t="s">
        <v>228</v>
      </c>
      <c r="I72" s="43">
        <v>3239921</v>
      </c>
      <c r="J72" s="43">
        <v>384677</v>
      </c>
      <c r="K72" s="47">
        <v>0.11873036410455687</v>
      </c>
      <c r="L72" s="48">
        <v>1.1873036410455687E-2</v>
      </c>
    </row>
    <row r="73" spans="1:36" x14ac:dyDescent="0.25">
      <c r="A73" s="42"/>
      <c r="B73" s="63"/>
      <c r="C73" s="44">
        <v>111.104797</v>
      </c>
      <c r="D73" s="44">
        <v>0.10479700000000491</v>
      </c>
      <c r="E73" s="45" t="s">
        <v>48</v>
      </c>
      <c r="F73" s="46">
        <v>112.11190000000001</v>
      </c>
      <c r="G73" s="46">
        <v>100</v>
      </c>
      <c r="H73" s="43" t="s">
        <v>230</v>
      </c>
      <c r="I73" s="43">
        <v>2342499</v>
      </c>
      <c r="J73" s="43">
        <v>184660</v>
      </c>
      <c r="K73" s="47">
        <v>7.8830343150626744E-2</v>
      </c>
      <c r="L73" s="48">
        <v>1.1261477592946679E-2</v>
      </c>
    </row>
    <row r="74" spans="1:36" x14ac:dyDescent="0.25">
      <c r="A74" s="42" t="s">
        <v>325</v>
      </c>
      <c r="B74" s="63"/>
      <c r="C74" s="44">
        <v>187.06332399999999</v>
      </c>
      <c r="D74" s="44">
        <v>6.3323999999994385E-2</v>
      </c>
      <c r="E74" s="45" t="s">
        <v>48</v>
      </c>
      <c r="F74" s="46">
        <v>188.0718</v>
      </c>
      <c r="G74" s="46">
        <v>99.78</v>
      </c>
      <c r="H74" s="43" t="s">
        <v>232</v>
      </c>
      <c r="I74" s="43">
        <v>3839826</v>
      </c>
      <c r="J74" s="43">
        <v>456579</v>
      </c>
      <c r="K74" s="47">
        <v>0.11890616918579124</v>
      </c>
      <c r="L74" s="48">
        <v>1.0809651744162839E-2</v>
      </c>
    </row>
    <row r="75" spans="1:36" x14ac:dyDescent="0.25">
      <c r="A75" s="42" t="s">
        <v>326</v>
      </c>
      <c r="B75" s="63"/>
      <c r="C75" s="44">
        <v>202.215744</v>
      </c>
      <c r="D75" s="44">
        <v>0.21574400000000082</v>
      </c>
      <c r="E75" s="45" t="s">
        <v>48</v>
      </c>
      <c r="F75" s="46">
        <v>203.22280000000001</v>
      </c>
      <c r="G75" s="46">
        <v>100</v>
      </c>
      <c r="H75" s="43" t="s">
        <v>228</v>
      </c>
      <c r="I75" s="43">
        <v>1689495</v>
      </c>
      <c r="J75" s="43">
        <v>189187</v>
      </c>
      <c r="K75" s="47">
        <v>0.11197843142477486</v>
      </c>
      <c r="L75" s="48">
        <v>1.1197843142477485E-2</v>
      </c>
    </row>
    <row r="76" spans="1:36" x14ac:dyDescent="0.25">
      <c r="A76" s="42"/>
      <c r="B76" s="63"/>
      <c r="C76" s="44">
        <v>202.215744</v>
      </c>
      <c r="D76" s="44">
        <v>0.21574400000000082</v>
      </c>
      <c r="E76" s="45" t="s">
        <v>48</v>
      </c>
      <c r="F76" s="46">
        <v>203.22319999999999</v>
      </c>
      <c r="G76" s="46">
        <v>100</v>
      </c>
      <c r="H76" s="43" t="s">
        <v>228</v>
      </c>
      <c r="I76" s="43">
        <v>1592026</v>
      </c>
      <c r="J76" s="43">
        <v>174956</v>
      </c>
      <c r="K76" s="47">
        <v>0.10989519015392965</v>
      </c>
      <c r="L76" s="48">
        <v>1.0989519015392964E-2</v>
      </c>
    </row>
    <row r="77" spans="1:36" x14ac:dyDescent="0.25">
      <c r="A77" s="42" t="s">
        <v>327</v>
      </c>
      <c r="B77" s="63"/>
      <c r="C77" s="44">
        <v>202.215744</v>
      </c>
      <c r="D77" s="44">
        <v>0.21574400000000082</v>
      </c>
      <c r="E77" s="45" t="s">
        <v>48</v>
      </c>
      <c r="F77" s="46">
        <v>203.22309999999999</v>
      </c>
      <c r="G77" s="46">
        <v>100</v>
      </c>
      <c r="H77" s="43" t="s">
        <v>228</v>
      </c>
      <c r="I77" s="43">
        <v>2430448</v>
      </c>
      <c r="J77" s="43">
        <v>274163</v>
      </c>
      <c r="K77" s="47">
        <v>0.11280348314384837</v>
      </c>
      <c r="L77" s="48">
        <v>1.1280348314384837E-2</v>
      </c>
    </row>
    <row r="78" spans="1:36" x14ac:dyDescent="0.25">
      <c r="A78" s="42"/>
      <c r="B78" s="63"/>
      <c r="C78" s="44">
        <v>111.104797</v>
      </c>
      <c r="D78" s="44">
        <v>0.10479700000000491</v>
      </c>
      <c r="E78" s="45" t="s">
        <v>48</v>
      </c>
      <c r="F78" s="46">
        <v>112.1127</v>
      </c>
      <c r="G78" s="46">
        <v>100</v>
      </c>
      <c r="H78" s="43" t="s">
        <v>230</v>
      </c>
      <c r="I78" s="43">
        <v>1972870</v>
      </c>
      <c r="J78" s="43">
        <v>150016</v>
      </c>
      <c r="K78" s="47">
        <v>7.6039475484953392E-2</v>
      </c>
      <c r="L78" s="48">
        <v>1.0862782212136199E-2</v>
      </c>
    </row>
    <row r="79" spans="1:36" x14ac:dyDescent="0.25">
      <c r="A79" s="42" t="s">
        <v>62</v>
      </c>
      <c r="B79" s="62" t="s">
        <v>63</v>
      </c>
      <c r="C79" s="44">
        <v>308.16230000000002</v>
      </c>
      <c r="D79" s="44">
        <v>0.1623000000000161</v>
      </c>
      <c r="E79" s="45" t="s">
        <v>16</v>
      </c>
      <c r="F79" s="46">
        <v>307.15440000000001</v>
      </c>
      <c r="G79" s="46">
        <v>99.924249000000003</v>
      </c>
      <c r="H79" s="43" t="s">
        <v>64</v>
      </c>
      <c r="I79" s="43">
        <v>676747</v>
      </c>
      <c r="J79" s="43">
        <v>114400</v>
      </c>
      <c r="K79" s="47">
        <v>0.16904397064190901</v>
      </c>
      <c r="L79" s="48">
        <v>1.4086997553492417E-2</v>
      </c>
    </row>
    <row r="80" spans="1:36" x14ac:dyDescent="0.25">
      <c r="A80" s="42"/>
      <c r="B80" s="62"/>
      <c r="C80" s="44">
        <v>420.28649999999999</v>
      </c>
      <c r="D80" s="44">
        <v>0.28649999999998954</v>
      </c>
      <c r="E80" s="45" t="s">
        <v>16</v>
      </c>
      <c r="F80" s="46">
        <v>419.27859999999998</v>
      </c>
      <c r="G80" s="46">
        <v>96.059612000000001</v>
      </c>
      <c r="H80" s="43" t="s">
        <v>65</v>
      </c>
      <c r="I80" s="43">
        <v>8525806</v>
      </c>
      <c r="J80" s="43">
        <v>2670025</v>
      </c>
      <c r="K80" s="47">
        <v>0.31316980470819999</v>
      </c>
      <c r="L80" s="48">
        <v>1.2526792188327999E-2</v>
      </c>
    </row>
    <row r="81" spans="1:15" x14ac:dyDescent="0.25">
      <c r="A81" s="42"/>
      <c r="B81" s="62"/>
      <c r="C81" s="44">
        <v>444.34390000000002</v>
      </c>
      <c r="D81" s="44">
        <v>0.34390000000001919</v>
      </c>
      <c r="E81" s="45" t="s">
        <v>16</v>
      </c>
      <c r="F81" s="46">
        <v>443.33600000000001</v>
      </c>
      <c r="G81" s="46">
        <v>99.640596000000002</v>
      </c>
      <c r="H81" s="43" t="s">
        <v>34</v>
      </c>
      <c r="I81" s="43">
        <v>6406833</v>
      </c>
      <c r="J81" s="43">
        <v>1864597</v>
      </c>
      <c r="K81" s="47">
        <v>0.2910325585199427</v>
      </c>
      <c r="L81" s="48">
        <v>1.1641302340797709E-2</v>
      </c>
    </row>
    <row r="82" spans="1:15" x14ac:dyDescent="0.25">
      <c r="A82" s="42"/>
      <c r="B82" s="62"/>
      <c r="C82" s="44">
        <v>266.15219999999999</v>
      </c>
      <c r="D82" s="44">
        <v>0.15219999999999345</v>
      </c>
      <c r="E82" s="45" t="s">
        <v>16</v>
      </c>
      <c r="F82" s="46">
        <v>265.14429999999999</v>
      </c>
      <c r="G82" s="46">
        <v>99.818922999999998</v>
      </c>
      <c r="H82" s="43" t="s">
        <v>66</v>
      </c>
      <c r="I82" s="43">
        <v>8204312</v>
      </c>
      <c r="J82" s="43">
        <v>1141358</v>
      </c>
      <c r="K82" s="47">
        <v>0.13911684489814624</v>
      </c>
      <c r="L82" s="48">
        <v>1.738960561226828E-2</v>
      </c>
    </row>
    <row r="83" spans="1:15" x14ac:dyDescent="0.25">
      <c r="A83" s="42"/>
      <c r="B83" s="62"/>
      <c r="C83" s="44">
        <v>416.31240000000003</v>
      </c>
      <c r="D83" s="44">
        <v>0.3124000000000251</v>
      </c>
      <c r="E83" s="45" t="s">
        <v>16</v>
      </c>
      <c r="F83" s="46">
        <v>415.30450000000002</v>
      </c>
      <c r="G83" s="46">
        <v>99.721673999999993</v>
      </c>
      <c r="H83" s="43" t="s">
        <v>67</v>
      </c>
      <c r="I83" s="43">
        <v>5049277</v>
      </c>
      <c r="J83" s="43">
        <v>1302453</v>
      </c>
      <c r="K83" s="47">
        <v>0.25794841518894684</v>
      </c>
      <c r="L83" s="48">
        <v>1.1215148486475949E-2</v>
      </c>
    </row>
    <row r="84" spans="1:15" x14ac:dyDescent="0.25">
      <c r="A84" s="42"/>
      <c r="B84" s="62"/>
      <c r="C84" s="44">
        <v>272.23220000000003</v>
      </c>
      <c r="D84" s="44">
        <v>0.23220000000003438</v>
      </c>
      <c r="E84" s="45" t="s">
        <v>16</v>
      </c>
      <c r="F84" s="46">
        <v>271.22430000000003</v>
      </c>
      <c r="G84" s="46">
        <v>96.013621000000001</v>
      </c>
      <c r="H84" s="43" t="s">
        <v>68</v>
      </c>
      <c r="I84" s="43">
        <v>6025767</v>
      </c>
      <c r="J84" s="43">
        <v>1077302</v>
      </c>
      <c r="K84" s="47">
        <v>0.1787825516652071</v>
      </c>
      <c r="L84" s="48">
        <v>1.4898545972100592E-2</v>
      </c>
    </row>
    <row r="85" spans="1:15" x14ac:dyDescent="0.25">
      <c r="A85" s="42"/>
      <c r="B85" s="62"/>
      <c r="C85" s="44">
        <v>334.17950000000002</v>
      </c>
      <c r="D85" s="44">
        <v>0.17950000000001864</v>
      </c>
      <c r="E85" s="45" t="s">
        <v>16</v>
      </c>
      <c r="F85" s="46">
        <v>333.17160000000001</v>
      </c>
      <c r="G85" s="46">
        <v>99.990138000000002</v>
      </c>
      <c r="H85" s="43" t="s">
        <v>69</v>
      </c>
      <c r="I85" s="43">
        <v>5233079</v>
      </c>
      <c r="J85" s="43">
        <v>921433</v>
      </c>
      <c r="K85" s="47">
        <v>0.17607855719357571</v>
      </c>
      <c r="L85" s="48">
        <v>1.4673213099464642E-2</v>
      </c>
    </row>
    <row r="86" spans="1:15" x14ac:dyDescent="0.25">
      <c r="A86" s="42" t="s">
        <v>214</v>
      </c>
      <c r="B86" s="62" t="s">
        <v>165</v>
      </c>
      <c r="C86" s="44">
        <v>162.06807956360001</v>
      </c>
      <c r="D86" s="44">
        <v>6.8079563600008441E-2</v>
      </c>
      <c r="E86" s="45" t="s">
        <v>48</v>
      </c>
      <c r="F86" s="46">
        <v>163.07513413140299</v>
      </c>
      <c r="G86" s="46">
        <v>100</v>
      </c>
      <c r="H86" s="43" t="s">
        <v>166</v>
      </c>
      <c r="I86" s="43">
        <v>656128</v>
      </c>
      <c r="J86" s="43">
        <v>75717</v>
      </c>
      <c r="K86" s="47">
        <v>0.11539973907530238</v>
      </c>
      <c r="L86" s="48">
        <v>1.1539973907530237E-2</v>
      </c>
    </row>
    <row r="87" spans="1:15" x14ac:dyDescent="0.25">
      <c r="A87" s="42"/>
      <c r="B87" s="62" t="s">
        <v>167</v>
      </c>
      <c r="C87" s="44">
        <v>162.1156984614</v>
      </c>
      <c r="D87" s="44">
        <v>0.11569846140000095</v>
      </c>
      <c r="E87" s="45" t="s">
        <v>48</v>
      </c>
      <c r="F87" s="46">
        <v>163.12280744292499</v>
      </c>
      <c r="G87" s="46">
        <v>100</v>
      </c>
      <c r="H87" s="43" t="s">
        <v>168</v>
      </c>
      <c r="I87" s="43">
        <v>3748891</v>
      </c>
      <c r="J87" s="43">
        <v>389420</v>
      </c>
      <c r="K87" s="47">
        <v>0.10387605294472418</v>
      </c>
      <c r="L87" s="48">
        <v>1.0387605294472418E-2</v>
      </c>
    </row>
    <row r="88" spans="1:15" x14ac:dyDescent="0.25">
      <c r="A88" s="42"/>
      <c r="B88" s="62" t="s">
        <v>370</v>
      </c>
      <c r="C88" s="44">
        <v>282.2559</v>
      </c>
      <c r="D88" s="44">
        <v>0.25589999999999691</v>
      </c>
      <c r="E88" s="45" t="s">
        <v>16</v>
      </c>
      <c r="F88" s="46">
        <v>281.2484</v>
      </c>
      <c r="G88" s="46">
        <v>100</v>
      </c>
      <c r="H88" s="43" t="s">
        <v>371</v>
      </c>
      <c r="I88" s="43">
        <v>63656893</v>
      </c>
      <c r="J88" s="43">
        <v>12798017</v>
      </c>
      <c r="K88" s="47">
        <v>0.20104683714299409</v>
      </c>
      <c r="L88" s="48">
        <v>1.1169268730166338E-2</v>
      </c>
    </row>
    <row r="89" spans="1:15" x14ac:dyDescent="0.25">
      <c r="A89" s="42" t="s">
        <v>215</v>
      </c>
      <c r="B89" s="62" t="s">
        <v>171</v>
      </c>
      <c r="C89" s="44">
        <v>148.05242949980001</v>
      </c>
      <c r="D89" s="44">
        <v>5.2429499800012991E-2</v>
      </c>
      <c r="E89" s="45" t="s">
        <v>48</v>
      </c>
      <c r="F89" s="46">
        <v>149.05925121335</v>
      </c>
      <c r="G89" s="46">
        <v>100</v>
      </c>
      <c r="H89" s="43" t="s">
        <v>172</v>
      </c>
      <c r="I89" s="43">
        <v>278318</v>
      </c>
      <c r="J89" s="43">
        <v>28165</v>
      </c>
      <c r="K89" s="47">
        <v>0.10119719170157877</v>
      </c>
      <c r="L89" s="48">
        <v>1.124413241128653E-2</v>
      </c>
    </row>
    <row r="90" spans="1:15" ht="15.75" customHeight="1" x14ac:dyDescent="0.25">
      <c r="A90" s="42"/>
      <c r="B90" s="62" t="s">
        <v>370</v>
      </c>
      <c r="C90" s="44">
        <v>282.2559</v>
      </c>
      <c r="D90" s="44">
        <v>0.25589999999999691</v>
      </c>
      <c r="E90" s="45" t="s">
        <v>16</v>
      </c>
      <c r="F90" s="46">
        <v>281.24740000000003</v>
      </c>
      <c r="G90" s="46">
        <v>100</v>
      </c>
      <c r="H90" s="43" t="s">
        <v>371</v>
      </c>
      <c r="I90" s="43">
        <v>37174613</v>
      </c>
      <c r="J90" s="43">
        <v>6291914</v>
      </c>
      <c r="K90" s="47">
        <v>0.16925297917694529</v>
      </c>
      <c r="L90" s="48">
        <v>9.4029432876080715E-3</v>
      </c>
      <c r="O90">
        <f>86-7</f>
        <v>79</v>
      </c>
    </row>
    <row r="91" spans="1:15" x14ac:dyDescent="0.25">
      <c r="A91" s="42" t="s">
        <v>221</v>
      </c>
      <c r="B91" s="62" t="s">
        <v>370</v>
      </c>
      <c r="C91" s="44">
        <v>282.2559</v>
      </c>
      <c r="D91" s="44">
        <v>0.25589999999999691</v>
      </c>
      <c r="E91" s="45" t="s">
        <v>16</v>
      </c>
      <c r="F91" s="46">
        <v>281.24779999999998</v>
      </c>
      <c r="G91" s="46">
        <v>100</v>
      </c>
      <c r="H91" s="43" t="s">
        <v>371</v>
      </c>
      <c r="I91" s="43">
        <v>86084414</v>
      </c>
      <c r="J91" s="43">
        <v>23108418</v>
      </c>
      <c r="K91" s="47">
        <v>0.26843904635280436</v>
      </c>
      <c r="L91" s="48">
        <v>1.4913280352933576E-2</v>
      </c>
      <c r="O91">
        <f>O90/3</f>
        <v>26.333333333333332</v>
      </c>
    </row>
    <row r="92" spans="1:15" x14ac:dyDescent="0.25">
      <c r="A92" s="42" t="s">
        <v>216</v>
      </c>
      <c r="B92" s="62" t="s">
        <v>165</v>
      </c>
      <c r="C92" s="44">
        <v>162.06807956360001</v>
      </c>
      <c r="D92" s="44">
        <v>6.8079563600008441E-2</v>
      </c>
      <c r="E92" s="45" t="s">
        <v>48</v>
      </c>
      <c r="F92" s="46">
        <v>163.075178715904</v>
      </c>
      <c r="G92" s="46">
        <v>100</v>
      </c>
      <c r="H92" s="43" t="s">
        <v>166</v>
      </c>
      <c r="I92" s="43">
        <v>529744</v>
      </c>
      <c r="J92" s="43">
        <v>54330</v>
      </c>
      <c r="K92" s="47">
        <v>0.10255897188075749</v>
      </c>
      <c r="L92" s="48">
        <v>1.0255897188075749E-2</v>
      </c>
    </row>
    <row r="93" spans="1:15" x14ac:dyDescent="0.25">
      <c r="A93" s="42"/>
      <c r="B93" s="62" t="s">
        <v>370</v>
      </c>
      <c r="C93" s="44">
        <v>282.2559</v>
      </c>
      <c r="D93" s="44">
        <v>0.25589999999999691</v>
      </c>
      <c r="E93" s="45" t="s">
        <v>16</v>
      </c>
      <c r="F93" s="46">
        <v>281.24759999999998</v>
      </c>
      <c r="G93" s="46">
        <v>100</v>
      </c>
      <c r="H93" s="43" t="s">
        <v>371</v>
      </c>
      <c r="I93" s="43">
        <v>12154290</v>
      </c>
      <c r="J93" s="43">
        <v>1943044</v>
      </c>
      <c r="K93" s="47">
        <v>0.15986487075756792</v>
      </c>
      <c r="L93" s="48">
        <v>8.8813817087537734E-3</v>
      </c>
    </row>
    <row r="94" spans="1:15" x14ac:dyDescent="0.25">
      <c r="A94" s="42" t="s">
        <v>217</v>
      </c>
      <c r="B94" s="62" t="s">
        <v>171</v>
      </c>
      <c r="C94" s="44">
        <v>148.05242949980001</v>
      </c>
      <c r="D94" s="44">
        <v>5.2429499800012991E-2</v>
      </c>
      <c r="E94" s="45" t="s">
        <v>48</v>
      </c>
      <c r="F94" s="46">
        <v>149.060183808066</v>
      </c>
      <c r="G94" s="46">
        <v>100</v>
      </c>
      <c r="H94" s="43" t="s">
        <v>172</v>
      </c>
      <c r="I94" s="43">
        <v>267320</v>
      </c>
      <c r="J94" s="43">
        <v>23634</v>
      </c>
      <c r="K94" s="47">
        <v>8.8410893311387101E-2</v>
      </c>
      <c r="L94" s="48">
        <v>9.8234325901541217E-3</v>
      </c>
    </row>
    <row r="95" spans="1:15" ht="15.75" thickBot="1" x14ac:dyDescent="0.3">
      <c r="A95" s="51"/>
      <c r="B95" s="64" t="s">
        <v>370</v>
      </c>
      <c r="C95" s="53">
        <v>282.2559</v>
      </c>
      <c r="D95" s="54">
        <v>0.25589999999999691</v>
      </c>
      <c r="E95" s="55" t="s">
        <v>16</v>
      </c>
      <c r="F95" s="56">
        <v>281.24779999999998</v>
      </c>
      <c r="G95" s="57">
        <v>100</v>
      </c>
      <c r="H95" s="58" t="s">
        <v>371</v>
      </c>
      <c r="I95" s="52">
        <v>53055983</v>
      </c>
      <c r="J95" s="52">
        <v>9659912</v>
      </c>
      <c r="K95" s="59">
        <v>0.18207017293412509</v>
      </c>
      <c r="L95" s="60">
        <v>1.0115009607451394E-2</v>
      </c>
    </row>
    <row r="96" spans="1:15" ht="15.75" thickTop="1" x14ac:dyDescent="0.25"/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/>
  </sheetViews>
  <sheetFormatPr defaultRowHeight="15" x14ac:dyDescent="0.25"/>
  <cols>
    <col min="1" max="1" width="18.85546875" customWidth="1"/>
  </cols>
  <sheetData>
    <row r="2" spans="1:14" s="3" customFormat="1" ht="45" x14ac:dyDescent="0.25">
      <c r="A2" s="6" t="s">
        <v>1</v>
      </c>
      <c r="B2" s="6" t="s">
        <v>2</v>
      </c>
      <c r="C2" s="14" t="s">
        <v>3</v>
      </c>
      <c r="D2" s="6" t="s">
        <v>4</v>
      </c>
      <c r="E2" s="6" t="s">
        <v>5</v>
      </c>
      <c r="F2" s="14" t="s">
        <v>6</v>
      </c>
      <c r="G2" s="14" t="s">
        <v>7</v>
      </c>
      <c r="H2" s="6" t="s">
        <v>8</v>
      </c>
      <c r="I2" s="6" t="s">
        <v>9</v>
      </c>
      <c r="J2" s="6" t="s">
        <v>10</v>
      </c>
      <c r="K2" s="17" t="s">
        <v>11</v>
      </c>
      <c r="L2" s="18" t="s">
        <v>12</v>
      </c>
      <c r="N2" s="6" t="s">
        <v>196</v>
      </c>
    </row>
    <row r="3" spans="1:14" s="3" customFormat="1" ht="17.45" customHeight="1" x14ac:dyDescent="0.25">
      <c r="A3" s="6"/>
      <c r="B3" s="6"/>
      <c r="C3" s="14" t="s">
        <v>13</v>
      </c>
      <c r="D3" s="6" t="s">
        <v>15</v>
      </c>
      <c r="E3" s="6"/>
      <c r="F3" s="14" t="s">
        <v>14</v>
      </c>
      <c r="G3" s="14"/>
      <c r="H3" s="6"/>
      <c r="I3" s="6"/>
      <c r="J3" s="6"/>
      <c r="K3" s="17"/>
      <c r="L3" s="18"/>
      <c r="N3" s="6"/>
    </row>
    <row r="4" spans="1:14" s="3" customFormat="1" ht="17.45" customHeight="1" x14ac:dyDescent="0.25">
      <c r="A4" s="6"/>
      <c r="B4" s="6"/>
      <c r="C4" s="14"/>
      <c r="D4" s="6"/>
      <c r="E4" s="6"/>
      <c r="F4" s="14"/>
      <c r="G4" s="14"/>
      <c r="H4" s="6"/>
      <c r="I4" s="6"/>
      <c r="J4" s="6"/>
      <c r="K4" s="17"/>
      <c r="L4" s="18"/>
      <c r="N4" s="6"/>
    </row>
    <row r="5" spans="1:14" s="3" customFormat="1" ht="17.45" customHeight="1" x14ac:dyDescent="0.25">
      <c r="A5" s="6"/>
      <c r="B5" s="6"/>
      <c r="C5" s="14"/>
      <c r="D5" s="6"/>
      <c r="E5" s="6"/>
      <c r="F5" s="14"/>
      <c r="G5" s="14"/>
      <c r="H5" s="6"/>
      <c r="I5" s="6"/>
      <c r="J5" s="6"/>
      <c r="K5" s="17"/>
      <c r="L5" s="18"/>
      <c r="N5" s="6"/>
    </row>
    <row r="6" spans="1:14" s="3" customFormat="1" ht="17.45" customHeight="1" x14ac:dyDescent="0.25">
      <c r="A6" s="6"/>
      <c r="B6" s="6"/>
      <c r="C6" s="14"/>
      <c r="D6" s="6"/>
      <c r="E6" s="6"/>
      <c r="F6" s="14"/>
      <c r="G6" s="14"/>
      <c r="H6" s="6"/>
      <c r="I6" s="6"/>
      <c r="J6" s="6"/>
      <c r="K6" s="17"/>
      <c r="L6" s="18"/>
      <c r="N6" s="6"/>
    </row>
    <row r="8" spans="1:14" ht="45" x14ac:dyDescent="0.25">
      <c r="A8" s="25" t="s">
        <v>234</v>
      </c>
      <c r="B8" s="25" t="s">
        <v>2</v>
      </c>
      <c r="C8" s="26" t="s">
        <v>3</v>
      </c>
      <c r="D8" s="25" t="s">
        <v>4</v>
      </c>
      <c r="E8" s="6" t="s">
        <v>5</v>
      </c>
      <c r="F8" s="25" t="s">
        <v>6</v>
      </c>
      <c r="G8" s="25" t="s">
        <v>7</v>
      </c>
      <c r="H8" s="25" t="s">
        <v>8</v>
      </c>
      <c r="I8" s="25" t="s">
        <v>9</v>
      </c>
      <c r="J8" s="25" t="s">
        <v>10</v>
      </c>
      <c r="K8" s="28" t="s">
        <v>11</v>
      </c>
      <c r="L8" s="25" t="s">
        <v>12</v>
      </c>
      <c r="M8" s="25"/>
      <c r="N8" s="27" t="s">
        <v>226</v>
      </c>
    </row>
    <row r="9" spans="1:14" s="5" customFormat="1" x14ac:dyDescent="0.25">
      <c r="A9" s="5" t="s">
        <v>235</v>
      </c>
      <c r="B9" s="5" t="s">
        <v>227</v>
      </c>
      <c r="C9" s="8">
        <v>202.215744</v>
      </c>
      <c r="E9" s="4" t="s">
        <v>48</v>
      </c>
      <c r="F9" s="8">
        <v>203.2226</v>
      </c>
      <c r="G9" s="8">
        <v>100</v>
      </c>
      <c r="H9" s="5" t="s">
        <v>228</v>
      </c>
      <c r="I9" s="5">
        <v>3239921</v>
      </c>
      <c r="J9" s="5">
        <v>384677</v>
      </c>
      <c r="K9" s="29">
        <f>J9/I9</f>
        <v>0.11873036410455687</v>
      </c>
      <c r="L9" s="5">
        <f t="shared" ref="L9:L15" si="0">K9/N9</f>
        <v>1.1873036410455687E-2</v>
      </c>
      <c r="N9" s="4">
        <v>10</v>
      </c>
    </row>
    <row r="10" spans="1:14" s="5" customFormat="1" x14ac:dyDescent="0.25">
      <c r="B10" s="5" t="s">
        <v>229</v>
      </c>
      <c r="C10" s="8">
        <v>111.104797</v>
      </c>
      <c r="E10" s="4" t="s">
        <v>48</v>
      </c>
      <c r="F10" s="8">
        <v>112.11190000000001</v>
      </c>
      <c r="G10" s="8">
        <v>100</v>
      </c>
      <c r="H10" s="5" t="s">
        <v>230</v>
      </c>
      <c r="I10" s="5">
        <v>2342499</v>
      </c>
      <c r="J10" s="5">
        <v>184660</v>
      </c>
      <c r="K10" s="29">
        <f t="shared" ref="K10:K15" si="1">J10/I10</f>
        <v>7.8830343150626744E-2</v>
      </c>
      <c r="L10" s="5">
        <f t="shared" si="0"/>
        <v>1.1261477592946679E-2</v>
      </c>
      <c r="N10" s="4">
        <v>7</v>
      </c>
    </row>
    <row r="11" spans="1:14" s="5" customFormat="1" x14ac:dyDescent="0.25">
      <c r="A11" s="5" t="s">
        <v>236</v>
      </c>
      <c r="B11" s="5" t="s">
        <v>231</v>
      </c>
      <c r="C11" s="8">
        <v>187.06332399999999</v>
      </c>
      <c r="E11" s="4" t="s">
        <v>48</v>
      </c>
      <c r="F11" s="8">
        <v>188.0718</v>
      </c>
      <c r="G11" s="8">
        <v>99.78</v>
      </c>
      <c r="H11" s="5" t="s">
        <v>232</v>
      </c>
      <c r="I11" s="5">
        <v>3839826</v>
      </c>
      <c r="J11" s="5">
        <v>456579</v>
      </c>
      <c r="K11" s="29">
        <f t="shared" si="1"/>
        <v>0.11890616918579124</v>
      </c>
      <c r="L11" s="5">
        <f t="shared" si="0"/>
        <v>1.0809651744162839E-2</v>
      </c>
      <c r="N11" s="4">
        <v>11</v>
      </c>
    </row>
    <row r="12" spans="1:14" s="5" customFormat="1" x14ac:dyDescent="0.25">
      <c r="A12" s="5" t="s">
        <v>237</v>
      </c>
      <c r="B12" s="5" t="s">
        <v>227</v>
      </c>
      <c r="C12" s="8">
        <v>202.215744</v>
      </c>
      <c r="E12" s="4" t="s">
        <v>48</v>
      </c>
      <c r="F12" s="8">
        <v>203.22280000000001</v>
      </c>
      <c r="G12" s="8">
        <v>100</v>
      </c>
      <c r="H12" s="5" t="s">
        <v>228</v>
      </c>
      <c r="I12" s="5">
        <v>1689495</v>
      </c>
      <c r="J12" s="5">
        <v>189187</v>
      </c>
      <c r="K12" s="29">
        <f t="shared" si="1"/>
        <v>0.11197843142477486</v>
      </c>
      <c r="L12" s="5">
        <f t="shared" si="0"/>
        <v>1.1197843142477485E-2</v>
      </c>
      <c r="N12" s="4">
        <v>10</v>
      </c>
    </row>
    <row r="13" spans="1:14" s="5" customFormat="1" x14ac:dyDescent="0.25">
      <c r="B13" s="5" t="s">
        <v>233</v>
      </c>
      <c r="C13" s="8">
        <v>202.215744</v>
      </c>
      <c r="E13" s="4" t="s">
        <v>48</v>
      </c>
      <c r="F13" s="8">
        <v>203.22319999999999</v>
      </c>
      <c r="G13" s="8">
        <v>100</v>
      </c>
      <c r="H13" s="5" t="s">
        <v>228</v>
      </c>
      <c r="I13" s="5">
        <v>1592026</v>
      </c>
      <c r="J13" s="5">
        <v>174956</v>
      </c>
      <c r="K13" s="29">
        <f t="shared" si="1"/>
        <v>0.10989519015392965</v>
      </c>
      <c r="L13" s="5">
        <f t="shared" si="0"/>
        <v>1.0989519015392964E-2</v>
      </c>
      <c r="N13" s="4">
        <v>10</v>
      </c>
    </row>
    <row r="14" spans="1:14" s="5" customFormat="1" x14ac:dyDescent="0.25">
      <c r="A14" s="5" t="s">
        <v>238</v>
      </c>
      <c r="B14" s="5" t="s">
        <v>227</v>
      </c>
      <c r="C14" s="8">
        <v>202.215744</v>
      </c>
      <c r="E14" s="4" t="s">
        <v>48</v>
      </c>
      <c r="F14" s="8">
        <v>203.22309999999999</v>
      </c>
      <c r="G14" s="8">
        <v>100</v>
      </c>
      <c r="H14" s="5" t="s">
        <v>228</v>
      </c>
      <c r="I14" s="5">
        <v>2430448</v>
      </c>
      <c r="J14" s="5">
        <v>274163</v>
      </c>
      <c r="K14" s="29">
        <f t="shared" si="1"/>
        <v>0.11280348314384837</v>
      </c>
      <c r="L14" s="5">
        <f t="shared" si="0"/>
        <v>1.1280348314384837E-2</v>
      </c>
      <c r="N14" s="4">
        <v>10</v>
      </c>
    </row>
    <row r="15" spans="1:14" s="5" customFormat="1" x14ac:dyDescent="0.25">
      <c r="B15" s="5" t="s">
        <v>229</v>
      </c>
      <c r="C15" s="8">
        <v>111.104797</v>
      </c>
      <c r="E15" s="4" t="s">
        <v>48</v>
      </c>
      <c r="F15" s="8">
        <v>112.1127</v>
      </c>
      <c r="G15" s="8">
        <v>100</v>
      </c>
      <c r="H15" s="5" t="s">
        <v>230</v>
      </c>
      <c r="I15" s="5">
        <v>1972870</v>
      </c>
      <c r="J15" s="5">
        <v>150016</v>
      </c>
      <c r="K15" s="29">
        <f t="shared" si="1"/>
        <v>7.6039475484953392E-2</v>
      </c>
      <c r="L15" s="5">
        <f t="shared" si="0"/>
        <v>1.0862782212136199E-2</v>
      </c>
      <c r="N15" s="4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summary</vt:lpstr>
      <vt:lpstr>Atmospheric carbon</vt:lpstr>
      <vt:lpstr>Graphs</vt:lpstr>
      <vt:lpstr>Table S5</vt:lpstr>
      <vt:lpstr>Tables S2-S4</vt:lpstr>
      <vt:lpstr>Editorial workarea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U.S. EPA </cp:lastModifiedBy>
  <cp:lastPrinted>2017-08-28T12:42:38Z</cp:lastPrinted>
  <dcterms:created xsi:type="dcterms:W3CDTF">2017-08-25T18:09:59Z</dcterms:created>
  <dcterms:modified xsi:type="dcterms:W3CDTF">2017-09-25T16:07:00Z</dcterms:modified>
</cp:coreProperties>
</file>