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8220" windowHeight="4680" tabRatio="653" activeTab="0"/>
  </bookViews>
  <sheets>
    <sheet name="1. General Information" sheetId="1" r:id="rId1"/>
    <sheet name=" 2. Calibration Curves" sheetId="2" r:id="rId2"/>
    <sheet name="3.Raw Data Processing" sheetId="3" r:id="rId3"/>
    <sheet name="4. Summ Metabolism Mass Balance" sheetId="4" r:id="rId4"/>
    <sheet name="5. Comparison 7 vs 3 cal points" sheetId="5" r:id="rId5"/>
  </sheets>
  <externalReferences>
    <externalReference r:id="rId8"/>
  </externalReferences>
  <definedNames>
    <definedName name="_xlnm.Print_Area" localSheetId="2">'3.Raw Data Processing'!$Q$38:$AC$111</definedName>
    <definedName name="_xlnm.Print_Area" localSheetId="3">'4. Summ Metabolism Mass Balance'!$B$27:$K$69</definedName>
  </definedNames>
  <calcPr fullCalcOnLoad="1"/>
</workbook>
</file>

<file path=xl/sharedStrings.xml><?xml version="1.0" encoding="utf-8"?>
<sst xmlns="http://schemas.openxmlformats.org/spreadsheetml/2006/main" count="827" uniqueCount="210">
  <si>
    <t>Method:</t>
  </si>
  <si>
    <t>DPK_SLO</t>
  </si>
  <si>
    <t>Sequence:</t>
  </si>
  <si>
    <t>Chemical:</t>
  </si>
  <si>
    <t>Target:</t>
  </si>
  <si>
    <t>Concentration</t>
  </si>
  <si>
    <t>STD SET 1</t>
  </si>
  <si>
    <t>STD SET 2</t>
  </si>
  <si>
    <r>
      <t>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M)</t>
    </r>
  </si>
  <si>
    <t>Name</t>
  </si>
  <si>
    <t>Time (h)</t>
  </si>
  <si>
    <t>BADPK</t>
  </si>
  <si>
    <t>DPK</t>
  </si>
  <si>
    <t>HEXANE. DPK_SLO, SIMOHDPK</t>
  </si>
  <si>
    <t>DPK, BADPK, OHDPK</t>
  </si>
  <si>
    <t>Control Slice R1</t>
  </si>
  <si>
    <t>Control Slice R2</t>
  </si>
  <si>
    <t>Area DPK</t>
  </si>
  <si>
    <t>Control Media Only R2</t>
  </si>
  <si>
    <t>Control Media Only R1</t>
  </si>
  <si>
    <t>48h</t>
  </si>
  <si>
    <t>Control Media + Slice R1</t>
  </si>
  <si>
    <t>Control Media + Slice R2</t>
  </si>
  <si>
    <t>SIM ions 115, 182, 184, 198, 200, 278</t>
  </si>
  <si>
    <t>STD Set 1</t>
  </si>
  <si>
    <t>STD Set 2</t>
  </si>
  <si>
    <t>Area BADPK</t>
  </si>
  <si>
    <t>0h standard curve</t>
  </si>
  <si>
    <t>ND</t>
  </si>
  <si>
    <t xml:space="preserve">ND </t>
  </si>
  <si>
    <t>48h standard curve</t>
  </si>
  <si>
    <t xml:space="preserve">DPK </t>
  </si>
  <si>
    <t>SET 2</t>
  </si>
  <si>
    <t>Avg</t>
  </si>
  <si>
    <t xml:space="preserve"> STD SET 1</t>
  </si>
  <si>
    <t>Area</t>
  </si>
  <si>
    <t xml:space="preserve">Area </t>
  </si>
  <si>
    <t>SET 1</t>
  </si>
  <si>
    <t>Concentration (µM)</t>
  </si>
  <si>
    <t>STANDARDS</t>
  </si>
  <si>
    <t>0h</t>
  </si>
  <si>
    <t>RT=25.77</t>
  </si>
  <si>
    <t>RT=25.75</t>
  </si>
  <si>
    <t>RT=25.99</t>
  </si>
  <si>
    <t>RT=25.98</t>
  </si>
  <si>
    <t>RT=25.79</t>
  </si>
  <si>
    <t>RT=26.01</t>
  </si>
  <si>
    <t>RT=25.78</t>
  </si>
  <si>
    <t>RT=26.00</t>
  </si>
  <si>
    <t>Recovery %</t>
  </si>
  <si>
    <t>DATA PROCESSING</t>
  </si>
  <si>
    <t>R1, R2 Avg</t>
  </si>
  <si>
    <t xml:space="preserve">uM </t>
  </si>
  <si>
    <t>Instrument Used:</t>
  </si>
  <si>
    <t>Experiment Designed By:</t>
  </si>
  <si>
    <t>BS, JS, JV, GO</t>
  </si>
  <si>
    <t>-3.7 Log M</t>
  </si>
  <si>
    <t>Nominal Concentration</t>
  </si>
  <si>
    <t>uM</t>
  </si>
  <si>
    <t xml:space="preserve">DPK uM </t>
  </si>
  <si>
    <t>Nominal Concetration</t>
  </si>
  <si>
    <t>DPK Mass Balance</t>
  </si>
  <si>
    <t>umoles/L</t>
  </si>
  <si>
    <t>volume in well</t>
  </si>
  <si>
    <t>liters</t>
  </si>
  <si>
    <t>amount in well</t>
  </si>
  <si>
    <t xml:space="preserve"> nmoles</t>
  </si>
  <si>
    <t>R1, R2, Avg</t>
  </si>
  <si>
    <t>BADPK Mass Balance</t>
  </si>
  <si>
    <t xml:space="preserve">BADPK </t>
  </si>
  <si>
    <t xml:space="preserve">y intercept, b= </t>
  </si>
  <si>
    <t>slope, m=</t>
  </si>
  <si>
    <t>Legend:</t>
  </si>
  <si>
    <t>Control = no DPK</t>
  </si>
  <si>
    <t>BADPK = benzhydrol</t>
  </si>
  <si>
    <t>-4 LogM (100uM)</t>
  </si>
  <si>
    <t>-3.7 LogM (200uM)</t>
  </si>
  <si>
    <t xml:space="preserve"> -4 Media Only R1</t>
  </si>
  <si>
    <t xml:space="preserve"> -4 Media Only R2 </t>
  </si>
  <si>
    <t xml:space="preserve"> -4 Media + Slice R1</t>
  </si>
  <si>
    <t xml:space="preserve"> -4 Media + Slice R2 </t>
  </si>
  <si>
    <t xml:space="preserve"> -4 Slice R1</t>
  </si>
  <si>
    <t xml:space="preserve"> -4 Slice R2 </t>
  </si>
  <si>
    <t xml:space="preserve"> -3.7 Media Only R1</t>
  </si>
  <si>
    <t xml:space="preserve"> -3.7 Media Only R2</t>
  </si>
  <si>
    <t xml:space="preserve"> -3.7 Media Only R2 </t>
  </si>
  <si>
    <t xml:space="preserve"> -3.7 Media + Slice R1</t>
  </si>
  <si>
    <t xml:space="preserve"> -3.7 Media + Slice R2 </t>
  </si>
  <si>
    <t xml:space="preserve"> -3.7 Slice R1</t>
  </si>
  <si>
    <t xml:space="preserve"> -3.7 Slice R2 </t>
  </si>
  <si>
    <t>S = Sonicated Slice, blotted</t>
  </si>
  <si>
    <t>Analytical Mass Balance of DPK metabolism in liver slices, 7/6/2010, Overend, Serrano, Sheedy, Voelker</t>
  </si>
  <si>
    <r>
      <t xml:space="preserve">Experiment Status:  </t>
    </r>
    <r>
      <rPr>
        <sz val="10"/>
        <rFont val="Arial"/>
        <family val="2"/>
      </rPr>
      <t>Complete</t>
    </r>
  </si>
  <si>
    <t>Notes:</t>
  </si>
  <si>
    <t>r-squared</t>
  </si>
  <si>
    <t>0h no slices</t>
  </si>
  <si>
    <t>AC</t>
  </si>
  <si>
    <t xml:space="preserve">48h DPK </t>
  </si>
  <si>
    <t xml:space="preserve">DPK, nM  </t>
  </si>
  <si>
    <t>n=6</t>
  </si>
  <si>
    <t>n=3</t>
  </si>
  <si>
    <t>DPK stds</t>
  </si>
  <si>
    <t>0 intrcpt n=6</t>
  </si>
  <si>
    <t>Std1- 500 nM</t>
  </si>
  <si>
    <t>Std2- 1000 nM</t>
  </si>
  <si>
    <t>Std3- 5000 nM</t>
  </si>
  <si>
    <t>% rec</t>
  </si>
  <si>
    <t>nom conc</t>
  </si>
  <si>
    <t>nM</t>
  </si>
  <si>
    <t>Comparison of n=6 vs n=3 value and 0-intercept (n=6)as standard curves</t>
  </si>
  <si>
    <r>
      <t xml:space="preserve">Objective: </t>
    </r>
    <r>
      <rPr>
        <sz val="10"/>
        <rFont val="Arial"/>
        <family val="2"/>
      </rPr>
      <t xml:space="preserve"> To determine if liver slices would metabolize DPK to pOHDPK, and benzhydrol (BADPK) at 11°C.  To perform total mass balance determination.  </t>
    </r>
  </si>
  <si>
    <r>
      <t xml:space="preserve">DPK Concentrations: </t>
    </r>
    <r>
      <rPr>
        <sz val="10"/>
        <rFont val="Arial"/>
        <family val="2"/>
      </rPr>
      <t xml:space="preserve"> -3.7LogM (200uM), -4LogM (100uM)</t>
    </r>
  </si>
  <si>
    <t>Sample</t>
  </si>
  <si>
    <t>MO</t>
  </si>
  <si>
    <t>M+S</t>
  </si>
  <si>
    <t>S</t>
  </si>
  <si>
    <t>Total</t>
  </si>
  <si>
    <t>Time (hours)</t>
  </si>
  <si>
    <t xml:space="preserve">Concentration </t>
  </si>
  <si>
    <t>-4Log M</t>
  </si>
  <si>
    <t>Color Codes:</t>
  </si>
  <si>
    <t>Yellow corresponds to BADPK; gold is BADPK averages</t>
  </si>
  <si>
    <t xml:space="preserve">All amounts are in nmoles. </t>
  </si>
  <si>
    <t>-4LogM</t>
  </si>
  <si>
    <t xml:space="preserve"> Mass Balance </t>
  </si>
  <si>
    <t>Blue corresponds to DPK; dark blue is DPK  averages</t>
  </si>
  <si>
    <t>Retention Times (min)</t>
  </si>
  <si>
    <t>DPK_SLO.met: RT for DPK = 25.79 and RT for BADPK =25.99</t>
  </si>
  <si>
    <t>SUMMARY METABOLISM MASS BALANCE</t>
  </si>
  <si>
    <t>COMPARISON OF 7 CALIBRATION POINTS TO 3 CALIBRATION POINTS</t>
  </si>
  <si>
    <t xml:space="preserve"> Experiment did not yield any significant amounts of pOHDPK based upon the use of a standard.</t>
  </si>
  <si>
    <t>Note: Benzhydrol=OHDPK=BADPK</t>
  </si>
  <si>
    <t xml:space="preserve"> </t>
  </si>
  <si>
    <t>nmole STDev</t>
  </si>
  <si>
    <t>%CV</t>
  </si>
  <si>
    <t>DPK samples were not diluted prior to GC-MS analyses ( Dilution Factor=1 for all measuments)</t>
  </si>
  <si>
    <t>R1, R2, Avg nmole</t>
  </si>
  <si>
    <t>Summary of Total Mass Balance in nmoles (48h)</t>
  </si>
  <si>
    <t>Summary of Total Mass Balance in nmoles (24h)</t>
  </si>
  <si>
    <t>amount in well nmoles</t>
  </si>
  <si>
    <t xml:space="preserve">Acceptance of Data Criteria: </t>
  </si>
  <si>
    <t xml:space="preserve">All DPK  Concentration values &gt;0.3uM are accepted </t>
  </si>
  <si>
    <t xml:space="preserve">All  OHDPK=BADPK  Concentration values &gt;0.3uM are accepted </t>
  </si>
  <si>
    <t xml:space="preserve">Note:  Due to the fact that Preliminary Studies showed that DPK in slices does not metabolize to OHDPK or any other metabolite to any  significant extent, the Experimental approach was </t>
  </si>
  <si>
    <t xml:space="preserve"> simplified to cover  analyses only at t=0, 24 and 48h for media samples and at 4,8,24 and 48 hours for slices, so the minimum amount of intraslice DPK needed to induce a biological response </t>
  </si>
  <si>
    <t>Theoretical amounts DPK in 1.7mL media for -4 LogM ( 100uM= 170nmoles) and for -3.7LogM ( 200uM =340 nmoles)</t>
  </si>
  <si>
    <t xml:space="preserve">100 or 200uM </t>
  </si>
  <si>
    <t xml:space="preserve"> DPK w/ slice metabolism (M+S)</t>
  </si>
  <si>
    <t xml:space="preserve"> DPK wo/ slice (MO)</t>
  </si>
  <si>
    <t xml:space="preserve">pOHDPK media </t>
  </si>
  <si>
    <t xml:space="preserve"> DPK Percentage mass balance</t>
  </si>
  <si>
    <t xml:space="preserve"> nmoles M+S/ nmoles MO *100 </t>
  </si>
  <si>
    <t xml:space="preserve"> 175 + 13 +1 =189</t>
  </si>
  <si>
    <t>358 + 1 + 24 + 1= 384</t>
  </si>
  <si>
    <t>178 = 175 + 13 + 1</t>
  </si>
  <si>
    <t>174 +6 +12 +1= 193</t>
  </si>
  <si>
    <t>Note: OHDPK does not conjugate to any measurable amount</t>
  </si>
  <si>
    <t>MO = MS + S +  media BADPK(OHDPK) + slice  BADPK</t>
  </si>
  <si>
    <t>MO = MS + S +  media BADPK(OHDPK) + slice BADPK</t>
  </si>
  <si>
    <t>174= 174 + 6 + 12 + 1</t>
  </si>
  <si>
    <t>174 = 193 (110%)</t>
  </si>
  <si>
    <t xml:space="preserve"> 357 +10 + 16 + 1 = 384</t>
  </si>
  <si>
    <r>
      <t xml:space="preserve"> </t>
    </r>
    <r>
      <rPr>
        <b/>
        <sz val="10"/>
        <rFont val="Arial"/>
        <family val="2"/>
      </rPr>
      <t xml:space="preserve">unconjugated </t>
    </r>
    <r>
      <rPr>
        <sz val="10"/>
        <rFont val="Arial"/>
        <family val="2"/>
      </rPr>
      <t>BADPK media</t>
    </r>
  </si>
  <si>
    <r>
      <t xml:space="preserve"> </t>
    </r>
    <r>
      <rPr>
        <b/>
        <sz val="10"/>
        <rFont val="Arial"/>
        <family val="2"/>
      </rPr>
      <t xml:space="preserve">unconjugated </t>
    </r>
    <r>
      <rPr>
        <sz val="10"/>
        <rFont val="Arial"/>
        <family val="2"/>
      </rPr>
      <t>BADPK slice</t>
    </r>
  </si>
  <si>
    <t xml:space="preserve">Conclusion: DPK only produces OHDPK as a metabolite and does not metabolize to a high yield (&lt;8%); Mass balance accounts for all DPK added to the system in the spike </t>
  </si>
  <si>
    <t xml:space="preserve"> Index: </t>
  </si>
  <si>
    <t xml:space="preserve">Sheet 2:  Calibration Curves </t>
  </si>
  <si>
    <t>Sheet 3: Raw Data Processing</t>
  </si>
  <si>
    <t xml:space="preserve">Sheet 1 : General Information and  Chemical Structures </t>
  </si>
  <si>
    <r>
      <t>Exposure Times:</t>
    </r>
    <r>
      <rPr>
        <sz val="10"/>
        <rFont val="Arial"/>
        <family val="2"/>
      </rPr>
      <t xml:space="preserve">  0, 24 &amp; 48 hours</t>
    </r>
  </si>
  <si>
    <t>Sheet 4: Summary of Metabolism Mass Balance</t>
  </si>
  <si>
    <t xml:space="preserve">Sheet 5:  Comparison of Calibration Curves with 7 points vs 3 points  (Supplemental 1) </t>
  </si>
  <si>
    <t>Note 1:</t>
  </si>
  <si>
    <t>Note 2:  Additional DPK data with enzymatic hydrolysis of media exposed to slices, showed that  OHDPK does not conjugate to any measurable amount.</t>
  </si>
  <si>
    <t xml:space="preserve">Note:  Due to instrument unpredictability at the time, Samples at 24h were initially stored and analyzed at end of experiment  with same cal curves used for 0 and 48h </t>
  </si>
  <si>
    <t xml:space="preserve"> 0 hours:  100706A &amp; B.Seq  24 hours 100713 A &amp; B.Seq  48 hours:  100712A, B &amp; C.Seq</t>
  </si>
  <si>
    <t xml:space="preserve"> could be estimated. </t>
  </si>
  <si>
    <t xml:space="preserve"> Mass balance was only calculated at 24 and 48h with total recovery of DPK parent chemical</t>
  </si>
  <si>
    <t>349 = 357 + 10 + 16 + 1</t>
  </si>
  <si>
    <t>349 = 384 (110%)</t>
  </si>
  <si>
    <t>178 = 189 (106%)</t>
  </si>
  <si>
    <t>353 = 358 + 1 + 24 + 1</t>
  </si>
  <si>
    <t>353 = 384 (109%)</t>
  </si>
  <si>
    <t>CHEMICAL STRUCTURES AND MEDIA/SLICE RECOVERY FOR DPK</t>
  </si>
  <si>
    <t>Acceptance criteria comp</t>
  </si>
  <si>
    <t>LOD uM</t>
  </si>
  <si>
    <t>LOR uM</t>
  </si>
  <si>
    <t>LLOQ uM</t>
  </si>
  <si>
    <t>cpk</t>
  </si>
  <si>
    <t xml:space="preserve">dpk </t>
  </si>
  <si>
    <t>cbp</t>
  </si>
  <si>
    <t xml:space="preserve"> at S/N&gt;8</t>
  </si>
  <si>
    <t xml:space="preserve"> at S/N&gt;14</t>
  </si>
  <si>
    <t xml:space="preserve">2. Limit of Detection (peaks with good shape and RM S/N&gt;8)=0.3uM; All non adjusted data is accepted if&gt;0.3uM </t>
  </si>
  <si>
    <t xml:space="preserve">3. Lowest  Limit of Quantification (LOQ at S/N&gt;14)= 1.2uM </t>
  </si>
  <si>
    <t>1. Limit of Reporting (acceptance within 40% of lowest calibration curve used)= 0.5uM (0.9uM*0.6); All non adjusted data is accepted if&gt;0.5uM</t>
  </si>
  <si>
    <t>Criteria used</t>
  </si>
  <si>
    <t xml:space="preserve"> GC/MS located in Lab 229</t>
  </si>
  <si>
    <t>GC/MS located in Lab 229</t>
  </si>
  <si>
    <t xml:space="preserve">  GC/MS located in Lab 229</t>
  </si>
  <si>
    <t>Experimental Sample Legend:</t>
  </si>
  <si>
    <t>MO=MC (Media Only) = Media + DPK spike</t>
  </si>
  <si>
    <t>BADPK = benzhydrol=OHDPK</t>
  </si>
  <si>
    <t>MS (Media + Slice) = MCS= Media + DPK spike + slice</t>
  </si>
  <si>
    <r>
      <rPr>
        <b/>
        <sz val="11"/>
        <rFont val="Arial"/>
        <family val="2"/>
      </rPr>
      <t xml:space="preserve">Blk </t>
    </r>
    <r>
      <rPr>
        <sz val="10"/>
        <rFont val="Arial"/>
        <family val="2"/>
      </rPr>
      <t>= Blank = control; well containing media,  rt liver slice and EtOH (less than 0.01%), no DPK</t>
    </r>
  </si>
  <si>
    <r>
      <t>Sp=MO=</t>
    </r>
    <r>
      <rPr>
        <b/>
        <sz val="11"/>
        <rFont val="Arial"/>
        <family val="2"/>
      </rPr>
      <t>MC</t>
    </r>
    <r>
      <rPr>
        <sz val="10"/>
        <rFont val="Arial"/>
        <family val="2"/>
      </rPr>
      <t xml:space="preserve"> well containing media spiked with DPK ( 100 &amp; 200uM) </t>
    </r>
  </si>
  <si>
    <r>
      <t>Sp+S=MS=</t>
    </r>
    <r>
      <rPr>
        <b/>
        <sz val="11"/>
        <rFont val="Arial"/>
        <family val="2"/>
      </rPr>
      <t>MCS</t>
    </r>
    <r>
      <rPr>
        <sz val="10"/>
        <rFont val="Arial"/>
        <family val="2"/>
      </rPr>
      <t xml:space="preserve"> = well containing media spiked with DPK ( 100 &amp; 200uM) and rt liver slice</t>
    </r>
  </si>
  <si>
    <r>
      <rPr>
        <b/>
        <sz val="11"/>
        <rFont val="Arial"/>
        <family val="2"/>
      </rPr>
      <t>S</t>
    </r>
    <r>
      <rPr>
        <sz val="10"/>
        <rFont val="Arial"/>
        <family val="2"/>
      </rPr>
      <t xml:space="preserve"> = Slice = blotted, sonicated slice from well spiked with DPK ( 100 &amp; 200uM)</t>
    </r>
  </si>
  <si>
    <r>
      <rPr>
        <b/>
        <sz val="11"/>
        <rFont val="Arial"/>
        <family val="2"/>
      </rPr>
      <t>BlkS</t>
    </r>
    <r>
      <rPr>
        <sz val="10"/>
        <rFont val="Arial"/>
        <family val="2"/>
      </rPr>
      <t xml:space="preserve"> = Blank Slice = blotted, sonicated slice from blank well not containing DPK</t>
    </r>
  </si>
  <si>
    <t>Analytical Mass Balance of DPK metabolism in liver slices,  Overend, Serrano, Sheedy, Voelker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</si>
</sst>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"/>
    <numFmt numFmtId="167" formatCode="0;;;"/>
    <numFmt numFmtId="168" formatCode=";;;"/>
    <numFmt numFmtId="169" formatCode="0.00000000"/>
    <numFmt numFmtId="170" formatCode="0.0000000"/>
    <numFmt numFmtId="171" formatCode="0.000000"/>
    <numFmt numFmtId="172" formatCode="0.0000"/>
    <numFmt numFmtId="173" formatCode="0.000"/>
    <numFmt numFmtId="174" formatCode="#,##0.000"/>
    <numFmt numFmtId="175" formatCode="#,##0.0000"/>
    <numFmt numFmtId="176" formatCode="#,##0.00000"/>
    <numFmt numFmtId="177" formatCode="#,##0.000000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vertAlign val="superscript"/>
      <sz val="8"/>
      <color indexed="8"/>
      <name val="Arial"/>
      <family val="0"/>
    </font>
    <font>
      <sz val="5.25"/>
      <color indexed="8"/>
      <name val="Arial"/>
      <family val="0"/>
    </font>
    <font>
      <sz val="4.4"/>
      <color indexed="8"/>
      <name val="Arial"/>
      <family val="0"/>
    </font>
    <font>
      <vertAlign val="superscript"/>
      <sz val="5.25"/>
      <color indexed="8"/>
      <name val="Arial"/>
      <family val="0"/>
    </font>
    <font>
      <sz val="5.5"/>
      <color indexed="8"/>
      <name val="Arial"/>
      <family val="0"/>
    </font>
    <font>
      <sz val="4.6"/>
      <color indexed="8"/>
      <name val="Arial"/>
      <family val="0"/>
    </font>
    <font>
      <vertAlign val="superscript"/>
      <sz val="5.5"/>
      <color indexed="8"/>
      <name val="Arial"/>
      <family val="0"/>
    </font>
    <font>
      <sz val="4.75"/>
      <color indexed="8"/>
      <name val="Arial"/>
      <family val="0"/>
    </font>
    <font>
      <sz val="4"/>
      <color indexed="8"/>
      <name val="Arial"/>
      <family val="0"/>
    </font>
    <font>
      <vertAlign val="superscript"/>
      <sz val="4.75"/>
      <color indexed="8"/>
      <name val="Arial"/>
      <family val="0"/>
    </font>
    <font>
      <sz val="1.5"/>
      <color indexed="8"/>
      <name val="Arial"/>
      <family val="0"/>
    </font>
    <font>
      <sz val="1.2"/>
      <color indexed="8"/>
      <name val="Arial"/>
      <family val="0"/>
    </font>
    <font>
      <vertAlign val="superscript"/>
      <sz val="1.5"/>
      <color indexed="8"/>
      <name val="Arial"/>
      <family val="0"/>
    </font>
    <font>
      <sz val="5.75"/>
      <color indexed="8"/>
      <name val="Arial"/>
      <family val="0"/>
    </font>
    <font>
      <sz val="4.8"/>
      <color indexed="8"/>
      <name val="Arial"/>
      <family val="0"/>
    </font>
    <font>
      <vertAlign val="superscript"/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b/>
      <sz val="5.25"/>
      <color indexed="8"/>
      <name val="Arial"/>
      <family val="0"/>
    </font>
    <font>
      <b/>
      <sz val="5.5"/>
      <color indexed="8"/>
      <name val="Arial"/>
      <family val="0"/>
    </font>
    <font>
      <b/>
      <sz val="4.75"/>
      <color indexed="8"/>
      <name val="Arial"/>
      <family val="0"/>
    </font>
    <font>
      <b/>
      <sz val="1.5"/>
      <color indexed="8"/>
      <name val="Arial"/>
      <family val="0"/>
    </font>
    <font>
      <b/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5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16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/>
    </xf>
    <xf numFmtId="3" fontId="0" fillId="33" borderId="12" xfId="0" applyNumberFormat="1" applyFill="1" applyBorder="1" applyAlignment="1">
      <alignment horizontal="right"/>
    </xf>
    <xf numFmtId="0" fontId="0" fillId="34" borderId="14" xfId="0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33" borderId="17" xfId="0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35" borderId="12" xfId="0" applyFill="1" applyBorder="1" applyAlignment="1">
      <alignment/>
    </xf>
    <xf numFmtId="1" fontId="0" fillId="35" borderId="15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0" fillId="35" borderId="17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6" borderId="16" xfId="0" applyNumberFormat="1" applyFill="1" applyBorder="1" applyAlignment="1">
      <alignment/>
    </xf>
    <xf numFmtId="0" fontId="0" fillId="0" borderId="0" xfId="0" applyAlignment="1">
      <alignment horizontal="right"/>
    </xf>
    <xf numFmtId="0" fontId="1" fillId="35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0" fillId="34" borderId="14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3" xfId="0" applyNumberFormat="1" applyFill="1" applyBorder="1" applyAlignment="1" applyProtection="1">
      <alignment/>
      <protection locked="0"/>
    </xf>
    <xf numFmtId="4" fontId="0" fillId="34" borderId="13" xfId="0" applyNumberForma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4" fontId="0" fillId="34" borderId="13" xfId="0" applyNumberFormat="1" applyFill="1" applyBorder="1" applyAlignment="1" applyProtection="1">
      <alignment/>
      <protection locked="0"/>
    </xf>
    <xf numFmtId="0" fontId="1" fillId="36" borderId="18" xfId="0" applyFont="1" applyFill="1" applyBorder="1" applyAlignment="1">
      <alignment horizontal="center"/>
    </xf>
    <xf numFmtId="4" fontId="0" fillId="36" borderId="13" xfId="0" applyNumberFormat="1" applyFill="1" applyBorder="1" applyAlignment="1">
      <alignment/>
    </xf>
    <xf numFmtId="0" fontId="1" fillId="36" borderId="19" xfId="0" applyFont="1" applyFill="1" applyBorder="1" applyAlignment="1">
      <alignment horizontal="center"/>
    </xf>
    <xf numFmtId="164" fontId="0" fillId="36" borderId="13" xfId="0" applyNumberFormat="1" applyFill="1" applyBorder="1" applyAlignment="1">
      <alignment/>
    </xf>
    <xf numFmtId="4" fontId="0" fillId="36" borderId="13" xfId="0" applyNumberFormat="1" applyFill="1" applyBorder="1" applyAlignment="1" applyProtection="1">
      <alignment/>
      <protection locked="0"/>
    </xf>
    <xf numFmtId="164" fontId="0" fillId="36" borderId="13" xfId="0" applyNumberFormat="1" applyFill="1" applyBorder="1" applyAlignment="1" applyProtection="1">
      <alignment/>
      <protection locked="0"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34" borderId="13" xfId="0" applyNumberFormat="1" applyFill="1" applyBorder="1" applyAlignment="1" applyProtection="1" quotePrefix="1">
      <alignment horizontal="right"/>
      <protection locked="0"/>
    </xf>
    <xf numFmtId="0" fontId="1" fillId="34" borderId="2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1" fillId="35" borderId="17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0" fillId="33" borderId="12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5" borderId="25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34" borderId="13" xfId="0" applyNumberFormat="1" applyFill="1" applyBorder="1" applyAlignment="1" applyProtection="1">
      <alignment/>
      <protection locked="0"/>
    </xf>
    <xf numFmtId="0" fontId="1" fillId="34" borderId="2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1" fontId="0" fillId="34" borderId="25" xfId="0" applyNumberFormat="1" applyFill="1" applyBorder="1" applyAlignment="1">
      <alignment/>
    </xf>
    <xf numFmtId="2" fontId="0" fillId="36" borderId="25" xfId="0" applyNumberFormat="1" applyFill="1" applyBorder="1" applyAlignment="1">
      <alignment/>
    </xf>
    <xf numFmtId="2" fontId="0" fillId="34" borderId="25" xfId="0" applyNumberFormat="1" applyFill="1" applyBorder="1" applyAlignment="1">
      <alignment/>
    </xf>
    <xf numFmtId="1" fontId="0" fillId="34" borderId="25" xfId="0" applyNumberFormat="1" applyFill="1" applyBorder="1" applyAlignment="1" applyProtection="1">
      <alignment/>
      <protection locked="0"/>
    </xf>
    <xf numFmtId="1" fontId="0" fillId="34" borderId="25" xfId="0" applyNumberFormat="1" applyFont="1" applyFill="1" applyBorder="1" applyAlignment="1" applyProtection="1">
      <alignment/>
      <protection locked="0"/>
    </xf>
    <xf numFmtId="3" fontId="0" fillId="34" borderId="13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34" borderId="13" xfId="0" applyNumberFormat="1" applyFill="1" applyBorder="1" applyAlignment="1">
      <alignment horizontal="right"/>
    </xf>
    <xf numFmtId="1" fontId="0" fillId="34" borderId="13" xfId="0" applyNumberFormat="1" applyFill="1" applyBorder="1" applyAlignment="1">
      <alignment horizontal="right"/>
    </xf>
    <xf numFmtId="0" fontId="1" fillId="39" borderId="0" xfId="0" applyFont="1" applyFill="1" applyAlignment="1">
      <alignment/>
    </xf>
    <xf numFmtId="0" fontId="0" fillId="39" borderId="0" xfId="0" applyFill="1" applyAlignment="1" quotePrefix="1">
      <alignment/>
    </xf>
    <xf numFmtId="0" fontId="1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37" borderId="13" xfId="0" applyNumberFormat="1" applyFill="1" applyBorder="1" applyAlignment="1">
      <alignment/>
    </xf>
    <xf numFmtId="164" fontId="0" fillId="4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172" fontId="0" fillId="0" borderId="0" xfId="0" applyNumberFormat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6" borderId="14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6" borderId="11" xfId="0" applyNumberFormat="1" applyFill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41" borderId="0" xfId="0" applyFont="1" applyFill="1" applyAlignment="1">
      <alignment/>
    </xf>
    <xf numFmtId="0" fontId="46" fillId="41" borderId="0" xfId="0" applyFont="1" applyFill="1" applyAlignment="1">
      <alignment/>
    </xf>
    <xf numFmtId="0" fontId="9" fillId="39" borderId="0" xfId="0" applyFont="1" applyFill="1" applyAlignment="1">
      <alignment horizontal="right"/>
    </xf>
    <xf numFmtId="0" fontId="9" fillId="39" borderId="0" xfId="0" applyFont="1" applyFill="1" applyAlignment="1">
      <alignment/>
    </xf>
    <xf numFmtId="0" fontId="0" fillId="41" borderId="0" xfId="0" applyFill="1" applyAlignment="1">
      <alignment/>
    </xf>
    <xf numFmtId="0" fontId="0" fillId="0" borderId="0" xfId="0" applyFont="1" applyAlignment="1">
      <alignment/>
    </xf>
    <xf numFmtId="0" fontId="7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41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34" borderId="13" xfId="0" applyNumberFormat="1" applyFill="1" applyBorder="1" applyAlignment="1" applyProtection="1">
      <alignment/>
      <protection locked="0"/>
    </xf>
    <xf numFmtId="166" fontId="0" fillId="36" borderId="13" xfId="0" applyNumberFormat="1" applyFill="1" applyBorder="1" applyAlignment="1" applyProtection="1">
      <alignment/>
      <protection locked="0"/>
    </xf>
    <xf numFmtId="166" fontId="0" fillId="36" borderId="13" xfId="0" applyNumberFormat="1" applyFont="1" applyFill="1" applyBorder="1" applyAlignment="1" applyProtection="1">
      <alignment/>
      <protection locked="0"/>
    </xf>
    <xf numFmtId="164" fontId="0" fillId="36" borderId="24" xfId="0" applyNumberFormat="1" applyFont="1" applyFill="1" applyBorder="1" applyAlignment="1">
      <alignment/>
    </xf>
    <xf numFmtId="166" fontId="0" fillId="33" borderId="13" xfId="0" applyNumberFormat="1" applyFont="1" applyFill="1" applyBorder="1" applyAlignment="1">
      <alignment/>
    </xf>
    <xf numFmtId="166" fontId="0" fillId="35" borderId="1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/>
    </xf>
    <xf numFmtId="0" fontId="7" fillId="0" borderId="26" xfId="0" applyFont="1" applyBorder="1" applyAlignment="1">
      <alignment/>
    </xf>
    <xf numFmtId="1" fontId="0" fillId="33" borderId="13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/>
    </xf>
    <xf numFmtId="166" fontId="0" fillId="33" borderId="13" xfId="0" applyNumberFormat="1" applyFill="1" applyBorder="1" applyAlignment="1">
      <alignment horizontal="right"/>
    </xf>
    <xf numFmtId="173" fontId="0" fillId="35" borderId="13" xfId="0" applyNumberFormat="1" applyFont="1" applyFill="1" applyBorder="1" applyAlignment="1">
      <alignment/>
    </xf>
    <xf numFmtId="164" fontId="0" fillId="35" borderId="13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4" fontId="0" fillId="42" borderId="13" xfId="0" applyNumberFormat="1" applyFill="1" applyBorder="1" applyAlignment="1">
      <alignment/>
    </xf>
    <xf numFmtId="4" fontId="0" fillId="42" borderId="13" xfId="0" applyNumberFormat="1" applyFill="1" applyBorder="1" applyAlignment="1" applyProtection="1" quotePrefix="1">
      <alignment horizontal="right"/>
      <protection locked="0"/>
    </xf>
    <xf numFmtId="4" fontId="0" fillId="42" borderId="13" xfId="0" applyNumberFormat="1" applyFill="1" applyBorder="1" applyAlignment="1" applyProtection="1">
      <alignment/>
      <protection locked="0"/>
    </xf>
    <xf numFmtId="164" fontId="0" fillId="42" borderId="13" xfId="0" applyNumberFormat="1" applyFill="1" applyBorder="1" applyAlignment="1" applyProtection="1">
      <alignment/>
      <protection locked="0"/>
    </xf>
    <xf numFmtId="0" fontId="0" fillId="42" borderId="0" xfId="0" applyFill="1" applyAlignment="1">
      <alignment/>
    </xf>
    <xf numFmtId="0" fontId="7" fillId="42" borderId="0" xfId="0" applyFont="1" applyFill="1" applyAlignment="1">
      <alignment/>
    </xf>
    <xf numFmtId="0" fontId="9" fillId="42" borderId="0" xfId="0" applyFont="1" applyFill="1" applyAlignment="1">
      <alignment/>
    </xf>
    <xf numFmtId="165" fontId="9" fillId="42" borderId="0" xfId="0" applyNumberFormat="1" applyFont="1" applyFill="1" applyBorder="1" applyAlignment="1">
      <alignment/>
    </xf>
    <xf numFmtId="164" fontId="9" fillId="42" borderId="0" xfId="0" applyNumberFormat="1" applyFont="1" applyFill="1" applyBorder="1" applyAlignment="1">
      <alignment/>
    </xf>
    <xf numFmtId="2" fontId="0" fillId="42" borderId="13" xfId="0" applyNumberFormat="1" applyFont="1" applyFill="1" applyBorder="1" applyAlignment="1">
      <alignment/>
    </xf>
    <xf numFmtId="164" fontId="0" fillId="42" borderId="13" xfId="0" applyNumberFormat="1" applyFont="1" applyFill="1" applyBorder="1" applyAlignment="1">
      <alignment/>
    </xf>
    <xf numFmtId="4" fontId="0" fillId="42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6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1" fontId="0" fillId="35" borderId="20" xfId="0" applyNumberFormat="1" applyFont="1" applyFill="1" applyBorder="1" applyAlignment="1">
      <alignment/>
    </xf>
    <xf numFmtId="164" fontId="0" fillId="35" borderId="2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8" borderId="14" xfId="0" applyFill="1" applyBorder="1" applyAlignment="1">
      <alignment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164" fontId="7" fillId="0" borderId="26" xfId="0" applyNumberFormat="1" applyFont="1" applyBorder="1" applyAlignment="1">
      <alignment/>
    </xf>
    <xf numFmtId="173" fontId="0" fillId="0" borderId="29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41" borderId="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64" fontId="0" fillId="34" borderId="10" xfId="0" applyNumberFormat="1" applyFill="1" applyBorder="1" applyAlignment="1" applyProtection="1">
      <alignment/>
      <protection locked="0"/>
    </xf>
    <xf numFmtId="164" fontId="0" fillId="36" borderId="10" xfId="0" applyNumberFormat="1" applyFill="1" applyBorder="1" applyAlignment="1" applyProtection="1">
      <alignment/>
      <protection locked="0"/>
    </xf>
    <xf numFmtId="0" fontId="0" fillId="36" borderId="22" xfId="0" applyFon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172" fontId="0" fillId="34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" fontId="10" fillId="42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0" fillId="43" borderId="13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/>
    </xf>
    <xf numFmtId="4" fontId="0" fillId="43" borderId="13" xfId="0" applyNumberFormat="1" applyFill="1" applyBorder="1" applyAlignment="1">
      <alignment/>
    </xf>
    <xf numFmtId="164" fontId="0" fillId="43" borderId="13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3" fontId="0" fillId="33" borderId="32" xfId="0" applyNumberFormat="1" applyFill="1" applyBorder="1" applyAlignment="1">
      <alignment horizontal="right"/>
    </xf>
    <xf numFmtId="0" fontId="0" fillId="33" borderId="32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172" fontId="0" fillId="33" borderId="32" xfId="0" applyNumberFormat="1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 horizontal="center"/>
    </xf>
    <xf numFmtId="2" fontId="0" fillId="42" borderId="0" xfId="0" applyNumberFormat="1" applyFill="1" applyBorder="1" applyAlignment="1">
      <alignment/>
    </xf>
    <xf numFmtId="0" fontId="1" fillId="0" borderId="29" xfId="0" applyFont="1" applyFill="1" applyBorder="1" applyAlignment="1">
      <alignment/>
    </xf>
    <xf numFmtId="4" fontId="0" fillId="43" borderId="0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/>
    </xf>
    <xf numFmtId="0" fontId="0" fillId="0" borderId="37" xfId="0" applyBorder="1" applyAlignment="1">
      <alignment/>
    </xf>
    <xf numFmtId="165" fontId="7" fillId="42" borderId="0" xfId="0" applyNumberFormat="1" applyFont="1" applyFill="1" applyBorder="1" applyAlignment="1">
      <alignment/>
    </xf>
    <xf numFmtId="164" fontId="7" fillId="42" borderId="0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2" fillId="0" borderId="0" xfId="0" applyFont="1" applyFill="1" applyAlignment="1">
      <alignment/>
    </xf>
    <xf numFmtId="1" fontId="72" fillId="0" borderId="0" xfId="0" applyNumberFormat="1" applyFont="1" applyFill="1" applyAlignment="1">
      <alignment/>
    </xf>
    <xf numFmtId="164" fontId="7" fillId="36" borderId="24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 quotePrefix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7" fillId="41" borderId="0" xfId="0" applyFont="1" applyFill="1" applyBorder="1" applyAlignment="1">
      <alignment horizontal="center"/>
    </xf>
    <xf numFmtId="0" fontId="7" fillId="41" borderId="0" xfId="0" applyFont="1" applyFill="1" applyBorder="1" applyAlignment="1" quotePrefix="1">
      <alignment horizontal="center"/>
    </xf>
    <xf numFmtId="0" fontId="7" fillId="41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164" fontId="9" fillId="43" borderId="13" xfId="0" applyNumberFormat="1" applyFont="1" applyFill="1" applyBorder="1" applyAlignment="1">
      <alignment/>
    </xf>
    <xf numFmtId="0" fontId="9" fillId="43" borderId="13" xfId="0" applyFont="1" applyFill="1" applyBorder="1" applyAlignment="1">
      <alignment/>
    </xf>
    <xf numFmtId="0" fontId="73" fillId="41" borderId="40" xfId="0" applyFont="1" applyFill="1" applyBorder="1" applyAlignment="1">
      <alignment horizontal="center"/>
    </xf>
    <xf numFmtId="0" fontId="73" fillId="41" borderId="41" xfId="0" applyFont="1" applyFill="1" applyBorder="1" applyAlignment="1">
      <alignment horizontal="center"/>
    </xf>
    <xf numFmtId="0" fontId="73" fillId="41" borderId="42" xfId="0" applyFont="1" applyFill="1" applyBorder="1" applyAlignment="1">
      <alignment horizontal="center"/>
    </xf>
    <xf numFmtId="0" fontId="73" fillId="41" borderId="29" xfId="0" applyFont="1" applyFill="1" applyBorder="1" applyAlignment="1">
      <alignment horizontal="center"/>
    </xf>
    <xf numFmtId="0" fontId="73" fillId="41" borderId="0" xfId="0" applyFont="1" applyFill="1" applyBorder="1" applyAlignment="1">
      <alignment horizontal="center"/>
    </xf>
    <xf numFmtId="0" fontId="73" fillId="41" borderId="26" xfId="0" applyFont="1" applyFill="1" applyBorder="1" applyAlignment="1">
      <alignment horizontal="center"/>
    </xf>
    <xf numFmtId="0" fontId="73" fillId="41" borderId="35" xfId="0" applyFont="1" applyFill="1" applyBorder="1" applyAlignment="1">
      <alignment horizontal="center"/>
    </xf>
    <xf numFmtId="0" fontId="73" fillId="41" borderId="36" xfId="0" applyFont="1" applyFill="1" applyBorder="1" applyAlignment="1">
      <alignment horizontal="center"/>
    </xf>
    <xf numFmtId="0" fontId="73" fillId="41" borderId="3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7" fillId="0" borderId="0" xfId="57" applyFont="1" applyAlignment="1">
      <alignment horizontal="left"/>
      <protection/>
    </xf>
    <xf numFmtId="0" fontId="8" fillId="0" borderId="0" xfId="58" applyFont="1">
      <alignment/>
      <protection/>
    </xf>
    <xf numFmtId="0" fontId="0" fillId="0" borderId="0" xfId="58">
      <alignment/>
      <protection/>
    </xf>
    <xf numFmtId="0" fontId="0" fillId="0" borderId="0" xfId="57" applyAlignment="1">
      <alignment horizontal="left"/>
      <protection/>
    </xf>
    <xf numFmtId="0" fontId="0" fillId="0" borderId="0" xfId="57">
      <alignment/>
      <protection/>
    </xf>
    <xf numFmtId="0" fontId="0" fillId="0" borderId="0" xfId="57" applyFont="1" applyAlignment="1">
      <alignment horizontal="left"/>
      <protection/>
    </xf>
    <xf numFmtId="164" fontId="0" fillId="0" borderId="0" xfId="57" applyNumberFormat="1" applyBorder="1">
      <alignment/>
      <protection/>
    </xf>
    <xf numFmtId="0" fontId="0" fillId="0" borderId="0" xfId="57" applyFill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modified 101013  CBP preliminary Analytical 1-16-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hour DPK Standard Curve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8"/>
          <c:w val="0.62875"/>
          <c:h val="0.7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2. Calibration Curves'!$E$23:$E$25</c:f>
              <c:strCache>
                <c:ptCount val="1"/>
                <c:pt idx="0">
                  <c:v>DPK 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(' 2. Calibration Curves'!$B$27:$B$30,' 2. Calibration Curves'!$B$33:$B$35)</c:f>
              <c:numCache/>
            </c:numRef>
          </c:xVal>
          <c:yVal>
            <c:numRef>
              <c:f>(' 2. Calibration Curves'!$E$27:$E$30,' 2. Calibration Curves'!$E$33:$E$35)</c:f>
              <c:numCache/>
            </c:numRef>
          </c:yVal>
          <c:smooth val="0"/>
        </c:ser>
        <c:axId val="14733503"/>
        <c:axId val="65492664"/>
      </c:scatterChart>
      <c:valAx>
        <c:axId val="147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92664"/>
        <c:crosses val="autoZero"/>
        <c:crossBetween val="midCat"/>
        <c:dispUnits/>
      </c:valAx>
      <c:valAx>
        <c:axId val="6549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25"/>
          <c:y val="0.4135"/>
          <c:w val="0.2822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 hours DPK Standard Curve
n=6
 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525"/>
          <c:w val="0.606"/>
          <c:h val="0.7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'[1]SUPPLEMENTAL-3 std curves'!$E$34:$E$36</c:f>
              <c:strCache>
                <c:ptCount val="1"/>
                <c:pt idx="0">
                  <c:v>DPK 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'[1]SUPPLEMENTAL-3 std curves'!$B$38:$B$44</c:f>
              <c:numCache>
                <c:ptCount val="7"/>
                <c:pt idx="0">
                  <c:v>0.5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'[1]SUPPLEMENTAL-3 std curves'!$E$38:$E$44</c:f>
              <c:numCache>
                <c:ptCount val="7"/>
                <c:pt idx="0">
                  <c:v>697.1</c:v>
                </c:pt>
                <c:pt idx="1">
                  <c:v>1241.5</c:v>
                </c:pt>
                <c:pt idx="2">
                  <c:v>6125.5</c:v>
                </c:pt>
                <c:pt idx="3">
                  <c:v>13513</c:v>
                </c:pt>
                <c:pt idx="4">
                  <c:v>62148</c:v>
                </c:pt>
                <c:pt idx="5">
                  <c:v>111337</c:v>
                </c:pt>
                <c:pt idx="6">
                  <c:v>128361.5</c:v>
                </c:pt>
              </c:numCache>
            </c:numRef>
          </c:yVal>
          <c:smooth val="0"/>
        </c:ser>
        <c:axId val="60776137"/>
        <c:axId val="10114322"/>
      </c:scatterChart>
      <c:val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 val="autoZero"/>
        <c:crossBetween val="midCat"/>
        <c:dispUnits/>
      </c:val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613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4365"/>
          <c:w val="0.234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hour BADPK Standard Curve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175"/>
          <c:w val="0.56175"/>
          <c:h val="0.7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2. Calibration Curves'!$E$38:$E$40</c:f>
              <c:strCache>
                <c:ptCount val="1"/>
                <c:pt idx="0">
                  <c:v>BADPK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(' 2. Calibration Curves'!$B$29,' 2. Calibration Curves'!$B$30,' 2. Calibration Curves'!$B$33,' 2. Calibration Curves'!$B$35)</c:f>
              <c:numCache/>
            </c:numRef>
          </c:xVal>
          <c:yVal>
            <c:numRef>
              <c:f>(' 2. Calibration Curves'!$E$44:$E$45,' 2. Calibration Curves'!$E$48,' 2. Calibration Curves'!$E$50)</c:f>
              <c:numCache/>
            </c:numRef>
          </c:yVal>
          <c:smooth val="0"/>
        </c:ser>
        <c:axId val="52563065"/>
        <c:axId val="3305538"/>
      </c:scatterChart>
      <c:valAx>
        <c:axId val="5256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8"/>
        <c:crosses val="autoZero"/>
        <c:crossBetween val="midCat"/>
        <c:dispUnits/>
      </c:valAx>
      <c:valAx>
        <c:axId val="330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5"/>
          <c:y val="0.413"/>
          <c:w val="0.3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 hours DPK Standard Curve 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535"/>
          <c:w val="0.6005"/>
          <c:h val="0.7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2. Calibration Curves'!$E$61:$E$63</c:f>
              <c:strCache>
                <c:ptCount val="1"/>
                <c:pt idx="0">
                  <c:v>DPK 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(' 2. Calibration Curves'!$B$65:$B$68,' 2. Calibration Curves'!$B$71:$B$73)</c:f>
              <c:numCache/>
            </c:numRef>
          </c:xVal>
          <c:yVal>
            <c:numRef>
              <c:f>(' 2. Calibration Curves'!$E$65:$E$68,' 2. Calibration Curves'!$E$71:$E$73)</c:f>
              <c:numCache/>
            </c:numRef>
          </c:yVal>
          <c:smooth val="0"/>
        </c:ser>
        <c:axId val="29749843"/>
        <c:axId val="66421996"/>
      </c:scatterChart>
      <c:valAx>
        <c:axId val="2974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 val="autoZero"/>
        <c:crossBetween val="midCat"/>
        <c:dispUnits/>
      </c:valAx>
      <c:valAx>
        <c:axId val="66421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984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4135"/>
          <c:w val="0.2842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 hours BADPK Standard Curve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63225"/>
          <c:h val="0.7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 2. Calibration Curves'!$E$76:$E$78</c:f>
              <c:strCache>
                <c:ptCount val="1"/>
                <c:pt idx="0">
                  <c:v>BADPK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(' 2. Calibration Curves'!$B$67:$B$68,' 2. Calibration Curves'!$B$71,' 2. Calibration Curves'!$B$73)</c:f>
              <c:numCache/>
            </c:numRef>
          </c:xVal>
          <c:yVal>
            <c:numRef>
              <c:f>(' 2. Calibration Curves'!$E$82:$E$83,' 2. Calibration Curves'!$E$86,' 2. Calibration Curves'!$E$88)</c:f>
              <c:numCache/>
            </c:numRef>
          </c:yVal>
          <c:smooth val="0"/>
        </c:ser>
        <c:axId val="60927053"/>
        <c:axId val="11472566"/>
      </c:scatterChart>
      <c:val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566"/>
        <c:crosses val="autoZero"/>
        <c:crossBetween val="midCat"/>
        <c:dispUnits/>
      </c:valAx>
      <c:valAx>
        <c:axId val="1147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4135"/>
          <c:w val="0.306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hour BADPK Standard Curve</a:t>
            </a:r>
          </a:p>
        </c:rich>
      </c:tx>
      <c:layout>
        <c:manualLayout>
          <c:xMode val="factor"/>
          <c:yMode val="factor"/>
          <c:x val="-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15"/>
          <c:w val="0.558"/>
          <c:h val="0.7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'[1]SUPPLEMENTAL-3 std curves'!$E$18:$E$20</c:f>
              <c:strCache>
                <c:ptCount val="1"/>
                <c:pt idx="0">
                  <c:v>BADPK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'[1]SUPPLEMENTAL-3 std curves'!$B$24:$B$27</c:f>
              <c:numCache>
                <c:ptCount val="4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</c:numCache>
            </c:numRef>
          </c:xVal>
          <c:yVal>
            <c:numRef>
              <c:f>'[1]SUPPLEMENTAL-3 std curves'!$E$24:$E$27</c:f>
              <c:numCache>
                <c:ptCount val="4"/>
                <c:pt idx="0">
                  <c:v>1303</c:v>
                </c:pt>
                <c:pt idx="1">
                  <c:v>3480.5</c:v>
                </c:pt>
                <c:pt idx="2">
                  <c:v>24010</c:v>
                </c:pt>
                <c:pt idx="3">
                  <c:v>55311</c:v>
                </c:pt>
              </c:numCache>
            </c:numRef>
          </c:yVal>
          <c:smooth val="0"/>
        </c:ser>
        <c:axId val="36144231"/>
        <c:axId val="56862624"/>
      </c:scatterChart>
      <c:valAx>
        <c:axId val="361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 val="autoZero"/>
        <c:crossBetween val="midCat"/>
        <c:dispUnits/>
      </c:valAx>
      <c:valAx>
        <c:axId val="56862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19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423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"/>
          <c:y val="0.428"/>
          <c:w val="0.29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 hours DPK Standard Curve 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25"/>
          <c:w val="0.5935"/>
          <c:h val="0.7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'[1]SUPPLEMENTAL-3 std curves'!$E$34:$E$36</c:f>
              <c:strCache>
                <c:ptCount val="1"/>
                <c:pt idx="0">
                  <c:v>DPK 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'[1]SUPPLEMENTAL-3 std curves'!$B$38:$B$44</c:f>
              <c:numCache>
                <c:ptCount val="7"/>
                <c:pt idx="0">
                  <c:v>0.5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'[1]SUPPLEMENTAL-3 std curves'!$E$38:$E$44</c:f>
              <c:numCache>
                <c:ptCount val="7"/>
                <c:pt idx="0">
                  <c:v>697.1</c:v>
                </c:pt>
                <c:pt idx="1">
                  <c:v>1241.5</c:v>
                </c:pt>
                <c:pt idx="2">
                  <c:v>6125.5</c:v>
                </c:pt>
                <c:pt idx="3">
                  <c:v>13513</c:v>
                </c:pt>
                <c:pt idx="4">
                  <c:v>62148</c:v>
                </c:pt>
                <c:pt idx="5">
                  <c:v>111337</c:v>
                </c:pt>
                <c:pt idx="6">
                  <c:v>128361.5</c:v>
                </c:pt>
              </c:numCache>
            </c:numRef>
          </c:yVal>
          <c:smooth val="0"/>
        </c:ser>
        <c:axId val="42001569"/>
        <c:axId val="42469802"/>
      </c:scatterChart>
      <c:valAx>
        <c:axId val="4200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 val="autoZero"/>
        <c:crossBetween val="midCat"/>
        <c:dispUnits/>
      </c:valAx>
      <c:valAx>
        <c:axId val="4246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156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75"/>
          <c:y val="0.43975"/>
          <c:w val="0.2752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hour BADPK Standard Curve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075"/>
          <c:w val="0.652"/>
          <c:h val="0.7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'[1]SUPPLEMENTAL-3 std curves'!$E$18:$E$20</c:f>
              <c:strCache>
                <c:ptCount val="1"/>
                <c:pt idx="0">
                  <c:v>BADPK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'[1]SUPPLEMENTAL-3 std curves'!$B$24:$B$26</c:f>
              <c:numCache>
                <c:ptCount val="3"/>
                <c:pt idx="0">
                  <c:v>5</c:v>
                </c:pt>
                <c:pt idx="1">
                  <c:v>10</c:v>
                </c:pt>
                <c:pt idx="2">
                  <c:v>50</c:v>
                </c:pt>
              </c:numCache>
            </c:numRef>
          </c:xVal>
          <c:yVal>
            <c:numRef>
              <c:f>'[1]SUPPLEMENTAL-3 std curves'!$E$24:$E$26</c:f>
              <c:numCache>
                <c:ptCount val="3"/>
                <c:pt idx="0">
                  <c:v>1303</c:v>
                </c:pt>
                <c:pt idx="1">
                  <c:v>3480.5</c:v>
                </c:pt>
                <c:pt idx="2">
                  <c:v>24010</c:v>
                </c:pt>
              </c:numCache>
            </c:numRef>
          </c:yVal>
          <c:smooth val="0"/>
        </c:ser>
        <c:axId val="46683899"/>
        <c:axId val="17501908"/>
      </c:scatterChart>
      <c:valAx>
        <c:axId val="466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 val="autoZero"/>
        <c:crossBetween val="midCat"/>
        <c:dispUnits/>
      </c:valAx>
      <c:valAx>
        <c:axId val="1750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389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426"/>
          <c:w val="0.222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 hours DPK Standard Curve
n=3 first three standards 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125"/>
          <c:w val="0.609"/>
          <c:h val="0.7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'[1]SUPPLEMENTAL-3 std curves'!$E$34:$E$36</c:f>
              <c:strCache>
                <c:ptCount val="1"/>
                <c:pt idx="0">
                  <c:v>DPK 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'[1]SUPPLEMENTAL-3 std curves'!$B$38:$B$40</c:f>
              <c:numCache>
                <c:ptCount val="3"/>
                <c:pt idx="0">
                  <c:v>0.5</c:v>
                </c:pt>
                <c:pt idx="1">
                  <c:v>1</c:v>
                </c:pt>
                <c:pt idx="2">
                  <c:v>5</c:v>
                </c:pt>
              </c:numCache>
            </c:numRef>
          </c:xVal>
          <c:yVal>
            <c:numRef>
              <c:f>'[1]SUPPLEMENTAL-3 std curves'!$E$38:$E$40</c:f>
              <c:numCache>
                <c:ptCount val="3"/>
                <c:pt idx="0">
                  <c:v>697.1</c:v>
                </c:pt>
                <c:pt idx="1">
                  <c:v>1241.5</c:v>
                </c:pt>
                <c:pt idx="2">
                  <c:v>6125.5</c:v>
                </c:pt>
              </c:numCache>
            </c:numRef>
          </c:yVal>
          <c:smooth val="0"/>
        </c:ser>
        <c:axId val="23299445"/>
        <c:axId val="8368414"/>
      </c:scatterChart>
      <c:valAx>
        <c:axId val="2329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 val="autoZero"/>
        <c:crossBetween val="midCat"/>
        <c:dispUnits/>
      </c:val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944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44"/>
          <c:w val="0.1845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48 hours DPK Standard Curve
n=6 through 0 intercept </a:t>
            </a:r>
          </a:p>
        </c:rich>
      </c:tx>
      <c:layout>
        <c:manualLayout>
          <c:xMode val="factor"/>
          <c:yMode val="factor"/>
          <c:x val="-0.12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347"/>
          <c:w val="0.60225"/>
          <c:h val="0.3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'[1]SUPPLEMENTAL-3 std curves'!$E$34:$E$36</c:f>
              <c:strCache>
                <c:ptCount val="1"/>
                <c:pt idx="0">
                  <c:v>DPK  Avg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'[1]SUPPLEMENTAL-3 std curves'!$B$38:$B$44</c:f>
              <c:numCache>
                <c:ptCount val="7"/>
                <c:pt idx="0">
                  <c:v>0.5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xVal>
          <c:yVal>
            <c:numRef>
              <c:f>'[1]SUPPLEMENTAL-3 std curves'!$E$38:$E$44</c:f>
              <c:numCache>
                <c:ptCount val="7"/>
                <c:pt idx="0">
                  <c:v>697.1</c:v>
                </c:pt>
                <c:pt idx="1">
                  <c:v>1241.5</c:v>
                </c:pt>
                <c:pt idx="2">
                  <c:v>6125.5</c:v>
                </c:pt>
                <c:pt idx="3">
                  <c:v>13513</c:v>
                </c:pt>
                <c:pt idx="4">
                  <c:v>62148</c:v>
                </c:pt>
                <c:pt idx="5">
                  <c:v>111337</c:v>
                </c:pt>
                <c:pt idx="6">
                  <c:v>128361.5</c:v>
                </c:pt>
              </c:numCache>
            </c:numRef>
          </c:yVal>
          <c:smooth val="0"/>
        </c:ser>
        <c:axId val="8206863"/>
        <c:axId val="6752904"/>
      </c:scatterChart>
      <c:valAx>
        <c:axId val="820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(uM)</a:t>
                </a:r>
              </a:p>
            </c:rich>
          </c:tx>
          <c:layout>
            <c:manualLayout>
              <c:xMode val="factor"/>
              <c:yMode val="factor"/>
              <c:x val="0.05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 val="autoZero"/>
        <c:crossBetween val="midCat"/>
        <c:dispUnits/>
      </c:val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GC/MS Area Counts</a:t>
                </a:r>
              </a:p>
            </c:rich>
          </c:tx>
          <c:layout>
            <c:manualLayout>
              <c:xMode val="factor"/>
              <c:yMode val="factor"/>
              <c:x val="-0.014"/>
              <c:y val="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2985"/>
          <c:w val="0.11175"/>
          <c:h val="0.2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39</xdr:row>
      <xdr:rowOff>66675</xdr:rowOff>
    </xdr:from>
    <xdr:to>
      <xdr:col>9</xdr:col>
      <xdr:colOff>428625</xdr:colOff>
      <xdr:row>76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124700"/>
          <a:ext cx="827722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81</xdr:row>
      <xdr:rowOff>161925</xdr:rowOff>
    </xdr:from>
    <xdr:to>
      <xdr:col>9</xdr:col>
      <xdr:colOff>476250</xdr:colOff>
      <xdr:row>122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4192250"/>
          <a:ext cx="8648700" cy="655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838200</xdr:colOff>
      <xdr:row>19</xdr:row>
      <xdr:rowOff>95250</xdr:rowOff>
    </xdr:from>
    <xdr:to>
      <xdr:col>18</xdr:col>
      <xdr:colOff>161925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13639800" y="3486150"/>
        <a:ext cx="51149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819150</xdr:colOff>
      <xdr:row>37</xdr:row>
      <xdr:rowOff>66675</xdr:rowOff>
    </xdr:from>
    <xdr:to>
      <xdr:col>18</xdr:col>
      <xdr:colOff>142875</xdr:colOff>
      <xdr:row>53</xdr:row>
      <xdr:rowOff>66675</xdr:rowOff>
    </xdr:to>
    <xdr:graphicFrame>
      <xdr:nvGraphicFramePr>
        <xdr:cNvPr id="2" name="Chart 5"/>
        <xdr:cNvGraphicFramePr/>
      </xdr:nvGraphicFramePr>
      <xdr:xfrm>
        <a:off x="13620750" y="6381750"/>
        <a:ext cx="51149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885825</xdr:colOff>
      <xdr:row>59</xdr:row>
      <xdr:rowOff>95250</xdr:rowOff>
    </xdr:from>
    <xdr:to>
      <xdr:col>18</xdr:col>
      <xdr:colOff>171450</xdr:colOff>
      <xdr:row>75</xdr:row>
      <xdr:rowOff>114300</xdr:rowOff>
    </xdr:to>
    <xdr:graphicFrame>
      <xdr:nvGraphicFramePr>
        <xdr:cNvPr id="3" name="Chart 7"/>
        <xdr:cNvGraphicFramePr/>
      </xdr:nvGraphicFramePr>
      <xdr:xfrm>
        <a:off x="13687425" y="9982200"/>
        <a:ext cx="50768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904875</xdr:colOff>
      <xdr:row>76</xdr:row>
      <xdr:rowOff>114300</xdr:rowOff>
    </xdr:from>
    <xdr:to>
      <xdr:col>18</xdr:col>
      <xdr:colOff>209550</xdr:colOff>
      <xdr:row>92</xdr:row>
      <xdr:rowOff>133350</xdr:rowOff>
    </xdr:to>
    <xdr:graphicFrame>
      <xdr:nvGraphicFramePr>
        <xdr:cNvPr id="4" name="Chart 8"/>
        <xdr:cNvGraphicFramePr/>
      </xdr:nvGraphicFramePr>
      <xdr:xfrm>
        <a:off x="13706475" y="12763500"/>
        <a:ext cx="50958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13</xdr:row>
      <xdr:rowOff>85725</xdr:rowOff>
    </xdr:from>
    <xdr:to>
      <xdr:col>18</xdr:col>
      <xdr:colOff>266700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7343775" y="2476500"/>
        <a:ext cx="38957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30</xdr:row>
      <xdr:rowOff>66675</xdr:rowOff>
    </xdr:from>
    <xdr:to>
      <xdr:col>18</xdr:col>
      <xdr:colOff>209550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7324725" y="5267325"/>
        <a:ext cx="38576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304800</xdr:colOff>
      <xdr:row>13</xdr:row>
      <xdr:rowOff>133350</xdr:rowOff>
    </xdr:from>
    <xdr:to>
      <xdr:col>33</xdr:col>
      <xdr:colOff>0</xdr:colOff>
      <xdr:row>26</xdr:row>
      <xdr:rowOff>152400</xdr:rowOff>
    </xdr:to>
    <xdr:graphicFrame>
      <xdr:nvGraphicFramePr>
        <xdr:cNvPr id="3" name="Chart 3"/>
        <xdr:cNvGraphicFramePr/>
      </xdr:nvGraphicFramePr>
      <xdr:xfrm>
        <a:off x="14935200" y="2524125"/>
        <a:ext cx="51816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44</xdr:row>
      <xdr:rowOff>123825</xdr:rowOff>
    </xdr:from>
    <xdr:to>
      <xdr:col>33</xdr:col>
      <xdr:colOff>9525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15240000" y="7600950"/>
        <a:ext cx="48863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28575</xdr:colOff>
      <xdr:row>57</xdr:row>
      <xdr:rowOff>0</xdr:rowOff>
    </xdr:from>
    <xdr:to>
      <xdr:col>33</xdr:col>
      <xdr:colOff>9525</xdr:colOff>
      <xdr:row>60</xdr:row>
      <xdr:rowOff>0</xdr:rowOff>
    </xdr:to>
    <xdr:graphicFrame>
      <xdr:nvGraphicFramePr>
        <xdr:cNvPr id="5" name="Chart 5"/>
        <xdr:cNvGraphicFramePr/>
      </xdr:nvGraphicFramePr>
      <xdr:xfrm>
        <a:off x="15268575" y="9591675"/>
        <a:ext cx="4857750" cy="48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38100</xdr:colOff>
      <xdr:row>60</xdr:row>
      <xdr:rowOff>76200</xdr:rowOff>
    </xdr:from>
    <xdr:to>
      <xdr:col>33</xdr:col>
      <xdr:colOff>9525</xdr:colOff>
      <xdr:row>74</xdr:row>
      <xdr:rowOff>142875</xdr:rowOff>
    </xdr:to>
    <xdr:graphicFrame>
      <xdr:nvGraphicFramePr>
        <xdr:cNvPr id="6" name="Chart 6"/>
        <xdr:cNvGraphicFramePr/>
      </xdr:nvGraphicFramePr>
      <xdr:xfrm>
        <a:off x="15278100" y="10153650"/>
        <a:ext cx="484822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100706%20analy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s"/>
      <sheetName val="Raw Data Processing"/>
      <sheetName val="Summary of raw data"/>
      <sheetName val="SUMMARY Metabolism-mass balance"/>
      <sheetName val="SUPPLEMENTAL-3 std curves"/>
    </sheetNames>
    <sheetDataSet>
      <sheetData sheetId="4">
        <row r="18">
          <cell r="E18" t="str">
            <v>BADPK</v>
          </cell>
        </row>
        <row r="19">
          <cell r="E19" t="str">
            <v>Avg</v>
          </cell>
        </row>
        <row r="20">
          <cell r="E20" t="str">
            <v>Area</v>
          </cell>
        </row>
        <row r="24">
          <cell r="B24">
            <v>5</v>
          </cell>
          <cell r="E24">
            <v>1303</v>
          </cell>
        </row>
        <row r="25">
          <cell r="B25">
            <v>10</v>
          </cell>
          <cell r="E25">
            <v>3480.5</v>
          </cell>
        </row>
        <row r="26">
          <cell r="B26">
            <v>50</v>
          </cell>
          <cell r="E26">
            <v>24010</v>
          </cell>
        </row>
        <row r="27">
          <cell r="B27">
            <v>100</v>
          </cell>
          <cell r="E27">
            <v>55311</v>
          </cell>
        </row>
        <row r="34">
          <cell r="E34" t="str">
            <v>DPK </v>
          </cell>
        </row>
        <row r="35">
          <cell r="E35" t="str">
            <v>Avg</v>
          </cell>
        </row>
        <row r="36">
          <cell r="E36" t="str">
            <v>Area</v>
          </cell>
        </row>
        <row r="38">
          <cell r="B38">
            <v>0.5</v>
          </cell>
          <cell r="E38">
            <v>697.1</v>
          </cell>
        </row>
        <row r="39">
          <cell r="B39">
            <v>1</v>
          </cell>
          <cell r="E39">
            <v>1241.5</v>
          </cell>
        </row>
        <row r="40">
          <cell r="B40">
            <v>5</v>
          </cell>
          <cell r="E40">
            <v>6125.5</v>
          </cell>
        </row>
        <row r="41">
          <cell r="B41">
            <v>10</v>
          </cell>
          <cell r="E41">
            <v>13513</v>
          </cell>
        </row>
        <row r="42">
          <cell r="B42">
            <v>50</v>
          </cell>
          <cell r="E42">
            <v>62148</v>
          </cell>
        </row>
        <row r="43">
          <cell r="B43">
            <v>75</v>
          </cell>
          <cell r="E43">
            <v>111337</v>
          </cell>
        </row>
        <row r="44">
          <cell r="B44">
            <v>100</v>
          </cell>
          <cell r="E44">
            <v>128361.5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1.7109375" style="0" customWidth="1"/>
    <col min="6" max="6" width="30.421875" style="0" customWidth="1"/>
    <col min="8" max="8" width="13.140625" style="0" customWidth="1"/>
    <col min="9" max="9" width="14.7109375" style="0" customWidth="1"/>
    <col min="10" max="10" width="16.140625" style="0" customWidth="1"/>
    <col min="20" max="20" width="27.8515625" style="0" customWidth="1"/>
    <col min="21" max="21" width="12.421875" style="0" customWidth="1"/>
    <col min="23" max="23" width="15.140625" style="0" customWidth="1"/>
  </cols>
  <sheetData>
    <row r="1" spans="1:8" ht="12.75">
      <c r="A1" s="187" t="s">
        <v>209</v>
      </c>
      <c r="B1" s="1"/>
      <c r="C1" s="1"/>
      <c r="D1" s="1"/>
      <c r="E1" s="1"/>
      <c r="F1" s="1"/>
      <c r="G1" s="1"/>
      <c r="H1" s="1"/>
    </row>
    <row r="2" spans="1:20" ht="15">
      <c r="A2" s="1"/>
      <c r="B2" s="1"/>
      <c r="C2" s="1"/>
      <c r="D2" s="1"/>
      <c r="E2" s="1"/>
      <c r="F2" s="1"/>
      <c r="G2" s="1"/>
      <c r="H2" s="1"/>
      <c r="Q2" s="362"/>
      <c r="R2" s="363"/>
      <c r="S2" s="364"/>
      <c r="T2" s="364"/>
    </row>
    <row r="3" spans="1:20" ht="12.75">
      <c r="A3" s="1" t="s">
        <v>110</v>
      </c>
      <c r="B3" s="1"/>
      <c r="C3" s="1"/>
      <c r="D3" s="1"/>
      <c r="E3" s="1"/>
      <c r="F3" s="1"/>
      <c r="G3" s="1"/>
      <c r="H3" s="1"/>
      <c r="Q3" s="365"/>
      <c r="R3" s="366"/>
      <c r="S3" s="365"/>
      <c r="T3" s="366"/>
    </row>
    <row r="4" spans="1:20" ht="12.75">
      <c r="A4" s="1"/>
      <c r="B4" s="1"/>
      <c r="C4" s="1"/>
      <c r="D4" s="1"/>
      <c r="E4" s="1"/>
      <c r="F4" s="1"/>
      <c r="G4" s="1"/>
      <c r="H4" s="1"/>
      <c r="Q4" s="367"/>
      <c r="R4" s="366"/>
      <c r="S4" s="365"/>
      <c r="T4" s="366"/>
    </row>
    <row r="5" spans="1:20" ht="18.75">
      <c r="A5" s="1" t="s">
        <v>169</v>
      </c>
      <c r="B5" s="1"/>
      <c r="C5" s="1"/>
      <c r="D5" s="1"/>
      <c r="E5" s="1"/>
      <c r="F5" s="217" t="s">
        <v>131</v>
      </c>
      <c r="G5" s="217"/>
      <c r="H5" s="216"/>
      <c r="Q5" s="367"/>
      <c r="R5" s="366"/>
      <c r="S5" s="365"/>
      <c r="T5" s="366"/>
    </row>
    <row r="6" spans="1:20" ht="12.75">
      <c r="A6" s="1"/>
      <c r="B6" s="1"/>
      <c r="C6" s="1"/>
      <c r="D6" s="1"/>
      <c r="E6" s="1"/>
      <c r="F6" s="1"/>
      <c r="G6" s="1"/>
      <c r="H6" s="1"/>
      <c r="Q6" s="365"/>
      <c r="R6" s="366"/>
      <c r="S6" s="365"/>
      <c r="T6" s="368"/>
    </row>
    <row r="7" spans="1:20" ht="12.75">
      <c r="A7" s="1" t="s">
        <v>111</v>
      </c>
      <c r="B7" s="1"/>
      <c r="C7" s="1"/>
      <c r="D7" s="1"/>
      <c r="E7" s="1"/>
      <c r="F7" s="1"/>
      <c r="G7" s="1"/>
      <c r="H7" s="1"/>
      <c r="Q7" s="369"/>
      <c r="R7" s="366"/>
      <c r="S7" s="365"/>
      <c r="T7" s="368"/>
    </row>
    <row r="8" spans="1:20" ht="12.75">
      <c r="A8" s="1"/>
      <c r="B8" s="1"/>
      <c r="C8" s="1"/>
      <c r="D8" s="1"/>
      <c r="E8" s="1"/>
      <c r="F8" s="1"/>
      <c r="G8" s="1"/>
      <c r="H8" s="1"/>
      <c r="Q8" s="369"/>
      <c r="R8" s="366"/>
      <c r="S8" s="365"/>
      <c r="T8" s="368"/>
    </row>
    <row r="9" spans="2:11" ht="12.75">
      <c r="B9" s="1" t="s">
        <v>0</v>
      </c>
      <c r="C9" t="s">
        <v>13</v>
      </c>
      <c r="G9" s="1"/>
      <c r="H9" s="12"/>
      <c r="K9" s="12"/>
    </row>
    <row r="10" spans="2:11" ht="12.75">
      <c r="B10" s="1" t="s">
        <v>2</v>
      </c>
      <c r="C10" s="221" t="s">
        <v>175</v>
      </c>
      <c r="G10" s="1" t="s">
        <v>3</v>
      </c>
      <c r="H10" t="s">
        <v>14</v>
      </c>
      <c r="J10" s="1" t="s">
        <v>4</v>
      </c>
      <c r="K10" t="s">
        <v>23</v>
      </c>
    </row>
    <row r="11" spans="2:6" ht="12.75">
      <c r="B11" s="1" t="s">
        <v>126</v>
      </c>
      <c r="C11" s="7" t="s">
        <v>127</v>
      </c>
      <c r="D11" s="7"/>
      <c r="E11" s="7"/>
      <c r="F11" s="7"/>
    </row>
    <row r="12" ht="12.75">
      <c r="B12" s="1"/>
    </row>
    <row r="14" ht="12.75">
      <c r="B14" s="1" t="s">
        <v>92</v>
      </c>
    </row>
    <row r="15" spans="2:3" ht="12.75">
      <c r="B15" s="1" t="s">
        <v>53</v>
      </c>
      <c r="C15" s="221" t="s">
        <v>197</v>
      </c>
    </row>
    <row r="16" spans="2:4" ht="12.75">
      <c r="B16" s="1" t="s">
        <v>54</v>
      </c>
      <c r="D16" t="s">
        <v>55</v>
      </c>
    </row>
    <row r="19" spans="2:27" ht="15.75">
      <c r="B19" s="221"/>
      <c r="C19" s="221"/>
      <c r="D19" s="221"/>
      <c r="E19" s="221"/>
      <c r="F19" s="221"/>
      <c r="G19" s="221"/>
      <c r="K19" s="258" t="s">
        <v>140</v>
      </c>
      <c r="L19" s="258"/>
      <c r="M19" s="258"/>
      <c r="N19" s="258"/>
      <c r="O19" s="258"/>
      <c r="P19" s="258"/>
      <c r="Q19" s="258"/>
      <c r="R19" s="258"/>
      <c r="S19" s="256"/>
      <c r="T19" s="256"/>
      <c r="U19" s="256"/>
      <c r="V19" s="256"/>
      <c r="W19" s="256"/>
      <c r="X19" s="256"/>
      <c r="Y19" s="256"/>
      <c r="Z19" s="256"/>
      <c r="AA19" s="256"/>
    </row>
    <row r="20" spans="11:27" ht="15.75">
      <c r="K20" s="258" t="s">
        <v>195</v>
      </c>
      <c r="L20" s="258"/>
      <c r="M20" s="258"/>
      <c r="N20" s="258"/>
      <c r="O20" s="258"/>
      <c r="P20" s="258"/>
      <c r="Q20" s="258"/>
      <c r="R20" s="258"/>
      <c r="S20" s="256"/>
      <c r="T20" s="256"/>
      <c r="U20" s="256"/>
      <c r="V20" s="256"/>
      <c r="W20" s="256"/>
      <c r="X20" s="256"/>
      <c r="Y20" s="256"/>
      <c r="Z20" s="256"/>
      <c r="AA20" s="256"/>
    </row>
    <row r="21" spans="10:27" ht="15.75">
      <c r="J21" s="347" t="s">
        <v>196</v>
      </c>
      <c r="K21" s="259" t="s">
        <v>193</v>
      </c>
      <c r="L21" s="260"/>
      <c r="M21" s="258"/>
      <c r="N21" s="258"/>
      <c r="O21" s="258"/>
      <c r="P21" s="258"/>
      <c r="Q21" s="258"/>
      <c r="R21" s="258"/>
      <c r="S21" s="256"/>
      <c r="T21" s="256"/>
      <c r="U21" s="256"/>
      <c r="V21" s="256"/>
      <c r="W21" s="256"/>
      <c r="X21" s="256"/>
      <c r="Y21" s="256"/>
      <c r="Z21" s="256"/>
      <c r="AA21" s="256"/>
    </row>
    <row r="22" spans="2:18" ht="15.75">
      <c r="B22" s="215" t="s">
        <v>165</v>
      </c>
      <c r="C22" s="215"/>
      <c r="D22" s="215"/>
      <c r="E22" s="215"/>
      <c r="F22" s="215"/>
      <c r="K22" s="259" t="s">
        <v>194</v>
      </c>
      <c r="L22" s="260"/>
      <c r="M22" s="258"/>
      <c r="N22" s="258"/>
      <c r="O22" s="258"/>
      <c r="P22" s="258"/>
      <c r="Q22" s="258"/>
      <c r="R22" s="258"/>
    </row>
    <row r="23" spans="2:22" ht="15.75">
      <c r="B23" s="215" t="s">
        <v>168</v>
      </c>
      <c r="C23" s="215"/>
      <c r="D23" s="215"/>
      <c r="E23" s="215"/>
      <c r="F23" s="215"/>
      <c r="O23" s="345"/>
      <c r="P23" s="346"/>
      <c r="Q23" s="347"/>
      <c r="R23" s="347"/>
      <c r="S23" s="347"/>
      <c r="T23" s="347"/>
      <c r="U23" s="347"/>
      <c r="V23" s="347"/>
    </row>
    <row r="24" spans="2:22" ht="15.75">
      <c r="B24" s="215" t="s">
        <v>166</v>
      </c>
      <c r="C24" s="215"/>
      <c r="D24" s="215"/>
      <c r="E24" s="215"/>
      <c r="F24" s="215"/>
      <c r="O24" s="345"/>
      <c r="P24" s="346"/>
      <c r="Q24" s="347"/>
      <c r="R24" s="347"/>
      <c r="S24" s="347"/>
      <c r="T24" s="347"/>
      <c r="U24" s="347"/>
      <c r="V24" s="347"/>
    </row>
    <row r="25" spans="2:22" ht="16.5" thickBot="1">
      <c r="B25" s="215" t="s">
        <v>167</v>
      </c>
      <c r="C25" s="215"/>
      <c r="D25" s="215"/>
      <c r="E25" s="215"/>
      <c r="F25" s="215"/>
      <c r="O25" s="345"/>
      <c r="P25" s="346"/>
      <c r="Q25" s="347"/>
      <c r="R25" s="347"/>
      <c r="S25" s="347"/>
      <c r="T25" s="347"/>
      <c r="U25" s="347"/>
      <c r="V25" s="347"/>
    </row>
    <row r="26" spans="2:23" ht="15.75">
      <c r="B26" s="215" t="s">
        <v>170</v>
      </c>
      <c r="C26" s="215"/>
      <c r="D26" s="215"/>
      <c r="E26" s="215"/>
      <c r="F26" s="215"/>
      <c r="O26" s="345"/>
      <c r="P26" s="346"/>
      <c r="Q26" s="347"/>
      <c r="R26" s="347"/>
      <c r="S26" s="347"/>
      <c r="T26" s="351" t="s">
        <v>184</v>
      </c>
      <c r="U26" s="352" t="s">
        <v>185</v>
      </c>
      <c r="V26" s="352" t="s">
        <v>186</v>
      </c>
      <c r="W26" s="353" t="s">
        <v>187</v>
      </c>
    </row>
    <row r="27" spans="2:23" ht="15.75">
      <c r="B27" s="215" t="s">
        <v>171</v>
      </c>
      <c r="C27" s="215"/>
      <c r="D27" s="215"/>
      <c r="E27" s="215"/>
      <c r="F27" s="293"/>
      <c r="G27" s="148"/>
      <c r="H27" s="148"/>
      <c r="I27" s="148"/>
      <c r="O27" s="345"/>
      <c r="P27" s="346"/>
      <c r="Q27" s="347"/>
      <c r="R27" s="347"/>
      <c r="S27" s="347"/>
      <c r="T27" s="354" t="s">
        <v>188</v>
      </c>
      <c r="U27" s="355">
        <v>0.2</v>
      </c>
      <c r="V27" s="355">
        <v>0.5</v>
      </c>
      <c r="W27" s="356">
        <v>1.1</v>
      </c>
    </row>
    <row r="28" spans="2:23" ht="15">
      <c r="B28" s="215"/>
      <c r="C28" s="215"/>
      <c r="D28" s="215"/>
      <c r="E28" s="215"/>
      <c r="F28" s="215"/>
      <c r="G28" s="148"/>
      <c r="H28" s="148"/>
      <c r="I28" s="148"/>
      <c r="T28" s="354" t="s">
        <v>189</v>
      </c>
      <c r="U28" s="355">
        <v>0.3</v>
      </c>
      <c r="V28" s="355">
        <v>0.5</v>
      </c>
      <c r="W28" s="356">
        <v>1.1</v>
      </c>
    </row>
    <row r="29" spans="10:23" ht="15.75" thickBot="1">
      <c r="J29" s="148"/>
      <c r="T29" s="357" t="s">
        <v>190</v>
      </c>
      <c r="U29" s="358">
        <v>0.2</v>
      </c>
      <c r="V29" s="358">
        <v>0.6</v>
      </c>
      <c r="W29" s="359">
        <v>1.2</v>
      </c>
    </row>
    <row r="30" spans="10:23" ht="15.75">
      <c r="J30" s="148"/>
      <c r="U30" s="225" t="s">
        <v>191</v>
      </c>
      <c r="W30" s="225" t="s">
        <v>192</v>
      </c>
    </row>
    <row r="33" spans="1:16" ht="15.75">
      <c r="A33" s="348" t="s">
        <v>172</v>
      </c>
      <c r="B33" s="222" t="s">
        <v>130</v>
      </c>
      <c r="C33" s="222"/>
      <c r="D33" s="222"/>
      <c r="E33" s="222"/>
      <c r="F33" s="222"/>
      <c r="G33" s="222"/>
      <c r="H33" s="222"/>
      <c r="I33" s="223"/>
      <c r="J33" s="220"/>
      <c r="K33" s="334"/>
      <c r="L33" s="336"/>
      <c r="M33" s="337"/>
      <c r="N33" s="148"/>
      <c r="O33" s="341"/>
      <c r="P33" s="341"/>
    </row>
    <row r="34" spans="1:16" ht="15">
      <c r="A34" s="222" t="s">
        <v>173</v>
      </c>
      <c r="B34" s="223"/>
      <c r="C34" s="223"/>
      <c r="D34" s="223"/>
      <c r="E34" s="223"/>
      <c r="F34" s="223"/>
      <c r="G34" s="220"/>
      <c r="H34" s="220"/>
      <c r="I34" s="220"/>
      <c r="J34" s="220"/>
      <c r="K34" s="220"/>
      <c r="L34" s="220"/>
      <c r="M34" s="220"/>
      <c r="N34" s="220"/>
      <c r="O34" s="214"/>
      <c r="P34" s="214"/>
    </row>
    <row r="35" spans="1:19" ht="15">
      <c r="A35" s="148"/>
      <c r="B35" s="148"/>
      <c r="C35" s="220"/>
      <c r="D35" s="220"/>
      <c r="E35" s="338"/>
      <c r="F35" s="338"/>
      <c r="G35" s="338"/>
      <c r="H35" s="338"/>
      <c r="I35" s="339"/>
      <c r="J35" s="338" t="s">
        <v>164</v>
      </c>
      <c r="K35" s="338"/>
      <c r="L35" s="338"/>
      <c r="M35" s="340"/>
      <c r="N35" s="222"/>
      <c r="O35" s="220"/>
      <c r="P35" s="220"/>
      <c r="Q35" s="220"/>
      <c r="R35" s="220"/>
      <c r="S35" s="220"/>
    </row>
    <row r="36" spans="1:19" ht="15">
      <c r="A36" s="148"/>
      <c r="B36" s="148"/>
      <c r="C36" s="148"/>
      <c r="D36" s="148"/>
      <c r="E36" s="342"/>
      <c r="F36" s="342"/>
      <c r="G36" s="342"/>
      <c r="H36" s="342"/>
      <c r="I36" s="343"/>
      <c r="J36" s="342"/>
      <c r="K36" s="342"/>
      <c r="L36" s="342"/>
      <c r="M36" s="344"/>
      <c r="N36" s="293"/>
      <c r="O36" s="148"/>
      <c r="P36" s="148"/>
      <c r="Q36" s="148"/>
      <c r="R36" s="148"/>
      <c r="S36" s="148"/>
    </row>
    <row r="37" spans="1:19" ht="15">
      <c r="A37" s="148"/>
      <c r="B37" s="148"/>
      <c r="C37" s="148"/>
      <c r="D37" s="148"/>
      <c r="E37" s="342"/>
      <c r="F37" s="342"/>
      <c r="G37" s="342"/>
      <c r="H37" s="342"/>
      <c r="I37" s="343"/>
      <c r="J37" s="342"/>
      <c r="K37" s="342"/>
      <c r="L37" s="342"/>
      <c r="M37" s="344"/>
      <c r="N37" s="293"/>
      <c r="O37" s="148"/>
      <c r="P37" s="148"/>
      <c r="Q37" s="148"/>
      <c r="R37" s="148"/>
      <c r="S37" s="148"/>
    </row>
    <row r="38" ht="12.75">
      <c r="A38" s="1" t="s">
        <v>183</v>
      </c>
    </row>
    <row r="39" spans="11:14" ht="15">
      <c r="K39" s="362" t="s">
        <v>200</v>
      </c>
      <c r="L39" s="363"/>
      <c r="M39" s="364"/>
      <c r="N39" s="364"/>
    </row>
    <row r="40" spans="11:14" ht="15">
      <c r="K40" s="365" t="s">
        <v>204</v>
      </c>
      <c r="L40" s="366"/>
      <c r="M40" s="365"/>
      <c r="N40" s="366"/>
    </row>
    <row r="41" spans="11:14" ht="15">
      <c r="K41" s="367" t="s">
        <v>205</v>
      </c>
      <c r="L41" s="366"/>
      <c r="M41" s="365"/>
      <c r="N41" s="366"/>
    </row>
    <row r="42" spans="11:14" ht="15">
      <c r="K42" s="367" t="s">
        <v>206</v>
      </c>
      <c r="L42" s="366"/>
      <c r="M42" s="365"/>
      <c r="N42" s="366"/>
    </row>
    <row r="43" spans="11:14" ht="15">
      <c r="K43" s="365" t="s">
        <v>207</v>
      </c>
      <c r="L43" s="366"/>
      <c r="M43" s="365"/>
      <c r="N43" s="368"/>
    </row>
    <row r="44" spans="11:14" ht="15">
      <c r="K44" s="369" t="s">
        <v>208</v>
      </c>
      <c r="L44" s="366"/>
      <c r="M44" s="365"/>
      <c r="N44" s="368"/>
    </row>
    <row r="45" spans="11:13" ht="15">
      <c r="K45" s="215" t="s">
        <v>202</v>
      </c>
      <c r="L45" s="215"/>
      <c r="M45" s="215"/>
    </row>
    <row r="84" spans="7:12" ht="15.75">
      <c r="G84" s="347"/>
      <c r="H84" s="148"/>
      <c r="I84" s="148"/>
      <c r="J84" s="148"/>
      <c r="K84" s="148"/>
      <c r="L84" s="14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SheetLayoutView="100" zoomScalePageLayoutView="0" workbookViewId="0" topLeftCell="L28">
      <selection activeCell="A1" sqref="A1"/>
    </sheetView>
  </sheetViews>
  <sheetFormatPr defaultColWidth="9.140625" defaultRowHeight="12.75"/>
  <cols>
    <col min="1" max="1" width="32.8515625" style="0" customWidth="1"/>
    <col min="2" max="2" width="20.140625" style="0" customWidth="1"/>
    <col min="3" max="4" width="13.7109375" style="0" customWidth="1"/>
    <col min="5" max="5" width="29.28125" style="0" customWidth="1"/>
    <col min="6" max="12" width="13.7109375" style="0" customWidth="1"/>
    <col min="14" max="17" width="13.7109375" style="0" customWidth="1"/>
    <col min="20" max="20" width="12.421875" style="88" customWidth="1"/>
  </cols>
  <sheetData>
    <row r="1" spans="1:8" ht="12.75">
      <c r="A1" s="187" t="s">
        <v>209</v>
      </c>
      <c r="B1" s="1"/>
      <c r="C1" s="1"/>
      <c r="D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110</v>
      </c>
      <c r="B3" s="1"/>
      <c r="C3" s="1"/>
      <c r="D3" s="1"/>
      <c r="E3" s="1"/>
      <c r="F3" s="1"/>
      <c r="G3" s="1"/>
      <c r="H3" s="1"/>
    </row>
    <row r="4" spans="1:10" ht="12.75">
      <c r="A4" s="1" t="s">
        <v>0</v>
      </c>
      <c r="B4" t="s">
        <v>13</v>
      </c>
      <c r="F4" s="1"/>
      <c r="G4" s="12"/>
      <c r="J4" s="12"/>
    </row>
    <row r="5" spans="1:19" ht="12.75">
      <c r="A5" s="1" t="s">
        <v>2</v>
      </c>
      <c r="B5" s="221" t="s">
        <v>175</v>
      </c>
      <c r="F5" s="1" t="s">
        <v>3</v>
      </c>
      <c r="G5" t="s">
        <v>14</v>
      </c>
      <c r="I5" s="1" t="s">
        <v>4</v>
      </c>
      <c r="J5" t="s">
        <v>23</v>
      </c>
      <c r="Q5" s="8"/>
      <c r="R5" s="8"/>
      <c r="S5" s="8"/>
    </row>
    <row r="6" spans="1:19" ht="12.75">
      <c r="A6" s="1" t="s">
        <v>126</v>
      </c>
      <c r="B6" s="7" t="s">
        <v>127</v>
      </c>
      <c r="C6" s="7"/>
      <c r="D6" s="7"/>
      <c r="E6" s="7"/>
      <c r="Q6" s="8"/>
      <c r="R6" s="8"/>
      <c r="S6" s="8"/>
    </row>
    <row r="7" spans="1:19" ht="12.75">
      <c r="A7" s="1"/>
      <c r="Q7" s="11"/>
      <c r="R7" s="11"/>
      <c r="S7" s="11"/>
    </row>
    <row r="8" spans="12:23" ht="15">
      <c r="L8" s="215"/>
      <c r="M8" s="215"/>
      <c r="N8" s="215"/>
      <c r="O8" s="215"/>
      <c r="R8" s="7"/>
      <c r="S8" s="7"/>
      <c r="T8" s="362" t="s">
        <v>200</v>
      </c>
      <c r="U8" s="363"/>
      <c r="V8" s="364"/>
      <c r="W8" s="364"/>
    </row>
    <row r="9" spans="1:23" ht="15">
      <c r="A9" s="1" t="s">
        <v>92</v>
      </c>
      <c r="L9" s="215"/>
      <c r="M9" s="215"/>
      <c r="N9" s="215"/>
      <c r="O9" s="215"/>
      <c r="R9" s="7"/>
      <c r="S9" s="7"/>
      <c r="T9" s="365" t="s">
        <v>204</v>
      </c>
      <c r="U9" s="366"/>
      <c r="V9" s="365"/>
      <c r="W9" s="366"/>
    </row>
    <row r="10" spans="1:23" ht="15">
      <c r="A10" s="1" t="s">
        <v>53</v>
      </c>
      <c r="B10" s="221" t="s">
        <v>197</v>
      </c>
      <c r="L10" s="215"/>
      <c r="M10" s="215"/>
      <c r="N10" s="215"/>
      <c r="O10" s="215"/>
      <c r="R10" s="7"/>
      <c r="S10" s="7"/>
      <c r="T10" s="367" t="s">
        <v>205</v>
      </c>
      <c r="U10" s="366"/>
      <c r="V10" s="365"/>
      <c r="W10" s="366"/>
    </row>
    <row r="11" spans="1:23" ht="18.75">
      <c r="A11" s="1" t="s">
        <v>54</v>
      </c>
      <c r="B11" t="s">
        <v>55</v>
      </c>
      <c r="E11" s="217" t="s">
        <v>131</v>
      </c>
      <c r="F11" s="217"/>
      <c r="G11" s="216"/>
      <c r="L11" s="215"/>
      <c r="M11" s="215"/>
      <c r="N11" s="215"/>
      <c r="O11" s="215"/>
      <c r="R11" s="7"/>
      <c r="S11" s="7"/>
      <c r="T11" s="367" t="s">
        <v>206</v>
      </c>
      <c r="U11" s="366"/>
      <c r="V11" s="365"/>
      <c r="W11" s="366"/>
    </row>
    <row r="12" spans="12:23" ht="15">
      <c r="L12" s="215"/>
      <c r="M12" s="215"/>
      <c r="N12" s="215"/>
      <c r="O12" s="215"/>
      <c r="R12" s="7"/>
      <c r="S12" s="7"/>
      <c r="T12" s="365" t="s">
        <v>207</v>
      </c>
      <c r="U12" s="366"/>
      <c r="V12" s="365"/>
      <c r="W12" s="368"/>
    </row>
    <row r="13" spans="15:23" ht="15">
      <c r="O13" s="215"/>
      <c r="R13" s="7"/>
      <c r="S13" s="7"/>
      <c r="T13" s="369" t="s">
        <v>208</v>
      </c>
      <c r="U13" s="366"/>
      <c r="V13" s="365"/>
      <c r="W13" s="368"/>
    </row>
    <row r="14" spans="1:22" ht="15">
      <c r="A14" s="221"/>
      <c r="B14" s="221"/>
      <c r="C14" s="221"/>
      <c r="D14" s="221"/>
      <c r="E14" s="221"/>
      <c r="F14" s="221"/>
      <c r="Q14" s="10"/>
      <c r="R14" s="7"/>
      <c r="S14" s="7"/>
      <c r="T14" s="215" t="s">
        <v>202</v>
      </c>
      <c r="U14" s="215"/>
      <c r="V14" s="215"/>
    </row>
    <row r="15" spans="17:19" ht="12.75">
      <c r="Q15" s="10"/>
      <c r="R15" s="7"/>
      <c r="S15" s="7"/>
    </row>
    <row r="16" spans="1:19" ht="15.75">
      <c r="A16" s="218"/>
      <c r="B16" s="219"/>
      <c r="C16" s="219"/>
      <c r="D16" s="219"/>
      <c r="E16" s="219"/>
      <c r="F16" s="219"/>
      <c r="G16" s="219"/>
      <c r="H16" s="219"/>
      <c r="I16" s="220"/>
      <c r="Q16" s="10"/>
      <c r="R16" s="7"/>
      <c r="S16" s="7"/>
    </row>
    <row r="17" spans="17:19" ht="12.75">
      <c r="Q17" s="10"/>
      <c r="R17" s="7"/>
      <c r="S17" s="7"/>
    </row>
    <row r="18" ht="15">
      <c r="A18" s="215" t="s">
        <v>174</v>
      </c>
    </row>
    <row r="20" ht="12.75">
      <c r="B20" s="1" t="s">
        <v>39</v>
      </c>
    </row>
    <row r="22" ht="12.75">
      <c r="B22" s="53" t="s">
        <v>27</v>
      </c>
    </row>
    <row r="23" spans="2:11" ht="12.75">
      <c r="B23" s="91" t="s">
        <v>12</v>
      </c>
      <c r="C23" s="39" t="s">
        <v>41</v>
      </c>
      <c r="D23" s="39" t="s">
        <v>42</v>
      </c>
      <c r="E23" s="39" t="s">
        <v>31</v>
      </c>
      <c r="F23" s="39" t="s">
        <v>12</v>
      </c>
      <c r="G23" s="39" t="s">
        <v>12</v>
      </c>
      <c r="H23" s="39" t="s">
        <v>12</v>
      </c>
      <c r="I23" s="39" t="s">
        <v>12</v>
      </c>
      <c r="J23" s="39" t="s">
        <v>12</v>
      </c>
      <c r="K23" s="39" t="s">
        <v>12</v>
      </c>
    </row>
    <row r="24" spans="2:11" ht="12.75">
      <c r="B24" s="2" t="s">
        <v>5</v>
      </c>
      <c r="C24" s="22" t="s">
        <v>34</v>
      </c>
      <c r="D24" s="41" t="s">
        <v>7</v>
      </c>
      <c r="E24" s="57" t="s">
        <v>33</v>
      </c>
      <c r="F24" s="22" t="s">
        <v>37</v>
      </c>
      <c r="G24" s="22" t="s">
        <v>32</v>
      </c>
      <c r="H24" s="63" t="s">
        <v>33</v>
      </c>
      <c r="I24" s="22" t="s">
        <v>37</v>
      </c>
      <c r="J24" s="22" t="s">
        <v>32</v>
      </c>
      <c r="K24" s="63" t="s">
        <v>33</v>
      </c>
    </row>
    <row r="25" spans="2:11" ht="12.75">
      <c r="B25" s="3" t="s">
        <v>8</v>
      </c>
      <c r="C25" s="23" t="s">
        <v>35</v>
      </c>
      <c r="D25" s="24" t="s">
        <v>35</v>
      </c>
      <c r="E25" s="58" t="s">
        <v>35</v>
      </c>
      <c r="F25" s="56" t="s">
        <v>38</v>
      </c>
      <c r="G25" s="56" t="s">
        <v>38</v>
      </c>
      <c r="H25" s="64" t="s">
        <v>38</v>
      </c>
      <c r="I25" s="23" t="s">
        <v>49</v>
      </c>
      <c r="J25" s="23" t="s">
        <v>49</v>
      </c>
      <c r="K25" s="66" t="s">
        <v>49</v>
      </c>
    </row>
    <row r="26" spans="2:11" ht="12.75">
      <c r="B26" s="20"/>
      <c r="C26" s="14"/>
      <c r="D26" s="15"/>
      <c r="E26" s="59"/>
      <c r="F26" s="14"/>
      <c r="G26" s="54"/>
      <c r="H26" s="65"/>
      <c r="I26" s="54"/>
      <c r="J26" s="54"/>
      <c r="K26" s="65"/>
    </row>
    <row r="27" spans="2:11" ht="12.75">
      <c r="B27" s="20">
        <v>0.5</v>
      </c>
      <c r="C27" s="13">
        <v>903</v>
      </c>
      <c r="D27" s="16">
        <v>777.29</v>
      </c>
      <c r="E27" s="60">
        <f>AVERAGE(C27,D27)</f>
        <v>840.145</v>
      </c>
      <c r="F27" s="77">
        <f>(C27-84.274)/1352.3</f>
        <v>0.605432226576943</v>
      </c>
      <c r="G27" s="77">
        <f>(D27-84.274)/1352.3</f>
        <v>0.5124720845966132</v>
      </c>
      <c r="H27" s="78">
        <f>AVERAGE(F27,G27)</f>
        <v>0.558952155586778</v>
      </c>
      <c r="I27" s="79">
        <f>F27/B27*100</f>
        <v>121.08644531538859</v>
      </c>
      <c r="J27" s="79">
        <f>G27/B27*100</f>
        <v>102.49441691932265</v>
      </c>
      <c r="K27" s="78">
        <f>H27/B27*100</f>
        <v>111.79043111735561</v>
      </c>
    </row>
    <row r="28" spans="2:21" ht="12.75">
      <c r="B28" s="20">
        <v>1</v>
      </c>
      <c r="C28" s="13">
        <v>1516</v>
      </c>
      <c r="D28" s="15">
        <v>1289</v>
      </c>
      <c r="E28" s="60">
        <f>AVERAGE(C28,D28)</f>
        <v>1402.5</v>
      </c>
      <c r="F28" s="77">
        <f aca="true" t="shared" si="0" ref="F28:F35">(C28-84.274)/1352.3</f>
        <v>1.0587340087258745</v>
      </c>
      <c r="G28" s="79">
        <f aca="true" t="shared" si="1" ref="G28:G35">(D28-84.274)/1352.3</f>
        <v>0.8908718479627302</v>
      </c>
      <c r="H28" s="78">
        <f aca="true" t="shared" si="2" ref="H28:H35">AVERAGE(F28,G28)</f>
        <v>0.9748029283443024</v>
      </c>
      <c r="I28" s="79">
        <f aca="true" t="shared" si="3" ref="I28:I35">F28/B28*100</f>
        <v>105.87340087258745</v>
      </c>
      <c r="J28" s="79">
        <f aca="true" t="shared" si="4" ref="J28:J35">G28/B28*100</f>
        <v>89.08718479627302</v>
      </c>
      <c r="K28" s="78">
        <f aca="true" t="shared" si="5" ref="K28:K35">H28/B28*100</f>
        <v>97.48029283443024</v>
      </c>
      <c r="T28" s="166"/>
      <c r="U28" s="7"/>
    </row>
    <row r="29" spans="2:21" ht="12.75">
      <c r="B29" s="20">
        <v>5</v>
      </c>
      <c r="C29" s="17">
        <v>7746</v>
      </c>
      <c r="D29" s="18">
        <v>6321</v>
      </c>
      <c r="E29" s="60">
        <f>AVERAGE(C29,D29)</f>
        <v>7033.5</v>
      </c>
      <c r="F29" s="77">
        <f t="shared" si="0"/>
        <v>5.665699918657102</v>
      </c>
      <c r="G29" s="79">
        <f t="shared" si="1"/>
        <v>4.611939658359831</v>
      </c>
      <c r="H29" s="78">
        <f t="shared" si="2"/>
        <v>5.138819788508467</v>
      </c>
      <c r="I29" s="79">
        <f t="shared" si="3"/>
        <v>113.31399837314204</v>
      </c>
      <c r="J29" s="79">
        <f t="shared" si="4"/>
        <v>92.23879316719662</v>
      </c>
      <c r="K29" s="78">
        <f t="shared" si="5"/>
        <v>102.77639577016934</v>
      </c>
      <c r="T29" s="166"/>
      <c r="U29" s="7"/>
    </row>
    <row r="30" spans="2:21" ht="12.75">
      <c r="B30" s="20">
        <v>10</v>
      </c>
      <c r="C30" s="33" t="s">
        <v>29</v>
      </c>
      <c r="D30" s="18">
        <v>13649</v>
      </c>
      <c r="E30" s="61">
        <f>AVERAGE(C30,D30)</f>
        <v>13649</v>
      </c>
      <c r="F30" s="77"/>
      <c r="G30" s="79">
        <f t="shared" si="1"/>
        <v>10.030855579383275</v>
      </c>
      <c r="H30" s="78">
        <f t="shared" si="2"/>
        <v>10.030855579383275</v>
      </c>
      <c r="I30" s="79"/>
      <c r="J30" s="79">
        <f t="shared" si="4"/>
        <v>100.30855579383275</v>
      </c>
      <c r="K30" s="78">
        <f t="shared" si="5"/>
        <v>100.30855579383275</v>
      </c>
      <c r="T30" s="88" t="s">
        <v>71</v>
      </c>
      <c r="U30">
        <v>1352.3</v>
      </c>
    </row>
    <row r="31" spans="2:21" ht="12.75">
      <c r="B31" s="20">
        <v>20</v>
      </c>
      <c r="C31" s="17"/>
      <c r="D31" s="18"/>
      <c r="E31" s="61"/>
      <c r="F31" s="77"/>
      <c r="G31" s="79"/>
      <c r="H31" s="78"/>
      <c r="I31" s="79"/>
      <c r="J31" s="79"/>
      <c r="K31" s="78"/>
      <c r="T31" s="88" t="s">
        <v>70</v>
      </c>
      <c r="U31">
        <v>84.274</v>
      </c>
    </row>
    <row r="32" spans="2:11" ht="12.75">
      <c r="B32" s="20">
        <v>30</v>
      </c>
      <c r="C32" s="17"/>
      <c r="D32" s="18"/>
      <c r="E32" s="61"/>
      <c r="F32" s="77"/>
      <c r="G32" s="79"/>
      <c r="H32" s="78"/>
      <c r="I32" s="79"/>
      <c r="J32" s="79"/>
      <c r="K32" s="78"/>
    </row>
    <row r="33" spans="2:11" ht="12.75">
      <c r="B33" s="20">
        <v>50</v>
      </c>
      <c r="C33" s="17">
        <v>75435</v>
      </c>
      <c r="D33" s="18">
        <v>57983</v>
      </c>
      <c r="E33" s="60">
        <f>AVERAGE(C33,D33)</f>
        <v>66709</v>
      </c>
      <c r="F33" s="77">
        <f t="shared" si="0"/>
        <v>55.72042150410412</v>
      </c>
      <c r="G33" s="79">
        <f t="shared" si="1"/>
        <v>42.81500110922133</v>
      </c>
      <c r="H33" s="78">
        <f t="shared" si="2"/>
        <v>49.26771130666272</v>
      </c>
      <c r="I33" s="79">
        <f t="shared" si="3"/>
        <v>111.44084300820822</v>
      </c>
      <c r="J33" s="79">
        <f t="shared" si="4"/>
        <v>85.63000221844266</v>
      </c>
      <c r="K33" s="78">
        <f t="shared" si="5"/>
        <v>98.53542261332544</v>
      </c>
    </row>
    <row r="34" spans="2:11" ht="12.75">
      <c r="B34" s="20">
        <v>75</v>
      </c>
      <c r="C34" s="17">
        <v>114881</v>
      </c>
      <c r="D34" s="18">
        <v>90016</v>
      </c>
      <c r="E34" s="60">
        <f>AVERAGE(C34,D34)</f>
        <v>102448.5</v>
      </c>
      <c r="F34" s="77">
        <f t="shared" si="0"/>
        <v>84.88998447090142</v>
      </c>
      <c r="G34" s="79">
        <f t="shared" si="1"/>
        <v>66.50279227981956</v>
      </c>
      <c r="H34" s="78">
        <f t="shared" si="2"/>
        <v>75.6963883753605</v>
      </c>
      <c r="I34" s="79">
        <f t="shared" si="3"/>
        <v>113.18664596120189</v>
      </c>
      <c r="J34" s="79">
        <f t="shared" si="4"/>
        <v>88.67038970642608</v>
      </c>
      <c r="K34" s="78">
        <f t="shared" si="5"/>
        <v>100.928517833814</v>
      </c>
    </row>
    <row r="35" spans="2:11" ht="13.5" thickBot="1">
      <c r="B35" s="21">
        <v>100</v>
      </c>
      <c r="C35" s="19">
        <v>154302</v>
      </c>
      <c r="D35" s="19">
        <v>115888</v>
      </c>
      <c r="E35" s="62">
        <f>AVERAGE(C35,D35)</f>
        <v>135095</v>
      </c>
      <c r="F35" s="80">
        <f t="shared" si="0"/>
        <v>114.04106041558826</v>
      </c>
      <c r="G35" s="81">
        <f t="shared" si="1"/>
        <v>85.6346417215115</v>
      </c>
      <c r="H35" s="82">
        <f t="shared" si="2"/>
        <v>99.83785106854988</v>
      </c>
      <c r="I35" s="79">
        <f t="shared" si="3"/>
        <v>114.04106041558826</v>
      </c>
      <c r="J35" s="79">
        <f t="shared" si="4"/>
        <v>85.6346417215115</v>
      </c>
      <c r="K35" s="78">
        <f t="shared" si="5"/>
        <v>99.83785106854988</v>
      </c>
    </row>
    <row r="38" spans="1:21" ht="12.75">
      <c r="A38" t="s">
        <v>40</v>
      </c>
      <c r="B38" s="90" t="s">
        <v>11</v>
      </c>
      <c r="C38" s="40" t="s">
        <v>43</v>
      </c>
      <c r="D38" s="40" t="s">
        <v>44</v>
      </c>
      <c r="E38" s="40" t="s">
        <v>11</v>
      </c>
      <c r="F38" s="40" t="s">
        <v>11</v>
      </c>
      <c r="G38" s="40" t="s">
        <v>11</v>
      </c>
      <c r="H38" s="40" t="s">
        <v>11</v>
      </c>
      <c r="I38" s="40" t="s">
        <v>11</v>
      </c>
      <c r="J38" s="40" t="s">
        <v>11</v>
      </c>
      <c r="K38" s="40" t="s">
        <v>11</v>
      </c>
      <c r="T38" s="165"/>
      <c r="U38" s="8"/>
    </row>
    <row r="39" spans="2:21" ht="12.75">
      <c r="B39" s="2" t="s">
        <v>5</v>
      </c>
      <c r="C39" s="42" t="s">
        <v>24</v>
      </c>
      <c r="D39" s="42" t="s">
        <v>25</v>
      </c>
      <c r="E39" s="68" t="s">
        <v>33</v>
      </c>
      <c r="F39" s="42" t="s">
        <v>37</v>
      </c>
      <c r="G39" s="42" t="s">
        <v>32</v>
      </c>
      <c r="H39" s="68" t="s">
        <v>33</v>
      </c>
      <c r="I39" s="42" t="s">
        <v>37</v>
      </c>
      <c r="J39" s="42" t="s">
        <v>32</v>
      </c>
      <c r="K39" s="68" t="s">
        <v>33</v>
      </c>
      <c r="M39" s="7"/>
      <c r="N39" s="10"/>
      <c r="T39" s="165"/>
      <c r="U39" s="8"/>
    </row>
    <row r="40" spans="2:21" ht="12.75">
      <c r="B40" s="3" t="s">
        <v>8</v>
      </c>
      <c r="C40" s="28" t="s">
        <v>35</v>
      </c>
      <c r="D40" s="28" t="s">
        <v>36</v>
      </c>
      <c r="E40" s="69" t="s">
        <v>35</v>
      </c>
      <c r="F40" s="35" t="s">
        <v>38</v>
      </c>
      <c r="G40" s="35" t="s">
        <v>38</v>
      </c>
      <c r="H40" s="73" t="s">
        <v>38</v>
      </c>
      <c r="I40" s="28" t="s">
        <v>49</v>
      </c>
      <c r="J40" s="28" t="s">
        <v>49</v>
      </c>
      <c r="K40" s="69" t="s">
        <v>49</v>
      </c>
      <c r="M40" s="7"/>
      <c r="N40" s="10"/>
      <c r="T40" s="165"/>
      <c r="U40" s="11"/>
    </row>
    <row r="41" spans="2:21" ht="12.75">
      <c r="B41" s="20"/>
      <c r="C41" s="29"/>
      <c r="D41" s="29"/>
      <c r="E41" s="70"/>
      <c r="F41" s="36"/>
      <c r="G41" s="37"/>
      <c r="H41" s="70"/>
      <c r="I41" s="37"/>
      <c r="J41" s="37"/>
      <c r="K41" s="70"/>
      <c r="T41" s="166"/>
      <c r="U41" s="7"/>
    </row>
    <row r="42" spans="2:21" ht="12.75">
      <c r="B42" s="20">
        <v>0.5</v>
      </c>
      <c r="C42" s="29"/>
      <c r="D42" s="29"/>
      <c r="E42" s="71"/>
      <c r="F42" s="29"/>
      <c r="G42" s="34"/>
      <c r="H42" s="71"/>
      <c r="I42" s="34"/>
      <c r="J42" s="34"/>
      <c r="K42" s="71"/>
      <c r="T42" s="166"/>
      <c r="U42" s="7"/>
    </row>
    <row r="43" spans="2:21" ht="12.75">
      <c r="B43" s="20">
        <v>1</v>
      </c>
      <c r="C43" s="29"/>
      <c r="D43" s="29"/>
      <c r="E43" s="71"/>
      <c r="F43" s="29"/>
      <c r="G43" s="34"/>
      <c r="H43" s="71"/>
      <c r="I43" s="34"/>
      <c r="J43" s="34"/>
      <c r="K43" s="71"/>
      <c r="T43" s="166"/>
      <c r="U43" s="7"/>
    </row>
    <row r="44" spans="2:21" ht="12.75">
      <c r="B44" s="20">
        <v>5</v>
      </c>
      <c r="C44" s="29">
        <v>1884</v>
      </c>
      <c r="D44" s="29">
        <v>722</v>
      </c>
      <c r="E44" s="71">
        <f>AVERAGE(C44,D44)</f>
        <v>1303</v>
      </c>
      <c r="F44" s="83">
        <f aca="true" t="shared" si="6" ref="F44:H45">(C44+2393.7)/567.75</f>
        <v>7.53447820343461</v>
      </c>
      <c r="G44" s="83">
        <f t="shared" si="6"/>
        <v>5.487802730074857</v>
      </c>
      <c r="H44" s="84">
        <f t="shared" si="6"/>
        <v>6.511140466754734</v>
      </c>
      <c r="I44" s="92">
        <f>F44/B44*100</f>
        <v>150.6895640686922</v>
      </c>
      <c r="J44" s="92">
        <f>G44/B44*100</f>
        <v>109.75605460149713</v>
      </c>
      <c r="K44" s="85">
        <f>H44/B44*100</f>
        <v>130.22280933509467</v>
      </c>
      <c r="T44" s="166"/>
      <c r="U44" s="7"/>
    </row>
    <row r="45" spans="2:21" ht="12.75">
      <c r="B45" s="20">
        <v>10</v>
      </c>
      <c r="C45" s="29">
        <v>3978</v>
      </c>
      <c r="D45" s="29">
        <v>2983</v>
      </c>
      <c r="E45" s="71">
        <f>AVERAGE(C45,D45)</f>
        <v>3480.5</v>
      </c>
      <c r="F45" s="83">
        <f t="shared" si="6"/>
        <v>11.222721268163804</v>
      </c>
      <c r="G45" s="83">
        <f t="shared" si="6"/>
        <v>9.470189343901366</v>
      </c>
      <c r="H45" s="84">
        <f t="shared" si="6"/>
        <v>10.346455306032585</v>
      </c>
      <c r="I45" s="92">
        <f aca="true" t="shared" si="7" ref="I45:I50">F45/B45*100</f>
        <v>112.22721268163805</v>
      </c>
      <c r="J45" s="92">
        <f aca="true" t="shared" si="8" ref="J45:J50">G45/B45*100</f>
        <v>94.70189343901365</v>
      </c>
      <c r="K45" s="85">
        <f aca="true" t="shared" si="9" ref="K45:K50">H45/B45*100</f>
        <v>103.46455306032584</v>
      </c>
      <c r="T45" s="166"/>
      <c r="U45" s="7"/>
    </row>
    <row r="46" spans="2:21" ht="12.75">
      <c r="B46" s="20">
        <v>20</v>
      </c>
      <c r="C46" s="29"/>
      <c r="D46" s="29"/>
      <c r="E46" s="71"/>
      <c r="F46" s="83"/>
      <c r="G46" s="83"/>
      <c r="H46" s="85"/>
      <c r="I46" s="92"/>
      <c r="J46" s="92"/>
      <c r="K46" s="85"/>
      <c r="T46" s="88" t="s">
        <v>71</v>
      </c>
      <c r="U46" s="7">
        <v>567.75</v>
      </c>
    </row>
    <row r="47" spans="2:21" ht="12.75">
      <c r="B47" s="20">
        <v>30</v>
      </c>
      <c r="C47" s="29"/>
      <c r="D47" s="29"/>
      <c r="E47" s="71"/>
      <c r="F47" s="83"/>
      <c r="G47" s="83"/>
      <c r="H47" s="85"/>
      <c r="I47" s="92"/>
      <c r="J47" s="92"/>
      <c r="K47" s="85"/>
      <c r="T47" s="88" t="s">
        <v>70</v>
      </c>
      <c r="U47" s="7">
        <v>-2393.7</v>
      </c>
    </row>
    <row r="48" spans="2:11" ht="12.75">
      <c r="B48" s="20">
        <v>50</v>
      </c>
      <c r="C48" s="29">
        <v>32309</v>
      </c>
      <c r="D48" s="29">
        <v>15711</v>
      </c>
      <c r="E48" s="71">
        <f>AVERAGE(C48,D48)</f>
        <v>24010</v>
      </c>
      <c r="F48" s="83">
        <f>(C48+2393.7)/567.75</f>
        <v>61.12320563628357</v>
      </c>
      <c r="G48" s="83">
        <f>(D48+2393.7)/567.75</f>
        <v>31.8885072655218</v>
      </c>
      <c r="H48" s="85">
        <f>AVERAGE(F48,G48)</f>
        <v>46.505856450902684</v>
      </c>
      <c r="I48" s="92">
        <f t="shared" si="7"/>
        <v>122.24641127256714</v>
      </c>
      <c r="J48" s="92">
        <f t="shared" si="8"/>
        <v>63.7770145310436</v>
      </c>
      <c r="K48" s="85">
        <f t="shared" si="9"/>
        <v>93.01171290180537</v>
      </c>
    </row>
    <row r="49" spans="2:11" ht="12.75">
      <c r="B49" s="20">
        <v>75</v>
      </c>
      <c r="C49" s="29"/>
      <c r="D49" s="29"/>
      <c r="E49" s="71"/>
      <c r="F49" s="83"/>
      <c r="G49" s="83"/>
      <c r="H49" s="85"/>
      <c r="I49" s="92"/>
      <c r="J49" s="92"/>
      <c r="K49" s="85"/>
    </row>
    <row r="50" spans="2:11" ht="13.5" thickBot="1">
      <c r="B50" s="21">
        <v>100</v>
      </c>
      <c r="C50" s="30">
        <v>72867</v>
      </c>
      <c r="D50" s="30">
        <v>37755</v>
      </c>
      <c r="E50" s="72">
        <f>AVERAGE(C50,D50)</f>
        <v>55311</v>
      </c>
      <c r="F50" s="86">
        <f>(C50+2393.7)/567.75</f>
        <v>132.55957727873184</v>
      </c>
      <c r="G50" s="86">
        <f>(D50+2393.7)/567.75</f>
        <v>70.71545574636724</v>
      </c>
      <c r="H50" s="87">
        <f>AVERAGE(F50,G50)</f>
        <v>101.63751651254954</v>
      </c>
      <c r="I50" s="92">
        <f t="shared" si="7"/>
        <v>132.55957727873184</v>
      </c>
      <c r="J50" s="92">
        <f t="shared" si="8"/>
        <v>70.71545574636724</v>
      </c>
      <c r="K50" s="85">
        <f t="shared" si="9"/>
        <v>101.63751651254952</v>
      </c>
    </row>
    <row r="53" ht="12.75">
      <c r="I53" s="88"/>
    </row>
    <row r="60" ht="12.75">
      <c r="B60" s="53" t="s">
        <v>30</v>
      </c>
    </row>
    <row r="61" spans="2:11" ht="12.75">
      <c r="B61" s="90" t="s">
        <v>31</v>
      </c>
      <c r="C61" s="39" t="s">
        <v>45</v>
      </c>
      <c r="D61" s="39" t="s">
        <v>47</v>
      </c>
      <c r="E61" s="39" t="s">
        <v>31</v>
      </c>
      <c r="F61" s="39" t="s">
        <v>12</v>
      </c>
      <c r="G61" s="39" t="s">
        <v>12</v>
      </c>
      <c r="H61" s="39" t="s">
        <v>12</v>
      </c>
      <c r="I61" s="39" t="s">
        <v>12</v>
      </c>
      <c r="J61" s="39" t="s">
        <v>12</v>
      </c>
      <c r="K61" s="39" t="s">
        <v>12</v>
      </c>
    </row>
    <row r="62" spans="2:11" ht="12.75">
      <c r="B62" s="2" t="s">
        <v>5</v>
      </c>
      <c r="C62" s="22" t="s">
        <v>6</v>
      </c>
      <c r="D62" s="41" t="s">
        <v>7</v>
      </c>
      <c r="E62" s="89" t="s">
        <v>33</v>
      </c>
      <c r="F62" s="22" t="s">
        <v>37</v>
      </c>
      <c r="G62" s="22" t="s">
        <v>32</v>
      </c>
      <c r="H62" s="63" t="s">
        <v>33</v>
      </c>
      <c r="I62" s="22" t="s">
        <v>37</v>
      </c>
      <c r="J62" s="22" t="s">
        <v>32</v>
      </c>
      <c r="K62" s="63" t="s">
        <v>33</v>
      </c>
    </row>
    <row r="63" spans="2:18" ht="12.75">
      <c r="B63" s="3" t="s">
        <v>8</v>
      </c>
      <c r="C63" s="23" t="s">
        <v>35</v>
      </c>
      <c r="D63" s="24" t="s">
        <v>35</v>
      </c>
      <c r="E63" s="66" t="s">
        <v>35</v>
      </c>
      <c r="F63" s="56" t="s">
        <v>38</v>
      </c>
      <c r="G63" s="56" t="s">
        <v>38</v>
      </c>
      <c r="H63" s="64" t="s">
        <v>38</v>
      </c>
      <c r="I63" s="23" t="s">
        <v>49</v>
      </c>
      <c r="J63" s="23" t="s">
        <v>49</v>
      </c>
      <c r="K63" s="66" t="s">
        <v>49</v>
      </c>
      <c r="R63" s="52"/>
    </row>
    <row r="64" spans="2:18" ht="12.75">
      <c r="B64" s="4"/>
      <c r="C64" s="14"/>
      <c r="D64" s="15"/>
      <c r="E64" s="61"/>
      <c r="F64" s="14"/>
      <c r="G64" s="54"/>
      <c r="H64" s="65"/>
      <c r="I64" s="54"/>
      <c r="J64" s="54"/>
      <c r="K64" s="65"/>
      <c r="R64" s="52"/>
    </row>
    <row r="65" spans="2:11" ht="12.75">
      <c r="B65" s="4">
        <v>0.5</v>
      </c>
      <c r="C65" s="13">
        <v>821</v>
      </c>
      <c r="D65" s="13">
        <v>573.2</v>
      </c>
      <c r="E65" s="61">
        <f>AVERAGE(C65,D65)</f>
        <v>697.1</v>
      </c>
      <c r="F65" s="77">
        <f>(C65+64.637)/1341.1</f>
        <v>0.660381030497353</v>
      </c>
      <c r="G65" s="77">
        <f>(D65+64.637)/1341.1</f>
        <v>0.47560733726045784</v>
      </c>
      <c r="H65" s="78">
        <f>AVERAGE(F65,G65)</f>
        <v>0.5679941838789054</v>
      </c>
      <c r="I65" s="79">
        <f>F65/B65*100</f>
        <v>132.0762060994706</v>
      </c>
      <c r="J65" s="79">
        <f>G65/B65*100</f>
        <v>95.12146745209157</v>
      </c>
      <c r="K65" s="78">
        <f>H65/B65*100</f>
        <v>113.59883677578108</v>
      </c>
    </row>
    <row r="66" spans="2:11" ht="12.75">
      <c r="B66" s="4">
        <v>1</v>
      </c>
      <c r="C66" s="13">
        <v>1223</v>
      </c>
      <c r="D66" s="15">
        <v>1260</v>
      </c>
      <c r="E66" s="61">
        <f>AVERAGE(C66,D66)</f>
        <v>1241.5</v>
      </c>
      <c r="F66" s="77">
        <f aca="true" t="shared" si="10" ref="F66:F73">(C66+64.637)/1341.1</f>
        <v>0.9601349638356573</v>
      </c>
      <c r="G66" s="77">
        <f aca="true" t="shared" si="11" ref="G66:G73">(D66+64.637)/1341.1</f>
        <v>0.9877242562075909</v>
      </c>
      <c r="H66" s="78">
        <f>AVERAGE(F66,G66)</f>
        <v>0.9739296100216241</v>
      </c>
      <c r="I66" s="79">
        <f aca="true" t="shared" si="12" ref="I66:I73">F66/B66*100</f>
        <v>96.01349638356574</v>
      </c>
      <c r="J66" s="79">
        <f aca="true" t="shared" si="13" ref="J66:J73">G66/B66*100</f>
        <v>98.77242562075908</v>
      </c>
      <c r="K66" s="78">
        <f aca="true" t="shared" si="14" ref="K66:K73">H66/B66*100</f>
        <v>97.39296100216241</v>
      </c>
    </row>
    <row r="67" spans="2:11" ht="12.75">
      <c r="B67" s="4">
        <v>5</v>
      </c>
      <c r="C67" s="17">
        <v>6319</v>
      </c>
      <c r="D67" s="18">
        <v>5932</v>
      </c>
      <c r="E67" s="61">
        <f>AVERAGE(C67,D67)</f>
        <v>6125.5</v>
      </c>
      <c r="F67" s="77">
        <f t="shared" si="10"/>
        <v>4.7600007456565505</v>
      </c>
      <c r="G67" s="77">
        <f t="shared" si="11"/>
        <v>4.471431660577139</v>
      </c>
      <c r="H67" s="78">
        <f>AVERAGE(F67,G67)</f>
        <v>4.615716203116845</v>
      </c>
      <c r="I67" s="79">
        <f t="shared" si="12"/>
        <v>95.20001491313101</v>
      </c>
      <c r="J67" s="79">
        <f t="shared" si="13"/>
        <v>89.42863321154277</v>
      </c>
      <c r="K67" s="78">
        <f t="shared" si="14"/>
        <v>92.31432406233691</v>
      </c>
    </row>
    <row r="68" spans="2:11" ht="12.75">
      <c r="B68" s="4">
        <v>10</v>
      </c>
      <c r="C68" s="17">
        <v>13062</v>
      </c>
      <c r="D68" s="18">
        <v>13964</v>
      </c>
      <c r="E68" s="61">
        <f>AVERAGE(C68,D68)</f>
        <v>13513</v>
      </c>
      <c r="F68" s="77">
        <f t="shared" si="10"/>
        <v>9.787962866303781</v>
      </c>
      <c r="G68" s="77">
        <f t="shared" si="11"/>
        <v>10.460545074938484</v>
      </c>
      <c r="H68" s="78">
        <f>AVERAGE(F68,G68)</f>
        <v>10.124253970621133</v>
      </c>
      <c r="I68" s="79">
        <f t="shared" si="12"/>
        <v>97.8796286630378</v>
      </c>
      <c r="J68" s="79">
        <f t="shared" si="13"/>
        <v>104.60545074938483</v>
      </c>
      <c r="K68" s="78">
        <f t="shared" si="14"/>
        <v>101.24253970621133</v>
      </c>
    </row>
    <row r="69" spans="2:11" ht="12.75">
      <c r="B69" s="4">
        <v>20</v>
      </c>
      <c r="C69" s="17"/>
      <c r="D69" s="18"/>
      <c r="E69" s="61"/>
      <c r="F69" s="77"/>
      <c r="G69" s="77"/>
      <c r="H69" s="78"/>
      <c r="I69" s="79"/>
      <c r="J69" s="79"/>
      <c r="K69" s="78"/>
    </row>
    <row r="70" spans="2:21" ht="12.75">
      <c r="B70" s="4">
        <v>30</v>
      </c>
      <c r="C70" s="17"/>
      <c r="D70" s="18"/>
      <c r="E70" s="61"/>
      <c r="F70" s="77"/>
      <c r="G70" s="77"/>
      <c r="H70" s="78"/>
      <c r="I70" s="79"/>
      <c r="J70" s="79"/>
      <c r="K70" s="78"/>
      <c r="T70" s="88" t="s">
        <v>71</v>
      </c>
      <c r="U70">
        <v>1341.1</v>
      </c>
    </row>
    <row r="71" spans="2:21" ht="12.75">
      <c r="B71" s="4">
        <v>50</v>
      </c>
      <c r="C71" s="17">
        <v>61973</v>
      </c>
      <c r="D71" s="18">
        <v>62323</v>
      </c>
      <c r="E71" s="61">
        <f>AVERAGE(C71,D71)</f>
        <v>62148</v>
      </c>
      <c r="F71" s="77">
        <f t="shared" si="10"/>
        <v>46.25877041234808</v>
      </c>
      <c r="G71" s="77">
        <f t="shared" si="11"/>
        <v>46.51975020505556</v>
      </c>
      <c r="H71" s="78">
        <f>AVERAGE(F71,G71)</f>
        <v>46.38926030870182</v>
      </c>
      <c r="I71" s="79">
        <f t="shared" si="12"/>
        <v>92.51754082469616</v>
      </c>
      <c r="J71" s="79">
        <f t="shared" si="13"/>
        <v>93.03950041011112</v>
      </c>
      <c r="K71" s="78">
        <f t="shared" si="14"/>
        <v>92.77852061740364</v>
      </c>
      <c r="T71" s="88" t="s">
        <v>70</v>
      </c>
      <c r="U71">
        <v>-64.637</v>
      </c>
    </row>
    <row r="72" spans="2:11" ht="12.75">
      <c r="B72" s="4">
        <v>75</v>
      </c>
      <c r="C72" s="17">
        <v>110553</v>
      </c>
      <c r="D72" s="18">
        <v>112121</v>
      </c>
      <c r="E72" s="61">
        <f>AVERAGE(C72,D72)</f>
        <v>111337</v>
      </c>
      <c r="F72" s="77">
        <f t="shared" si="10"/>
        <v>82.48276564014616</v>
      </c>
      <c r="G72" s="77">
        <f t="shared" si="11"/>
        <v>83.65195511147566</v>
      </c>
      <c r="H72" s="78">
        <f>AVERAGE(F72,G72)</f>
        <v>83.0673603758109</v>
      </c>
      <c r="I72" s="79">
        <f t="shared" si="12"/>
        <v>109.9770208535282</v>
      </c>
      <c r="J72" s="79">
        <f t="shared" si="13"/>
        <v>111.53594014863421</v>
      </c>
      <c r="K72" s="78">
        <f t="shared" si="14"/>
        <v>110.7564805010812</v>
      </c>
    </row>
    <row r="73" spans="2:11" ht="13.5" thickBot="1">
      <c r="B73" s="5">
        <v>100</v>
      </c>
      <c r="C73" s="19">
        <v>123580</v>
      </c>
      <c r="D73" s="19">
        <v>133143</v>
      </c>
      <c r="E73" s="67">
        <f>AVERAGE(C73,D73)</f>
        <v>128361.5</v>
      </c>
      <c r="F73" s="77">
        <f t="shared" si="10"/>
        <v>92.19643352471853</v>
      </c>
      <c r="G73" s="77">
        <f t="shared" si="11"/>
        <v>99.32714711803743</v>
      </c>
      <c r="H73" s="82">
        <f>AVERAGE(F73,G73)</f>
        <v>95.76179032137799</v>
      </c>
      <c r="I73" s="79">
        <f t="shared" si="12"/>
        <v>92.19643352471853</v>
      </c>
      <c r="J73" s="79">
        <f t="shared" si="13"/>
        <v>99.32714711803743</v>
      </c>
      <c r="K73" s="78">
        <f t="shared" si="14"/>
        <v>95.76179032137799</v>
      </c>
    </row>
    <row r="76" spans="1:11" ht="12.75">
      <c r="A76" t="s">
        <v>20</v>
      </c>
      <c r="B76" s="90" t="s">
        <v>11</v>
      </c>
      <c r="C76" s="40" t="s">
        <v>46</v>
      </c>
      <c r="D76" s="40" t="s">
        <v>48</v>
      </c>
      <c r="E76" s="40" t="s">
        <v>11</v>
      </c>
      <c r="F76" s="40" t="s">
        <v>11</v>
      </c>
      <c r="G76" s="40" t="s">
        <v>11</v>
      </c>
      <c r="H76" s="40" t="s">
        <v>11</v>
      </c>
      <c r="I76" s="40" t="s">
        <v>11</v>
      </c>
      <c r="J76" s="40" t="s">
        <v>11</v>
      </c>
      <c r="K76" s="40" t="s">
        <v>11</v>
      </c>
    </row>
    <row r="77" spans="2:11" ht="12.75">
      <c r="B77" s="2" t="s">
        <v>5</v>
      </c>
      <c r="C77" s="42" t="s">
        <v>24</v>
      </c>
      <c r="D77" s="42" t="s">
        <v>25</v>
      </c>
      <c r="E77" s="68" t="s">
        <v>33</v>
      </c>
      <c r="F77" s="42" t="s">
        <v>37</v>
      </c>
      <c r="G77" s="42" t="s">
        <v>32</v>
      </c>
      <c r="H77" s="68" t="s">
        <v>33</v>
      </c>
      <c r="I77" s="42" t="s">
        <v>37</v>
      </c>
      <c r="J77" s="42" t="s">
        <v>32</v>
      </c>
      <c r="K77" s="68" t="s">
        <v>33</v>
      </c>
    </row>
    <row r="78" spans="2:11" ht="12.75">
      <c r="B78" s="3" t="s">
        <v>8</v>
      </c>
      <c r="C78" s="28" t="s">
        <v>35</v>
      </c>
      <c r="D78" s="28" t="s">
        <v>35</v>
      </c>
      <c r="E78" s="69" t="s">
        <v>35</v>
      </c>
      <c r="F78" s="35" t="s">
        <v>38</v>
      </c>
      <c r="G78" s="35" t="s">
        <v>38</v>
      </c>
      <c r="H78" s="73" t="s">
        <v>38</v>
      </c>
      <c r="I78" s="28" t="s">
        <v>49</v>
      </c>
      <c r="J78" s="28" t="s">
        <v>49</v>
      </c>
      <c r="K78" s="69" t="s">
        <v>49</v>
      </c>
    </row>
    <row r="79" spans="2:11" ht="12.75">
      <c r="B79" s="4"/>
      <c r="C79" s="29"/>
      <c r="D79" s="29"/>
      <c r="E79" s="75"/>
      <c r="F79" s="36"/>
      <c r="G79" s="37"/>
      <c r="H79" s="70"/>
      <c r="I79" s="37"/>
      <c r="J79" s="37"/>
      <c r="K79" s="70"/>
    </row>
    <row r="80" spans="2:11" ht="12.75">
      <c r="B80" s="4">
        <v>0.5</v>
      </c>
      <c r="C80" s="29"/>
      <c r="D80" s="29"/>
      <c r="E80" s="76"/>
      <c r="F80" s="29"/>
      <c r="G80" s="34"/>
      <c r="H80" s="71"/>
      <c r="I80" s="34"/>
      <c r="J80" s="34"/>
      <c r="K80" s="71"/>
    </row>
    <row r="81" spans="2:11" ht="12.75">
      <c r="B81" s="4">
        <v>1</v>
      </c>
      <c r="C81" s="29"/>
      <c r="D81" s="29"/>
      <c r="E81" s="76"/>
      <c r="F81" s="29"/>
      <c r="G81" s="34"/>
      <c r="H81" s="71"/>
      <c r="I81" s="34"/>
      <c r="J81" s="34"/>
      <c r="K81" s="71"/>
    </row>
    <row r="82" spans="2:11" ht="12.75">
      <c r="B82" s="4">
        <v>5</v>
      </c>
      <c r="C82" s="29">
        <v>1079</v>
      </c>
      <c r="D82" s="29">
        <v>1839</v>
      </c>
      <c r="E82" s="76">
        <f>AVERAGE(D82,C82)</f>
        <v>1459</v>
      </c>
      <c r="F82" s="29">
        <f>(C82+2236.5)/538.79</f>
        <v>6.153603444755842</v>
      </c>
      <c r="G82" s="29">
        <f aca="true" t="shared" si="15" ref="G82:H88">(D82+2236.5)/538.79</f>
        <v>7.564171569628241</v>
      </c>
      <c r="H82" s="76">
        <f t="shared" si="15"/>
        <v>6.858887507192042</v>
      </c>
      <c r="I82" s="34">
        <f>F82/B82*100</f>
        <v>123.07206889511684</v>
      </c>
      <c r="J82" s="34">
        <f>G82/B82*100</f>
        <v>151.28343139256484</v>
      </c>
      <c r="K82" s="71">
        <f>H82/B82*100</f>
        <v>137.17775014384083</v>
      </c>
    </row>
    <row r="83" spans="2:11" ht="12.75">
      <c r="B83" s="4">
        <v>10</v>
      </c>
      <c r="C83" s="29">
        <v>2116</v>
      </c>
      <c r="D83" s="29">
        <v>4095</v>
      </c>
      <c r="E83" s="76">
        <f>AVERAGE(D83,C83)</f>
        <v>3105.5</v>
      </c>
      <c r="F83" s="29">
        <f aca="true" t="shared" si="16" ref="F83:F88">(C83+2236.5)/538.79</f>
        <v>8.078286530930418</v>
      </c>
      <c r="G83" s="29">
        <f t="shared" si="15"/>
        <v>11.751331687670522</v>
      </c>
      <c r="H83" s="76">
        <f t="shared" si="15"/>
        <v>9.91480910930047</v>
      </c>
      <c r="I83" s="34">
        <f aca="true" t="shared" si="17" ref="I83:I88">F83/B83*100</f>
        <v>80.78286530930419</v>
      </c>
      <c r="J83" s="34">
        <f aca="true" t="shared" si="18" ref="J83:J88">G83/B83*100</f>
        <v>117.5133168767052</v>
      </c>
      <c r="K83" s="71">
        <f aca="true" t="shared" si="19" ref="K83:K88">H83/B83*100</f>
        <v>99.14809109300471</v>
      </c>
    </row>
    <row r="84" spans="2:11" ht="12.75">
      <c r="B84" s="4">
        <v>20</v>
      </c>
      <c r="C84" s="29"/>
      <c r="D84" s="29"/>
      <c r="E84" s="76"/>
      <c r="F84" s="29"/>
      <c r="G84" s="29"/>
      <c r="H84" s="76"/>
      <c r="I84" s="34"/>
      <c r="J84" s="34"/>
      <c r="K84" s="71"/>
    </row>
    <row r="85" spans="2:11" ht="12.75">
      <c r="B85" s="4">
        <v>30</v>
      </c>
      <c r="C85" s="29"/>
      <c r="D85" s="29"/>
      <c r="E85" s="76"/>
      <c r="F85" s="29"/>
      <c r="G85" s="29"/>
      <c r="H85" s="76"/>
      <c r="I85" s="34"/>
      <c r="J85" s="34"/>
      <c r="K85" s="71"/>
    </row>
    <row r="86" spans="2:21" ht="12.75">
      <c r="B86" s="4">
        <v>50</v>
      </c>
      <c r="C86" s="29">
        <v>12122</v>
      </c>
      <c r="D86" s="29">
        <v>33643</v>
      </c>
      <c r="E86" s="76">
        <f>AVERAGE(D86,C86)</f>
        <v>22882.5</v>
      </c>
      <c r="F86" s="29">
        <f t="shared" si="16"/>
        <v>26.64952950128993</v>
      </c>
      <c r="G86" s="29">
        <f t="shared" si="15"/>
        <v>66.59273557415692</v>
      </c>
      <c r="H86" s="76">
        <f t="shared" si="15"/>
        <v>46.62113253772342</v>
      </c>
      <c r="I86" s="34">
        <f t="shared" si="17"/>
        <v>53.29905900257986</v>
      </c>
      <c r="J86" s="34">
        <f t="shared" si="18"/>
        <v>133.18547114831384</v>
      </c>
      <c r="K86" s="71">
        <f t="shared" si="19"/>
        <v>93.24226507544684</v>
      </c>
      <c r="T86" s="88" t="s">
        <v>71</v>
      </c>
      <c r="U86">
        <v>538.79</v>
      </c>
    </row>
    <row r="87" spans="2:21" ht="12.75">
      <c r="B87" s="4">
        <v>75</v>
      </c>
      <c r="C87" s="29"/>
      <c r="D87" s="27"/>
      <c r="E87" s="76"/>
      <c r="F87" s="29"/>
      <c r="G87" s="29"/>
      <c r="H87" s="76"/>
      <c r="I87" s="34"/>
      <c r="J87" s="34"/>
      <c r="K87" s="71"/>
      <c r="T87" s="88" t="s">
        <v>70</v>
      </c>
      <c r="U87">
        <v>-2236.5</v>
      </c>
    </row>
    <row r="88" spans="2:11" ht="13.5" thickBot="1">
      <c r="B88" s="5">
        <v>100</v>
      </c>
      <c r="C88" s="30">
        <v>33121</v>
      </c>
      <c r="D88" s="30">
        <v>71893</v>
      </c>
      <c r="E88" s="72">
        <f>AVERAGE(D88,C88)</f>
        <v>52507</v>
      </c>
      <c r="F88" s="38">
        <f t="shared" si="16"/>
        <v>65.62389799365245</v>
      </c>
      <c r="G88" s="38">
        <f t="shared" si="15"/>
        <v>137.58514449043227</v>
      </c>
      <c r="H88" s="74">
        <f t="shared" si="15"/>
        <v>101.60452124204237</v>
      </c>
      <c r="I88" s="34">
        <f t="shared" si="17"/>
        <v>65.62389799365245</v>
      </c>
      <c r="J88" s="34">
        <f t="shared" si="18"/>
        <v>137.58514449043227</v>
      </c>
      <c r="K88" s="71">
        <f t="shared" si="19"/>
        <v>101.60452124204235</v>
      </c>
    </row>
    <row r="99" spans="15:18" ht="12.75">
      <c r="O99" s="7"/>
      <c r="P99" s="43"/>
      <c r="Q99" s="31"/>
      <c r="R99" s="7"/>
    </row>
    <row r="111" ht="12.75">
      <c r="K111" s="31"/>
    </row>
    <row r="125" spans="12:14" ht="12.75">
      <c r="L125" s="31"/>
      <c r="M125" s="31"/>
      <c r="N125" s="31"/>
    </row>
  </sheetData>
  <sheetProtection/>
  <printOptions/>
  <pageMargins left="0.75" right="0.75" top="1" bottom="1" header="0.5" footer="0.5"/>
  <pageSetup fitToHeight="2" horizontalDpi="600" verticalDpi="600" orientation="portrait" scale="8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8"/>
  <sheetViews>
    <sheetView zoomScalePageLayoutView="0" workbookViewId="0" topLeftCell="A4">
      <selection activeCell="A1" sqref="A1"/>
    </sheetView>
  </sheetViews>
  <sheetFormatPr defaultColWidth="9.140625" defaultRowHeight="12.75"/>
  <cols>
    <col min="2" max="2" width="23.8515625" style="0" customWidth="1"/>
    <col min="3" max="3" width="9.00390625" style="0" customWidth="1"/>
    <col min="4" max="4" width="13.00390625" style="0" customWidth="1"/>
    <col min="5" max="5" width="13.7109375" style="0" customWidth="1"/>
    <col min="6" max="6" width="16.421875" style="0" customWidth="1"/>
    <col min="7" max="7" width="13.7109375" style="0" customWidth="1"/>
    <col min="8" max="8" width="20.57421875" style="0" customWidth="1"/>
    <col min="9" max="9" width="18.28125" style="0" customWidth="1"/>
    <col min="10" max="12" width="13.7109375" style="0" customWidth="1"/>
    <col min="13" max="13" width="19.28125" style="0" customWidth="1"/>
    <col min="14" max="14" width="23.421875" style="0" customWidth="1"/>
    <col min="15" max="16" width="13.7109375" style="0" customWidth="1"/>
    <col min="17" max="17" width="23.7109375" style="0" customWidth="1"/>
    <col min="18" max="18" width="8.140625" style="0" customWidth="1"/>
    <col min="19" max="25" width="13.7109375" style="0" customWidth="1"/>
    <col min="26" max="26" width="14.00390625" style="0" customWidth="1"/>
    <col min="27" max="27" width="17.8515625" style="0" customWidth="1"/>
    <col min="28" max="28" width="17.57421875" style="0" customWidth="1"/>
    <col min="29" max="29" width="18.8515625" style="0" customWidth="1"/>
    <col min="30" max="30" width="16.421875" style="0" customWidth="1"/>
    <col min="31" max="31" width="23.140625" style="0" customWidth="1"/>
    <col min="32" max="37" width="13.7109375" style="0" customWidth="1"/>
  </cols>
  <sheetData>
    <row r="1" spans="1:28" ht="12.75">
      <c r="A1" s="187" t="s">
        <v>209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37" ht="12.75">
      <c r="A2" s="1"/>
      <c r="B2" s="1"/>
      <c r="C2" s="1"/>
      <c r="D2" s="1"/>
      <c r="E2" s="1"/>
      <c r="F2" s="1"/>
      <c r="G2" s="1"/>
      <c r="H2" s="1"/>
      <c r="T2" s="148"/>
      <c r="AD2" s="7"/>
      <c r="AE2" s="124"/>
      <c r="AF2" s="124"/>
      <c r="AG2" s="124"/>
      <c r="AH2" s="124"/>
      <c r="AI2" s="124"/>
      <c r="AJ2" s="124"/>
      <c r="AK2" s="7"/>
    </row>
    <row r="3" spans="1:37" ht="12.75">
      <c r="A3" s="1" t="s">
        <v>110</v>
      </c>
      <c r="B3" s="1"/>
      <c r="C3" s="1"/>
      <c r="D3" s="1"/>
      <c r="E3" s="1"/>
      <c r="F3" s="1"/>
      <c r="G3" s="1"/>
      <c r="H3" s="1"/>
      <c r="N3" s="116"/>
      <c r="O3" s="116"/>
      <c r="P3" s="116"/>
      <c r="Q3" s="116"/>
      <c r="R3" s="116"/>
      <c r="S3" s="7"/>
      <c r="T3" s="14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24"/>
      <c r="AF3" s="124"/>
      <c r="AG3" s="124"/>
      <c r="AH3" s="124"/>
      <c r="AI3" s="124"/>
      <c r="AJ3" s="124"/>
      <c r="AK3" s="7"/>
    </row>
    <row r="4" spans="1:8" ht="12.75">
      <c r="A4" s="187" t="s">
        <v>91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 t="s">
        <v>110</v>
      </c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8.75">
      <c r="A8" s="1" t="s">
        <v>169</v>
      </c>
      <c r="B8" s="1"/>
      <c r="C8" s="1"/>
      <c r="D8" s="1"/>
      <c r="E8" s="1"/>
      <c r="F8" s="217" t="s">
        <v>131</v>
      </c>
      <c r="G8" s="217"/>
      <c r="H8" s="216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 t="s">
        <v>111</v>
      </c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2:11" ht="12.75">
      <c r="B12" s="1" t="s">
        <v>0</v>
      </c>
      <c r="C12" t="s">
        <v>13</v>
      </c>
      <c r="G12" s="1"/>
      <c r="H12" s="12"/>
      <c r="K12" s="12"/>
    </row>
    <row r="13" spans="2:11" ht="12.75">
      <c r="B13" s="1" t="s">
        <v>2</v>
      </c>
      <c r="C13" s="221" t="s">
        <v>175</v>
      </c>
      <c r="G13" s="1" t="s">
        <v>3</v>
      </c>
      <c r="H13" t="s">
        <v>14</v>
      </c>
      <c r="J13" s="1" t="s">
        <v>4</v>
      </c>
      <c r="K13" t="s">
        <v>23</v>
      </c>
    </row>
    <row r="14" spans="2:6" ht="12.75">
      <c r="B14" s="1" t="s">
        <v>126</v>
      </c>
      <c r="C14" s="7" t="s">
        <v>127</v>
      </c>
      <c r="D14" s="7"/>
      <c r="E14" s="7"/>
      <c r="F14" s="7"/>
    </row>
    <row r="15" ht="12.75">
      <c r="B15" s="1"/>
    </row>
    <row r="17" ht="12.75">
      <c r="B17" s="1" t="s">
        <v>92</v>
      </c>
    </row>
    <row r="18" spans="2:3" ht="12.75">
      <c r="B18" s="1" t="s">
        <v>53</v>
      </c>
      <c r="C18" s="221" t="s">
        <v>198</v>
      </c>
    </row>
    <row r="19" spans="2:4" ht="12.75">
      <c r="B19" s="1" t="s">
        <v>54</v>
      </c>
      <c r="D19" t="s">
        <v>55</v>
      </c>
    </row>
    <row r="22" spans="2:7" ht="12.75">
      <c r="B22" s="221"/>
      <c r="C22" s="221"/>
      <c r="D22" s="221"/>
      <c r="E22" s="221"/>
      <c r="F22" s="221"/>
      <c r="G22" s="221"/>
    </row>
    <row r="24" spans="2:10" ht="12.75">
      <c r="B24" s="123"/>
      <c r="C24" s="127"/>
      <c r="D24" s="31"/>
      <c r="E24" s="31"/>
      <c r="F24" s="31"/>
      <c r="G24" s="128"/>
      <c r="H24" s="7"/>
      <c r="I24" s="43"/>
      <c r="J24" s="31"/>
    </row>
    <row r="25" spans="1:9" ht="15.75">
      <c r="A25" s="218" t="s">
        <v>93</v>
      </c>
      <c r="B25" s="219" t="s">
        <v>130</v>
      </c>
      <c r="C25" s="219"/>
      <c r="D25" s="219"/>
      <c r="E25" s="219"/>
      <c r="F25" s="219"/>
      <c r="G25" s="219"/>
      <c r="H25" s="219"/>
      <c r="I25" s="220"/>
    </row>
    <row r="26" spans="1:2" ht="15">
      <c r="A26" s="215" t="s">
        <v>50</v>
      </c>
      <c r="B26" s="214"/>
    </row>
    <row r="27" spans="10:26" ht="15.75">
      <c r="J27" s="258" t="s">
        <v>140</v>
      </c>
      <c r="K27" s="258"/>
      <c r="L27" s="258"/>
      <c r="M27" s="258"/>
      <c r="N27" s="258"/>
      <c r="O27" s="258"/>
      <c r="P27" s="258"/>
      <c r="Q27" s="258"/>
      <c r="R27" s="256"/>
      <c r="S27" s="256"/>
      <c r="T27" s="256"/>
      <c r="U27" s="256"/>
      <c r="V27" s="256"/>
      <c r="W27" s="256"/>
      <c r="X27" s="256"/>
      <c r="Y27" s="256"/>
      <c r="Z27" s="256"/>
    </row>
    <row r="28" spans="1:26" ht="15.75">
      <c r="A28" s="215" t="s">
        <v>72</v>
      </c>
      <c r="B28" s="215"/>
      <c r="C28" s="215"/>
      <c r="D28" s="215"/>
      <c r="J28" s="258" t="s">
        <v>195</v>
      </c>
      <c r="K28" s="258"/>
      <c r="L28" s="258"/>
      <c r="M28" s="258"/>
      <c r="N28" s="258"/>
      <c r="O28" s="258"/>
      <c r="P28" s="258"/>
      <c r="Q28" s="258"/>
      <c r="R28" s="256"/>
      <c r="S28" s="256"/>
      <c r="T28" s="256"/>
      <c r="U28" s="256"/>
      <c r="V28" s="256"/>
      <c r="W28" s="256"/>
      <c r="X28" s="256"/>
      <c r="Y28" s="256"/>
      <c r="Z28" s="256"/>
    </row>
    <row r="29" spans="1:26" ht="15.75">
      <c r="A29" s="215" t="s">
        <v>73</v>
      </c>
      <c r="B29" s="215"/>
      <c r="C29" s="215"/>
      <c r="D29" s="215"/>
      <c r="E29" s="31" t="s">
        <v>120</v>
      </c>
      <c r="F29" s="31"/>
      <c r="G29" s="128"/>
      <c r="H29" s="7"/>
      <c r="I29" s="347" t="s">
        <v>196</v>
      </c>
      <c r="J29" s="259" t="s">
        <v>193</v>
      </c>
      <c r="K29" s="260"/>
      <c r="L29" s="258"/>
      <c r="M29" s="258"/>
      <c r="N29" s="258"/>
      <c r="O29" s="258"/>
      <c r="P29" s="258"/>
      <c r="Q29" s="258"/>
      <c r="R29" s="256"/>
      <c r="S29" s="256"/>
      <c r="T29" s="256"/>
      <c r="U29" s="256"/>
      <c r="V29" s="256"/>
      <c r="W29" s="256"/>
      <c r="X29" s="256"/>
      <c r="Y29" s="256"/>
      <c r="Z29" s="256"/>
    </row>
    <row r="30" spans="1:17" ht="15.75">
      <c r="A30" s="215" t="s">
        <v>201</v>
      </c>
      <c r="B30" s="215"/>
      <c r="C30" s="215"/>
      <c r="D30" s="215"/>
      <c r="E30" s="31" t="s">
        <v>121</v>
      </c>
      <c r="F30" s="31"/>
      <c r="G30" s="128"/>
      <c r="H30" s="7"/>
      <c r="J30" s="259" t="s">
        <v>194</v>
      </c>
      <c r="K30" s="260"/>
      <c r="L30" s="258"/>
      <c r="M30" s="258"/>
      <c r="N30" s="258"/>
      <c r="O30" s="258"/>
      <c r="P30" s="258"/>
      <c r="Q30" s="258"/>
    </row>
    <row r="31" spans="1:10" ht="15">
      <c r="A31" s="215" t="s">
        <v>203</v>
      </c>
      <c r="B31" s="215"/>
      <c r="C31" s="215"/>
      <c r="D31" s="215"/>
      <c r="E31" s="31" t="s">
        <v>125</v>
      </c>
      <c r="F31" s="31"/>
      <c r="G31" s="128"/>
      <c r="H31" s="7"/>
      <c r="I31" s="43"/>
      <c r="J31" s="31"/>
    </row>
    <row r="32" spans="1:21" ht="15">
      <c r="A32" s="215" t="s">
        <v>90</v>
      </c>
      <c r="B32" s="215"/>
      <c r="C32" s="215"/>
      <c r="D32" s="215"/>
      <c r="E32" s="31"/>
      <c r="F32" s="31"/>
      <c r="G32" s="128"/>
      <c r="H32" s="7"/>
      <c r="I32" s="320" t="s">
        <v>143</v>
      </c>
      <c r="J32" s="321"/>
      <c r="K32" s="257"/>
      <c r="L32" s="257"/>
      <c r="M32" s="257"/>
      <c r="N32" s="257"/>
      <c r="O32" s="257"/>
      <c r="P32" s="257"/>
      <c r="Q32" s="257"/>
      <c r="R32" s="257"/>
      <c r="S32" s="257"/>
      <c r="T32" s="256"/>
      <c r="U32" s="256"/>
    </row>
    <row r="33" spans="1:21" ht="15">
      <c r="A33" s="215" t="s">
        <v>74</v>
      </c>
      <c r="B33" s="215"/>
      <c r="C33" s="215"/>
      <c r="D33" s="215"/>
      <c r="E33" s="31"/>
      <c r="F33" s="31"/>
      <c r="G33" s="128"/>
      <c r="H33" s="7"/>
      <c r="I33" s="320" t="s">
        <v>144</v>
      </c>
      <c r="J33" s="321"/>
      <c r="K33" s="257"/>
      <c r="L33" s="257"/>
      <c r="M33" s="257"/>
      <c r="N33" s="257"/>
      <c r="O33" s="257"/>
      <c r="P33" s="257"/>
      <c r="Q33" s="257"/>
      <c r="R33" s="257"/>
      <c r="S33" s="257"/>
      <c r="T33" s="256"/>
      <c r="U33" s="256"/>
    </row>
    <row r="34" spans="1:21" ht="15">
      <c r="A34" s="216" t="s">
        <v>135</v>
      </c>
      <c r="B34" s="216"/>
      <c r="C34" s="216"/>
      <c r="D34" s="216"/>
      <c r="E34" s="216"/>
      <c r="F34" s="216"/>
      <c r="G34" s="279"/>
      <c r="H34" s="241" t="s">
        <v>132</v>
      </c>
      <c r="I34" s="320" t="s">
        <v>176</v>
      </c>
      <c r="J34" s="321"/>
      <c r="K34" s="257" t="s">
        <v>132</v>
      </c>
      <c r="L34" s="257"/>
      <c r="M34" s="257"/>
      <c r="N34" s="257"/>
      <c r="O34" s="257"/>
      <c r="P34" s="257"/>
      <c r="Q34" s="257"/>
      <c r="R34" s="257"/>
      <c r="S34" s="257"/>
      <c r="T34" s="256"/>
      <c r="U34" s="256"/>
    </row>
    <row r="35" spans="5:14" ht="15">
      <c r="E35" s="31"/>
      <c r="F35" s="31"/>
      <c r="G35" s="128"/>
      <c r="H35" s="7"/>
      <c r="I35" s="320" t="s">
        <v>177</v>
      </c>
      <c r="J35" s="321"/>
      <c r="K35" s="257"/>
      <c r="L35" s="257"/>
      <c r="M35" s="257"/>
      <c r="N35" s="257"/>
    </row>
    <row r="36" spans="19:37" ht="12.75">
      <c r="S36" s="221" t="s">
        <v>132</v>
      </c>
      <c r="T36" s="224"/>
      <c r="Y36" s="148"/>
      <c r="Z36" s="148"/>
      <c r="AA36" s="148"/>
      <c r="AB36" s="148"/>
      <c r="AD36" s="124"/>
      <c r="AE36" s="7"/>
      <c r="AF36" s="7"/>
      <c r="AG36" s="7"/>
      <c r="AH36" s="7"/>
      <c r="AI36" s="7"/>
      <c r="AJ36" s="7"/>
      <c r="AK36" s="7"/>
    </row>
    <row r="37" spans="7:37" ht="15">
      <c r="G37" s="257" t="s">
        <v>142</v>
      </c>
      <c r="H37" s="257"/>
      <c r="I37" s="257"/>
      <c r="J37" s="257"/>
      <c r="K37" s="256"/>
      <c r="O37" s="148"/>
      <c r="S37" s="257" t="s">
        <v>141</v>
      </c>
      <c r="T37" s="257"/>
      <c r="U37" s="257"/>
      <c r="V37" s="257"/>
      <c r="W37" s="256"/>
      <c r="AD37" s="124"/>
      <c r="AE37" s="7"/>
      <c r="AF37" s="7"/>
      <c r="AG37" s="7"/>
      <c r="AH37" s="7"/>
      <c r="AI37" s="7"/>
      <c r="AJ37" s="7"/>
      <c r="AK37" s="7"/>
    </row>
    <row r="38" spans="2:37" ht="12.75">
      <c r="B38" s="47"/>
      <c r="C38" s="47"/>
      <c r="D38" s="181"/>
      <c r="E38" s="50" t="s">
        <v>0</v>
      </c>
      <c r="F38" s="103" t="s">
        <v>11</v>
      </c>
      <c r="G38" s="108" t="s">
        <v>11</v>
      </c>
      <c r="H38" s="103" t="s">
        <v>11</v>
      </c>
      <c r="I38" s="168" t="s">
        <v>11</v>
      </c>
      <c r="J38" s="169" t="s">
        <v>11</v>
      </c>
      <c r="K38" s="157" t="s">
        <v>68</v>
      </c>
      <c r="L38" s="158"/>
      <c r="M38" s="158"/>
      <c r="N38" s="155"/>
      <c r="O38" s="227"/>
      <c r="P38" s="227"/>
      <c r="Q38" s="47"/>
      <c r="R38" s="47"/>
      <c r="S38" s="48" t="s">
        <v>0</v>
      </c>
      <c r="T38" s="32"/>
      <c r="U38" s="134" t="s">
        <v>12</v>
      </c>
      <c r="V38" s="41" t="s">
        <v>12</v>
      </c>
      <c r="W38" s="125" t="s">
        <v>12</v>
      </c>
      <c r="X38" s="139" t="s">
        <v>12</v>
      </c>
      <c r="Y38" s="142" t="s">
        <v>61</v>
      </c>
      <c r="Z38" s="143"/>
      <c r="AA38" s="143"/>
      <c r="AB38" s="152"/>
      <c r="AD38" s="8"/>
      <c r="AE38" s="7"/>
      <c r="AF38" s="7"/>
      <c r="AG38" s="7"/>
      <c r="AH38" s="7"/>
      <c r="AI38" s="7"/>
      <c r="AJ38" s="7"/>
      <c r="AK38" s="7"/>
    </row>
    <row r="39" spans="2:37" ht="13.5" thickBot="1">
      <c r="B39" s="46"/>
      <c r="C39" s="46"/>
      <c r="D39" s="182"/>
      <c r="E39" s="51" t="s">
        <v>1</v>
      </c>
      <c r="F39" s="99" t="s">
        <v>5</v>
      </c>
      <c r="G39" s="108" t="s">
        <v>5</v>
      </c>
      <c r="H39" s="131" t="s">
        <v>57</v>
      </c>
      <c r="I39" s="42" t="s">
        <v>49</v>
      </c>
      <c r="J39" s="122" t="s">
        <v>49</v>
      </c>
      <c r="K39" s="121" t="s">
        <v>69</v>
      </c>
      <c r="L39" s="159" t="s">
        <v>63</v>
      </c>
      <c r="M39" s="159" t="s">
        <v>65</v>
      </c>
      <c r="N39" s="156" t="s">
        <v>139</v>
      </c>
      <c r="O39" s="228" t="s">
        <v>133</v>
      </c>
      <c r="P39" s="228" t="s">
        <v>134</v>
      </c>
      <c r="Q39" s="46"/>
      <c r="R39" s="46"/>
      <c r="S39" s="49" t="s">
        <v>1</v>
      </c>
      <c r="T39" s="55" t="s">
        <v>5</v>
      </c>
      <c r="U39" s="63" t="s">
        <v>5</v>
      </c>
      <c r="V39" s="132" t="s">
        <v>60</v>
      </c>
      <c r="W39" s="55" t="s">
        <v>49</v>
      </c>
      <c r="X39" s="140" t="s">
        <v>49</v>
      </c>
      <c r="Y39" s="151" t="s">
        <v>31</v>
      </c>
      <c r="Z39" s="144" t="s">
        <v>63</v>
      </c>
      <c r="AA39" s="144" t="s">
        <v>65</v>
      </c>
      <c r="AB39" s="153" t="s">
        <v>65</v>
      </c>
      <c r="AD39" s="8"/>
      <c r="AE39" s="7"/>
      <c r="AF39" s="7"/>
      <c r="AG39" s="7"/>
      <c r="AH39" s="7"/>
      <c r="AI39" s="7"/>
      <c r="AJ39" s="7"/>
      <c r="AK39" s="7"/>
    </row>
    <row r="40" spans="2:37" ht="13.5" thickBot="1">
      <c r="B40" s="9" t="s">
        <v>9</v>
      </c>
      <c r="C40" s="44" t="s">
        <v>10</v>
      </c>
      <c r="D40" s="183"/>
      <c r="E40" s="35" t="s">
        <v>26</v>
      </c>
      <c r="F40" s="28" t="s">
        <v>52</v>
      </c>
      <c r="G40" s="106" t="s">
        <v>51</v>
      </c>
      <c r="H40" s="104" t="s">
        <v>58</v>
      </c>
      <c r="I40" s="104"/>
      <c r="J40" s="106" t="s">
        <v>51</v>
      </c>
      <c r="K40" s="104" t="s">
        <v>62</v>
      </c>
      <c r="L40" s="104" t="s">
        <v>64</v>
      </c>
      <c r="M40" s="28" t="s">
        <v>66</v>
      </c>
      <c r="N40" s="106" t="s">
        <v>67</v>
      </c>
      <c r="O40" s="229"/>
      <c r="P40" s="229"/>
      <c r="Q40" s="9" t="s">
        <v>9</v>
      </c>
      <c r="R40" s="44" t="s">
        <v>10</v>
      </c>
      <c r="S40" s="45" t="s">
        <v>17</v>
      </c>
      <c r="T40" s="115" t="s">
        <v>59</v>
      </c>
      <c r="U40" s="66" t="s">
        <v>51</v>
      </c>
      <c r="V40" s="115" t="s">
        <v>58</v>
      </c>
      <c r="W40" s="115"/>
      <c r="X40" s="141" t="s">
        <v>51</v>
      </c>
      <c r="Y40" s="115" t="s">
        <v>62</v>
      </c>
      <c r="Z40" s="115" t="s">
        <v>64</v>
      </c>
      <c r="AA40" s="115" t="s">
        <v>66</v>
      </c>
      <c r="AB40" s="141" t="s">
        <v>136</v>
      </c>
      <c r="AC40" s="267" t="s">
        <v>133</v>
      </c>
      <c r="AD40" s="268" t="s">
        <v>134</v>
      </c>
      <c r="AE40" s="44" t="s">
        <v>9</v>
      </c>
      <c r="AF40" s="44" t="s">
        <v>10</v>
      </c>
      <c r="AG40" s="8"/>
      <c r="AH40" s="8"/>
      <c r="AI40" s="7"/>
      <c r="AJ40" s="7"/>
      <c r="AK40" s="7"/>
    </row>
    <row r="41" spans="2:37" ht="12.75">
      <c r="B41" s="4"/>
      <c r="C41" s="25"/>
      <c r="D41" s="184"/>
      <c r="E41" s="97"/>
      <c r="F41" s="100"/>
      <c r="G41" s="109"/>
      <c r="H41" s="100"/>
      <c r="I41" s="100"/>
      <c r="J41" s="109"/>
      <c r="K41" s="162"/>
      <c r="L41" s="162"/>
      <c r="M41" s="162"/>
      <c r="N41" s="160"/>
      <c r="O41" s="230"/>
      <c r="P41" s="230"/>
      <c r="Q41" s="4"/>
      <c r="R41" s="25"/>
      <c r="S41" s="96"/>
      <c r="T41" s="117"/>
      <c r="U41" s="135"/>
      <c r="V41" s="117"/>
      <c r="W41" s="117"/>
      <c r="X41" s="135"/>
      <c r="Y41" s="145"/>
      <c r="Z41" s="145"/>
      <c r="AA41" s="145"/>
      <c r="AB41" s="269"/>
      <c r="AC41" s="274"/>
      <c r="AD41" s="244"/>
      <c r="AE41" s="272"/>
      <c r="AF41" s="25"/>
      <c r="AG41" s="126"/>
      <c r="AH41" s="126"/>
      <c r="AI41" s="8"/>
      <c r="AJ41" s="8"/>
      <c r="AK41" s="8"/>
    </row>
    <row r="42" spans="2:37" ht="15">
      <c r="B42" s="112" t="s">
        <v>19</v>
      </c>
      <c r="C42" s="113">
        <v>0</v>
      </c>
      <c r="D42" s="185"/>
      <c r="E42" s="97" t="s">
        <v>28</v>
      </c>
      <c r="F42" s="102">
        <v>0</v>
      </c>
      <c r="G42" s="107">
        <v>0</v>
      </c>
      <c r="H42" s="175">
        <v>0</v>
      </c>
      <c r="I42" s="102"/>
      <c r="J42" s="107"/>
      <c r="K42" s="163">
        <f aca="true" t="shared" si="0" ref="K42:K57">F42</f>
        <v>0</v>
      </c>
      <c r="L42" s="164">
        <v>0.0017</v>
      </c>
      <c r="M42" s="163">
        <f aca="true" t="shared" si="1" ref="M42:M47">K42*1.7</f>
        <v>0</v>
      </c>
      <c r="N42" s="235">
        <f>AVERAGE(M42,M43)</f>
        <v>0</v>
      </c>
      <c r="O42" s="231">
        <v>0</v>
      </c>
      <c r="P42" s="238">
        <v>0</v>
      </c>
      <c r="Q42" s="112" t="s">
        <v>19</v>
      </c>
      <c r="R42" s="113">
        <v>0</v>
      </c>
      <c r="S42" s="94" t="s">
        <v>28</v>
      </c>
      <c r="T42" s="118">
        <v>0</v>
      </c>
      <c r="U42" s="136">
        <v>0</v>
      </c>
      <c r="V42" s="246">
        <v>0</v>
      </c>
      <c r="W42" s="118"/>
      <c r="X42" s="136"/>
      <c r="Y42" s="146">
        <f>T42</f>
        <v>0</v>
      </c>
      <c r="Z42" s="150">
        <v>0.0017</v>
      </c>
      <c r="AA42" s="154">
        <f>Y42*1.7</f>
        <v>0</v>
      </c>
      <c r="AB42" s="270">
        <f>U42*1.7</f>
        <v>0</v>
      </c>
      <c r="AC42" s="274">
        <f>STDEV(AA42:AA43)</f>
        <v>0</v>
      </c>
      <c r="AD42" s="245">
        <f>STDEV(AB42:AB43)</f>
        <v>0</v>
      </c>
      <c r="AE42" s="273" t="s">
        <v>19</v>
      </c>
      <c r="AF42" s="113">
        <v>0</v>
      </c>
      <c r="AG42" s="31"/>
      <c r="AH42" s="31"/>
      <c r="AI42" s="31"/>
      <c r="AJ42" s="31"/>
      <c r="AK42" s="31"/>
    </row>
    <row r="43" spans="2:37" ht="15">
      <c r="B43" s="112" t="s">
        <v>18</v>
      </c>
      <c r="C43" s="113">
        <v>0</v>
      </c>
      <c r="D43" s="185"/>
      <c r="E43" s="97" t="s">
        <v>28</v>
      </c>
      <c r="F43" s="102">
        <v>0</v>
      </c>
      <c r="G43" s="107"/>
      <c r="H43" s="175">
        <v>0</v>
      </c>
      <c r="I43" s="102"/>
      <c r="J43" s="107"/>
      <c r="K43" s="163">
        <f t="shared" si="0"/>
        <v>0</v>
      </c>
      <c r="L43" s="164">
        <v>0.0017</v>
      </c>
      <c r="M43" s="163">
        <f t="shared" si="1"/>
        <v>0</v>
      </c>
      <c r="N43" s="235"/>
      <c r="O43" s="231"/>
      <c r="P43" s="238"/>
      <c r="Q43" s="112" t="s">
        <v>18</v>
      </c>
      <c r="R43" s="113">
        <v>0</v>
      </c>
      <c r="S43" s="94" t="s">
        <v>28</v>
      </c>
      <c r="T43" s="118">
        <v>0</v>
      </c>
      <c r="U43" s="136"/>
      <c r="V43" s="246">
        <v>0</v>
      </c>
      <c r="W43" s="118"/>
      <c r="X43" s="136"/>
      <c r="Y43" s="146">
        <f aca="true" t="shared" si="2" ref="Y43:Y57">T43</f>
        <v>0</v>
      </c>
      <c r="Z43" s="150">
        <v>0.0017</v>
      </c>
      <c r="AA43" s="154">
        <f>Y43*1.7</f>
        <v>0</v>
      </c>
      <c r="AB43" s="270">
        <f aca="true" t="shared" si="3" ref="AB43:AB57">U43*1.7</f>
        <v>0</v>
      </c>
      <c r="AC43" s="274"/>
      <c r="AD43" s="245"/>
      <c r="AE43" s="273" t="s">
        <v>18</v>
      </c>
      <c r="AF43" s="113">
        <v>0</v>
      </c>
      <c r="AG43" s="31"/>
      <c r="AH43" s="31"/>
      <c r="AI43" s="31"/>
      <c r="AJ43" s="31"/>
      <c r="AK43" s="31"/>
    </row>
    <row r="44" spans="2:37" ht="15">
      <c r="B44" s="112" t="s">
        <v>15</v>
      </c>
      <c r="C44" s="113">
        <v>0</v>
      </c>
      <c r="D44" s="185"/>
      <c r="E44" s="97" t="s">
        <v>28</v>
      </c>
      <c r="F44" s="102">
        <v>0</v>
      </c>
      <c r="G44" s="107">
        <v>0</v>
      </c>
      <c r="H44" s="175">
        <v>0</v>
      </c>
      <c r="I44" s="102"/>
      <c r="J44" s="107"/>
      <c r="K44" s="163">
        <f t="shared" si="0"/>
        <v>0</v>
      </c>
      <c r="L44" s="164">
        <v>0.0003</v>
      </c>
      <c r="M44" s="163">
        <f t="shared" si="1"/>
        <v>0</v>
      </c>
      <c r="N44" s="235">
        <f>AVERAGE(M44,M45)</f>
        <v>0</v>
      </c>
      <c r="O44" s="231">
        <v>0</v>
      </c>
      <c r="P44" s="238">
        <v>0</v>
      </c>
      <c r="Q44" s="112" t="s">
        <v>15</v>
      </c>
      <c r="R44" s="113">
        <v>0</v>
      </c>
      <c r="S44" s="94" t="s">
        <v>28</v>
      </c>
      <c r="T44" s="118">
        <v>0</v>
      </c>
      <c r="U44" s="136">
        <v>0</v>
      </c>
      <c r="V44" s="246">
        <v>0</v>
      </c>
      <c r="W44" s="118"/>
      <c r="X44" s="136"/>
      <c r="Y44" s="146">
        <f t="shared" si="2"/>
        <v>0</v>
      </c>
      <c r="Z44" s="150">
        <v>0.0003</v>
      </c>
      <c r="AA44" s="154">
        <f>Y44*0.3</f>
        <v>0</v>
      </c>
      <c r="AB44" s="270">
        <f t="shared" si="3"/>
        <v>0</v>
      </c>
      <c r="AC44" s="274">
        <f>STDEV(AA44:AA45)</f>
        <v>0</v>
      </c>
      <c r="AD44" s="245">
        <f>STDEV(AB44:AB45)</f>
        <v>0</v>
      </c>
      <c r="AE44" s="273" t="s">
        <v>15</v>
      </c>
      <c r="AF44" s="113">
        <v>0</v>
      </c>
      <c r="AG44" s="31"/>
      <c r="AH44" s="31"/>
      <c r="AI44" s="31"/>
      <c r="AJ44" s="31"/>
      <c r="AK44" s="31"/>
    </row>
    <row r="45" spans="2:37" ht="15">
      <c r="B45" s="112" t="s">
        <v>16</v>
      </c>
      <c r="C45" s="114">
        <v>0</v>
      </c>
      <c r="D45" s="185"/>
      <c r="E45" s="97" t="s">
        <v>28</v>
      </c>
      <c r="F45" s="102">
        <v>0</v>
      </c>
      <c r="G45" s="107"/>
      <c r="H45" s="175">
        <v>0</v>
      </c>
      <c r="I45" s="102"/>
      <c r="J45" s="107"/>
      <c r="K45" s="163">
        <f t="shared" si="0"/>
        <v>0</v>
      </c>
      <c r="L45" s="164">
        <v>0.0003</v>
      </c>
      <c r="M45" s="163">
        <f t="shared" si="1"/>
        <v>0</v>
      </c>
      <c r="N45" s="235"/>
      <c r="O45" s="231"/>
      <c r="P45" s="238"/>
      <c r="Q45" s="112" t="s">
        <v>16</v>
      </c>
      <c r="R45" s="114">
        <v>0</v>
      </c>
      <c r="S45" s="94" t="s">
        <v>28</v>
      </c>
      <c r="T45" s="118">
        <v>0</v>
      </c>
      <c r="U45" s="136"/>
      <c r="V45" s="246">
        <v>0</v>
      </c>
      <c r="W45" s="118"/>
      <c r="X45" s="136"/>
      <c r="Y45" s="146">
        <f t="shared" si="2"/>
        <v>0</v>
      </c>
      <c r="Z45" s="150">
        <v>0.0003</v>
      </c>
      <c r="AA45" s="154">
        <f>Y45*0.3</f>
        <v>0</v>
      </c>
      <c r="AB45" s="270">
        <f t="shared" si="3"/>
        <v>0</v>
      </c>
      <c r="AC45" s="274"/>
      <c r="AD45" s="245"/>
      <c r="AE45" s="273" t="s">
        <v>16</v>
      </c>
      <c r="AF45" s="114">
        <v>0</v>
      </c>
      <c r="AG45" s="31"/>
      <c r="AH45" s="31"/>
      <c r="AI45" s="31"/>
      <c r="AJ45" s="31"/>
      <c r="AK45" s="31"/>
    </row>
    <row r="46" spans="2:37" ht="15">
      <c r="B46" s="4" t="s">
        <v>19</v>
      </c>
      <c r="C46" s="26">
        <v>24</v>
      </c>
      <c r="D46" s="185"/>
      <c r="E46" s="97" t="s">
        <v>28</v>
      </c>
      <c r="F46" s="102">
        <v>0</v>
      </c>
      <c r="G46" s="107">
        <v>0</v>
      </c>
      <c r="H46" s="175">
        <v>0</v>
      </c>
      <c r="I46" s="102"/>
      <c r="J46" s="107"/>
      <c r="K46" s="163">
        <f t="shared" si="0"/>
        <v>0</v>
      </c>
      <c r="L46" s="164">
        <v>0.0017</v>
      </c>
      <c r="M46" s="163">
        <f t="shared" si="1"/>
        <v>0</v>
      </c>
      <c r="N46" s="235">
        <f>AVERAGE(M46,M47)</f>
        <v>0</v>
      </c>
      <c r="O46" s="231">
        <v>0</v>
      </c>
      <c r="P46" s="238">
        <v>0</v>
      </c>
      <c r="Q46" s="4" t="s">
        <v>19</v>
      </c>
      <c r="R46" s="26">
        <v>24</v>
      </c>
      <c r="S46" s="94" t="s">
        <v>28</v>
      </c>
      <c r="T46" s="118">
        <v>0</v>
      </c>
      <c r="U46" s="136">
        <v>0</v>
      </c>
      <c r="V46" s="246">
        <v>0</v>
      </c>
      <c r="W46" s="118"/>
      <c r="X46" s="136"/>
      <c r="Y46" s="146">
        <f>T46</f>
        <v>0</v>
      </c>
      <c r="Z46" s="150">
        <v>0.0017</v>
      </c>
      <c r="AA46" s="154">
        <f>Y46*1.7</f>
        <v>0</v>
      </c>
      <c r="AB46" s="270">
        <f t="shared" si="3"/>
        <v>0</v>
      </c>
      <c r="AC46" s="274">
        <v>0</v>
      </c>
      <c r="AD46" s="245">
        <f>STDEV(AB46:AB47)</f>
        <v>0</v>
      </c>
      <c r="AE46" s="272" t="s">
        <v>19</v>
      </c>
      <c r="AF46" s="26">
        <v>24</v>
      </c>
      <c r="AG46" s="31"/>
      <c r="AH46" s="31"/>
      <c r="AI46" s="31"/>
      <c r="AJ46" s="31"/>
      <c r="AK46" s="31"/>
    </row>
    <row r="47" spans="2:37" ht="15">
      <c r="B47" s="4" t="s">
        <v>18</v>
      </c>
      <c r="C47" s="26">
        <v>24</v>
      </c>
      <c r="D47" s="185"/>
      <c r="E47" s="97" t="s">
        <v>28</v>
      </c>
      <c r="F47" s="102">
        <v>0</v>
      </c>
      <c r="G47" s="107"/>
      <c r="H47" s="175">
        <v>0</v>
      </c>
      <c r="I47" s="102"/>
      <c r="J47" s="107"/>
      <c r="K47" s="163">
        <f t="shared" si="0"/>
        <v>0</v>
      </c>
      <c r="L47" s="164">
        <v>0.0017</v>
      </c>
      <c r="M47" s="163">
        <f t="shared" si="1"/>
        <v>0</v>
      </c>
      <c r="N47" s="235"/>
      <c r="O47" s="231"/>
      <c r="P47" s="238"/>
      <c r="Q47" s="4" t="s">
        <v>18</v>
      </c>
      <c r="R47" s="26">
        <v>24</v>
      </c>
      <c r="S47" s="94" t="s">
        <v>28</v>
      </c>
      <c r="T47" s="118">
        <v>0</v>
      </c>
      <c r="U47" s="136"/>
      <c r="V47" s="246">
        <v>0</v>
      </c>
      <c r="W47" s="118"/>
      <c r="X47" s="136"/>
      <c r="Y47" s="146">
        <f t="shared" si="2"/>
        <v>0</v>
      </c>
      <c r="Z47" s="150">
        <v>0.0017</v>
      </c>
      <c r="AA47" s="154">
        <f>Y47*1.7</f>
        <v>0</v>
      </c>
      <c r="AB47" s="270">
        <f t="shared" si="3"/>
        <v>0</v>
      </c>
      <c r="AC47" s="274"/>
      <c r="AD47" s="245"/>
      <c r="AE47" s="272" t="s">
        <v>18</v>
      </c>
      <c r="AF47" s="26">
        <v>24</v>
      </c>
      <c r="AG47" s="31"/>
      <c r="AH47" s="31"/>
      <c r="AI47" s="31"/>
      <c r="AJ47" s="31"/>
      <c r="AK47" s="31"/>
    </row>
    <row r="48" spans="2:37" ht="15">
      <c r="B48" s="4" t="s">
        <v>15</v>
      </c>
      <c r="C48" s="26">
        <v>24</v>
      </c>
      <c r="D48" s="185"/>
      <c r="E48" s="97" t="s">
        <v>28</v>
      </c>
      <c r="F48" s="102">
        <v>0</v>
      </c>
      <c r="G48" s="107">
        <v>0</v>
      </c>
      <c r="H48" s="175">
        <v>0</v>
      </c>
      <c r="I48" s="102"/>
      <c r="J48" s="107"/>
      <c r="K48" s="163">
        <f t="shared" si="0"/>
        <v>0</v>
      </c>
      <c r="L48" s="164">
        <v>0.0003</v>
      </c>
      <c r="M48" s="163">
        <f>K48*0.3</f>
        <v>0</v>
      </c>
      <c r="N48" s="235">
        <f>AVERAGE(M48,M49)</f>
        <v>0</v>
      </c>
      <c r="O48" s="231">
        <v>0</v>
      </c>
      <c r="P48" s="238">
        <v>0</v>
      </c>
      <c r="Q48" s="4" t="s">
        <v>15</v>
      </c>
      <c r="R48" s="26">
        <v>24</v>
      </c>
      <c r="S48" s="94" t="s">
        <v>28</v>
      </c>
      <c r="T48" s="118">
        <v>0</v>
      </c>
      <c r="U48" s="136">
        <v>0</v>
      </c>
      <c r="V48" s="246">
        <v>0</v>
      </c>
      <c r="W48" s="118"/>
      <c r="X48" s="136"/>
      <c r="Y48" s="146">
        <f t="shared" si="2"/>
        <v>0</v>
      </c>
      <c r="Z48" s="150">
        <v>0.0003</v>
      </c>
      <c r="AA48" s="154">
        <f>Y48*0.3</f>
        <v>0</v>
      </c>
      <c r="AB48" s="270">
        <f>U48*1.7</f>
        <v>0</v>
      </c>
      <c r="AC48" s="274">
        <v>0</v>
      </c>
      <c r="AD48" s="245">
        <f>STDEV(AB48:AB49)</f>
        <v>0</v>
      </c>
      <c r="AE48" s="272" t="s">
        <v>15</v>
      </c>
      <c r="AF48" s="26">
        <v>24</v>
      </c>
      <c r="AG48" s="31"/>
      <c r="AH48" s="31"/>
      <c r="AI48" s="31"/>
      <c r="AJ48" s="31"/>
      <c r="AK48" s="31"/>
    </row>
    <row r="49" spans="2:37" ht="15">
      <c r="B49" s="4" t="s">
        <v>16</v>
      </c>
      <c r="C49" s="26">
        <v>24</v>
      </c>
      <c r="D49" s="185"/>
      <c r="E49" s="97" t="s">
        <v>28</v>
      </c>
      <c r="F49" s="102">
        <v>0</v>
      </c>
      <c r="G49" s="107"/>
      <c r="H49" s="175">
        <v>0</v>
      </c>
      <c r="I49" s="102"/>
      <c r="J49" s="107"/>
      <c r="K49" s="163">
        <f t="shared" si="0"/>
        <v>0</v>
      </c>
      <c r="L49" s="164">
        <v>0.0003</v>
      </c>
      <c r="M49" s="163">
        <f>K49*0.3</f>
        <v>0</v>
      </c>
      <c r="N49" s="235"/>
      <c r="O49" s="231"/>
      <c r="P49" s="238"/>
      <c r="Q49" s="4" t="s">
        <v>16</v>
      </c>
      <c r="R49" s="26">
        <v>24</v>
      </c>
      <c r="S49" s="94" t="s">
        <v>28</v>
      </c>
      <c r="T49" s="118">
        <v>0</v>
      </c>
      <c r="U49" s="136"/>
      <c r="V49" s="246">
        <v>0</v>
      </c>
      <c r="W49" s="118"/>
      <c r="X49" s="136"/>
      <c r="Y49" s="146">
        <f t="shared" si="2"/>
        <v>0</v>
      </c>
      <c r="Z49" s="150">
        <v>0.0003</v>
      </c>
      <c r="AA49" s="154">
        <f>Y49*0.3</f>
        <v>0</v>
      </c>
      <c r="AB49" s="270">
        <f t="shared" si="3"/>
        <v>0</v>
      </c>
      <c r="AC49" s="274"/>
      <c r="AD49" s="245"/>
      <c r="AE49" s="272" t="s">
        <v>16</v>
      </c>
      <c r="AF49" s="26">
        <v>24</v>
      </c>
      <c r="AG49" s="31"/>
      <c r="AH49" s="31"/>
      <c r="AI49" s="31"/>
      <c r="AJ49" s="31"/>
      <c r="AK49" s="31"/>
    </row>
    <row r="50" spans="2:37" ht="15">
      <c r="B50" s="4" t="s">
        <v>21</v>
      </c>
      <c r="C50" s="26">
        <v>24</v>
      </c>
      <c r="D50" s="185"/>
      <c r="E50" s="97" t="s">
        <v>28</v>
      </c>
      <c r="F50" s="102">
        <v>0</v>
      </c>
      <c r="G50" s="107">
        <v>0</v>
      </c>
      <c r="H50" s="175">
        <v>0</v>
      </c>
      <c r="I50" s="102"/>
      <c r="J50" s="107"/>
      <c r="K50" s="163">
        <f t="shared" si="0"/>
        <v>0</v>
      </c>
      <c r="L50" s="164">
        <v>0.0017</v>
      </c>
      <c r="M50" s="163">
        <f>K50*1.7</f>
        <v>0</v>
      </c>
      <c r="N50" s="235">
        <f>AVERAGE(M50,M51)</f>
        <v>0</v>
      </c>
      <c r="O50" s="231">
        <v>0</v>
      </c>
      <c r="P50" s="238">
        <v>0</v>
      </c>
      <c r="Q50" s="4" t="s">
        <v>21</v>
      </c>
      <c r="R50" s="26">
        <v>24</v>
      </c>
      <c r="S50" s="94" t="s">
        <v>28</v>
      </c>
      <c r="T50" s="118">
        <v>0</v>
      </c>
      <c r="U50" s="136">
        <v>0</v>
      </c>
      <c r="V50" s="246">
        <v>0</v>
      </c>
      <c r="W50" s="118"/>
      <c r="X50" s="136"/>
      <c r="Y50" s="146">
        <f t="shared" si="2"/>
        <v>0</v>
      </c>
      <c r="Z50" s="150">
        <v>0.0003</v>
      </c>
      <c r="AA50" s="154">
        <f>Y50*0.3</f>
        <v>0</v>
      </c>
      <c r="AB50" s="270">
        <f t="shared" si="3"/>
        <v>0</v>
      </c>
      <c r="AC50" s="274">
        <v>0</v>
      </c>
      <c r="AD50" s="245">
        <f>STDEV(AB50:AB51)</f>
        <v>0</v>
      </c>
      <c r="AE50" s="272" t="s">
        <v>21</v>
      </c>
      <c r="AF50" s="26">
        <v>24</v>
      </c>
      <c r="AG50" s="31"/>
      <c r="AH50" s="31"/>
      <c r="AI50" s="31"/>
      <c r="AJ50" s="31"/>
      <c r="AK50" s="31"/>
    </row>
    <row r="51" spans="2:37" ht="15">
      <c r="B51" s="4" t="s">
        <v>22</v>
      </c>
      <c r="C51" s="26">
        <v>24</v>
      </c>
      <c r="D51" s="185"/>
      <c r="E51" s="97" t="s">
        <v>28</v>
      </c>
      <c r="F51" s="102">
        <v>0</v>
      </c>
      <c r="G51" s="107"/>
      <c r="H51" s="175">
        <v>0</v>
      </c>
      <c r="I51" s="102"/>
      <c r="J51" s="107"/>
      <c r="K51" s="163">
        <f t="shared" si="0"/>
        <v>0</v>
      </c>
      <c r="L51" s="164">
        <v>0.0017</v>
      </c>
      <c r="M51" s="163">
        <f>K51*1.7</f>
        <v>0</v>
      </c>
      <c r="N51" s="235"/>
      <c r="O51" s="231"/>
      <c r="P51" s="238"/>
      <c r="Q51" s="4" t="s">
        <v>22</v>
      </c>
      <c r="R51" s="26">
        <v>24</v>
      </c>
      <c r="S51" s="94" t="s">
        <v>28</v>
      </c>
      <c r="T51" s="118">
        <v>0</v>
      </c>
      <c r="U51" s="136"/>
      <c r="V51" s="246">
        <v>0</v>
      </c>
      <c r="W51" s="118"/>
      <c r="X51" s="136"/>
      <c r="Y51" s="146">
        <f t="shared" si="2"/>
        <v>0</v>
      </c>
      <c r="Z51" s="150">
        <v>0.0003</v>
      </c>
      <c r="AA51" s="154">
        <f>Y51*0.3</f>
        <v>0</v>
      </c>
      <c r="AB51" s="270">
        <f t="shared" si="3"/>
        <v>0</v>
      </c>
      <c r="AC51" s="274"/>
      <c r="AD51" s="245"/>
      <c r="AE51" s="272" t="s">
        <v>22</v>
      </c>
      <c r="AF51" s="26">
        <v>24</v>
      </c>
      <c r="AG51" s="31"/>
      <c r="AH51" s="31"/>
      <c r="AI51" s="31"/>
      <c r="AJ51" s="31"/>
      <c r="AK51" s="31"/>
    </row>
    <row r="52" spans="2:37" ht="15">
      <c r="B52" s="4" t="s">
        <v>19</v>
      </c>
      <c r="C52" s="26">
        <v>48</v>
      </c>
      <c r="D52" s="185"/>
      <c r="E52" s="97" t="s">
        <v>28</v>
      </c>
      <c r="F52" s="102">
        <v>0</v>
      </c>
      <c r="G52" s="107">
        <v>0</v>
      </c>
      <c r="H52" s="175">
        <v>0</v>
      </c>
      <c r="I52" s="102"/>
      <c r="J52" s="107"/>
      <c r="K52" s="163">
        <f t="shared" si="0"/>
        <v>0</v>
      </c>
      <c r="L52" s="164">
        <v>0.0017</v>
      </c>
      <c r="M52" s="163">
        <f>K52*1.7</f>
        <v>0</v>
      </c>
      <c r="N52" s="235">
        <f>AVERAGE(M52,M53)</f>
        <v>0</v>
      </c>
      <c r="O52" s="231">
        <v>0</v>
      </c>
      <c r="P52" s="238">
        <v>0</v>
      </c>
      <c r="Q52" s="4" t="s">
        <v>19</v>
      </c>
      <c r="R52" s="26">
        <v>48</v>
      </c>
      <c r="S52" s="94" t="s">
        <v>28</v>
      </c>
      <c r="T52" s="118">
        <v>0</v>
      </c>
      <c r="U52" s="136">
        <v>0</v>
      </c>
      <c r="V52" s="246">
        <v>0</v>
      </c>
      <c r="W52" s="118"/>
      <c r="X52" s="136"/>
      <c r="Y52" s="146">
        <f t="shared" si="2"/>
        <v>0</v>
      </c>
      <c r="Z52" s="150">
        <v>0.0017</v>
      </c>
      <c r="AA52" s="154">
        <f>Y52*1.7</f>
        <v>0</v>
      </c>
      <c r="AB52" s="270">
        <f t="shared" si="3"/>
        <v>0</v>
      </c>
      <c r="AC52" s="274">
        <f>STDEV(AA52:AA53)</f>
        <v>0</v>
      </c>
      <c r="AD52" s="245">
        <f>STDEV(AB52:AB53)</f>
        <v>0</v>
      </c>
      <c r="AE52" s="272" t="s">
        <v>19</v>
      </c>
      <c r="AF52" s="26">
        <v>48</v>
      </c>
      <c r="AG52" s="31"/>
      <c r="AH52" s="31"/>
      <c r="AI52" s="31"/>
      <c r="AJ52" s="31"/>
      <c r="AK52" s="31"/>
    </row>
    <row r="53" spans="2:37" ht="15">
      <c r="B53" s="4" t="s">
        <v>18</v>
      </c>
      <c r="C53" s="26">
        <v>48</v>
      </c>
      <c r="D53" s="185"/>
      <c r="E53" s="97" t="s">
        <v>28</v>
      </c>
      <c r="F53" s="102">
        <v>0</v>
      </c>
      <c r="G53" s="107"/>
      <c r="H53" s="175">
        <v>0</v>
      </c>
      <c r="I53" s="102"/>
      <c r="J53" s="107"/>
      <c r="K53" s="163">
        <f t="shared" si="0"/>
        <v>0</v>
      </c>
      <c r="L53" s="164">
        <v>0.0017</v>
      </c>
      <c r="M53" s="163">
        <f>K53*1.7</f>
        <v>0</v>
      </c>
      <c r="N53" s="235"/>
      <c r="O53" s="231"/>
      <c r="P53" s="238"/>
      <c r="Q53" s="4" t="s">
        <v>18</v>
      </c>
      <c r="R53" s="26">
        <v>48</v>
      </c>
      <c r="S53" s="94" t="s">
        <v>28</v>
      </c>
      <c r="T53" s="118">
        <v>0</v>
      </c>
      <c r="U53" s="136"/>
      <c r="V53" s="246">
        <v>0</v>
      </c>
      <c r="W53" s="118"/>
      <c r="X53" s="136"/>
      <c r="Y53" s="146">
        <f t="shared" si="2"/>
        <v>0</v>
      </c>
      <c r="Z53" s="150">
        <v>0.0017</v>
      </c>
      <c r="AA53" s="154">
        <f>Y53*1.7</f>
        <v>0</v>
      </c>
      <c r="AB53" s="270">
        <f t="shared" si="3"/>
        <v>0</v>
      </c>
      <c r="AC53" s="274"/>
      <c r="AD53" s="245"/>
      <c r="AE53" s="272" t="s">
        <v>18</v>
      </c>
      <c r="AF53" s="26">
        <v>48</v>
      </c>
      <c r="AG53" s="31"/>
      <c r="AH53" s="31"/>
      <c r="AI53" s="31"/>
      <c r="AJ53" s="31"/>
      <c r="AK53" s="31"/>
    </row>
    <row r="54" spans="2:37" ht="15">
      <c r="B54" s="4" t="s">
        <v>15</v>
      </c>
      <c r="C54" s="26">
        <v>48</v>
      </c>
      <c r="D54" s="185"/>
      <c r="E54" s="97" t="s">
        <v>28</v>
      </c>
      <c r="F54" s="102">
        <v>0</v>
      </c>
      <c r="G54" s="107">
        <v>0</v>
      </c>
      <c r="H54" s="175">
        <v>0</v>
      </c>
      <c r="I54" s="102"/>
      <c r="J54" s="107"/>
      <c r="K54" s="163">
        <f t="shared" si="0"/>
        <v>0</v>
      </c>
      <c r="L54" s="164">
        <v>0.0003</v>
      </c>
      <c r="M54" s="163">
        <f>K54*0.3</f>
        <v>0</v>
      </c>
      <c r="N54" s="235">
        <f>AVERAGE(M54,M55)</f>
        <v>0</v>
      </c>
      <c r="O54" s="231">
        <v>0</v>
      </c>
      <c r="P54" s="238">
        <v>0</v>
      </c>
      <c r="Q54" s="4" t="s">
        <v>15</v>
      </c>
      <c r="R54" s="26">
        <v>48</v>
      </c>
      <c r="S54" s="94" t="s">
        <v>28</v>
      </c>
      <c r="T54" s="118">
        <v>0</v>
      </c>
      <c r="U54" s="136">
        <v>0</v>
      </c>
      <c r="V54" s="246">
        <v>0</v>
      </c>
      <c r="W54" s="118"/>
      <c r="X54" s="136"/>
      <c r="Y54" s="146">
        <f t="shared" si="2"/>
        <v>0</v>
      </c>
      <c r="Z54" s="150">
        <v>0.0003</v>
      </c>
      <c r="AA54" s="154">
        <f>Y54*0.3</f>
        <v>0</v>
      </c>
      <c r="AB54" s="270">
        <f t="shared" si="3"/>
        <v>0</v>
      </c>
      <c r="AC54" s="274">
        <f>STDEV(AA54:AA55)</f>
        <v>0</v>
      </c>
      <c r="AD54" s="245">
        <f>STDEV(AB54:AB55)</f>
        <v>0</v>
      </c>
      <c r="AE54" s="272" t="s">
        <v>15</v>
      </c>
      <c r="AF54" s="26">
        <v>48</v>
      </c>
      <c r="AG54" s="31"/>
      <c r="AH54" s="31"/>
      <c r="AI54" s="31"/>
      <c r="AJ54" s="31"/>
      <c r="AK54" s="31"/>
    </row>
    <row r="55" spans="1:37" ht="15">
      <c r="A55" s="88"/>
      <c r="B55" s="4" t="s">
        <v>16</v>
      </c>
      <c r="C55" s="26">
        <v>48</v>
      </c>
      <c r="D55" s="185"/>
      <c r="E55" s="97" t="s">
        <v>28</v>
      </c>
      <c r="F55" s="102">
        <v>0</v>
      </c>
      <c r="G55" s="107"/>
      <c r="H55" s="175">
        <v>0</v>
      </c>
      <c r="I55" s="102"/>
      <c r="J55" s="107"/>
      <c r="K55" s="163">
        <f t="shared" si="0"/>
        <v>0</v>
      </c>
      <c r="L55" s="164">
        <v>0.0003</v>
      </c>
      <c r="M55" s="163">
        <f>K55*0.3</f>
        <v>0</v>
      </c>
      <c r="N55" s="235"/>
      <c r="O55" s="231"/>
      <c r="P55" s="238"/>
      <c r="Q55" s="4" t="s">
        <v>16</v>
      </c>
      <c r="R55" s="26">
        <v>48</v>
      </c>
      <c r="S55" s="94" t="s">
        <v>28</v>
      </c>
      <c r="T55" s="118">
        <v>0</v>
      </c>
      <c r="U55" s="136"/>
      <c r="V55" s="246">
        <v>0</v>
      </c>
      <c r="W55" s="118"/>
      <c r="X55" s="136"/>
      <c r="Y55" s="146">
        <f t="shared" si="2"/>
        <v>0</v>
      </c>
      <c r="Z55" s="150">
        <v>0.0003</v>
      </c>
      <c r="AA55" s="154">
        <f>Y55*0.3</f>
        <v>0</v>
      </c>
      <c r="AB55" s="270">
        <f t="shared" si="3"/>
        <v>0</v>
      </c>
      <c r="AC55" s="274"/>
      <c r="AD55" s="245"/>
      <c r="AE55" s="272" t="s">
        <v>16</v>
      </c>
      <c r="AF55" s="26">
        <v>48</v>
      </c>
      <c r="AG55" s="31"/>
      <c r="AH55" s="31"/>
      <c r="AI55" s="31"/>
      <c r="AJ55" s="31"/>
      <c r="AK55" s="31"/>
    </row>
    <row r="56" spans="1:37" ht="15">
      <c r="A56" s="88"/>
      <c r="B56" s="4" t="s">
        <v>21</v>
      </c>
      <c r="C56" s="26">
        <v>48</v>
      </c>
      <c r="D56" s="185"/>
      <c r="E56" s="97" t="s">
        <v>28</v>
      </c>
      <c r="F56" s="172">
        <v>0</v>
      </c>
      <c r="G56" s="171">
        <f>AVERAGE(F56,F57)</f>
        <v>0</v>
      </c>
      <c r="H56" s="176">
        <v>0</v>
      </c>
      <c r="I56" s="102"/>
      <c r="J56" s="107"/>
      <c r="K56" s="163">
        <f t="shared" si="0"/>
        <v>0</v>
      </c>
      <c r="L56" s="164">
        <v>0.0017</v>
      </c>
      <c r="M56" s="163">
        <f>K56*1.7</f>
        <v>0</v>
      </c>
      <c r="N56" s="235">
        <f>AVERAGE(M56,M57)</f>
        <v>0</v>
      </c>
      <c r="O56" s="231">
        <v>0</v>
      </c>
      <c r="P56" s="238">
        <v>0</v>
      </c>
      <c r="Q56" s="4" t="s">
        <v>21</v>
      </c>
      <c r="R56" s="26">
        <v>48</v>
      </c>
      <c r="S56" s="94" t="s">
        <v>28</v>
      </c>
      <c r="T56" s="118">
        <v>0</v>
      </c>
      <c r="U56" s="136">
        <v>0</v>
      </c>
      <c r="V56" s="246">
        <v>0</v>
      </c>
      <c r="W56" s="119"/>
      <c r="X56" s="137"/>
      <c r="Y56" s="146">
        <f t="shared" si="2"/>
        <v>0</v>
      </c>
      <c r="Z56" s="150">
        <v>0.0003</v>
      </c>
      <c r="AA56" s="154">
        <f>Y56*0.3</f>
        <v>0</v>
      </c>
      <c r="AB56" s="270">
        <f t="shared" si="3"/>
        <v>0</v>
      </c>
      <c r="AC56" s="274">
        <v>0</v>
      </c>
      <c r="AD56" s="245">
        <f>STDEV(AB56:AB57)</f>
        <v>0</v>
      </c>
      <c r="AE56" s="272" t="s">
        <v>21</v>
      </c>
      <c r="AF56" s="26">
        <v>48</v>
      </c>
      <c r="AG56" s="31"/>
      <c r="AH56" s="31"/>
      <c r="AI56" s="31"/>
      <c r="AJ56" s="31"/>
      <c r="AK56" s="31"/>
    </row>
    <row r="57" spans="2:37" ht="15">
      <c r="B57" s="4" t="s">
        <v>22</v>
      </c>
      <c r="C57" s="26">
        <v>48</v>
      </c>
      <c r="D57" s="185"/>
      <c r="E57" s="97" t="s">
        <v>28</v>
      </c>
      <c r="F57" s="172">
        <v>0</v>
      </c>
      <c r="G57" s="171"/>
      <c r="H57" s="176">
        <v>0</v>
      </c>
      <c r="I57" s="102"/>
      <c r="J57" s="107"/>
      <c r="K57" s="163">
        <f t="shared" si="0"/>
        <v>0</v>
      </c>
      <c r="L57" s="164">
        <v>0.0017</v>
      </c>
      <c r="M57" s="163">
        <f>K57*1.7</f>
        <v>0</v>
      </c>
      <c r="N57" s="235"/>
      <c r="O57" s="231"/>
      <c r="P57" s="238"/>
      <c r="Q57" s="4" t="s">
        <v>22</v>
      </c>
      <c r="R57" s="26">
        <v>48</v>
      </c>
      <c r="S57" s="94" t="s">
        <v>28</v>
      </c>
      <c r="T57" s="118">
        <v>0</v>
      </c>
      <c r="U57" s="136"/>
      <c r="V57" s="246">
        <v>0</v>
      </c>
      <c r="W57" s="119"/>
      <c r="X57" s="137"/>
      <c r="Y57" s="146">
        <f t="shared" si="2"/>
        <v>0</v>
      </c>
      <c r="Z57" s="150">
        <v>0.0003</v>
      </c>
      <c r="AA57" s="154">
        <f>Y57*0.3</f>
        <v>0</v>
      </c>
      <c r="AB57" s="270">
        <f t="shared" si="3"/>
        <v>0</v>
      </c>
      <c r="AC57" s="274"/>
      <c r="AD57" s="245"/>
      <c r="AE57" s="272" t="s">
        <v>22</v>
      </c>
      <c r="AF57" s="26">
        <v>48</v>
      </c>
      <c r="AG57" s="31"/>
      <c r="AH57" s="31"/>
      <c r="AI57" s="31"/>
      <c r="AJ57" s="31"/>
      <c r="AK57" s="31"/>
    </row>
    <row r="58" spans="2:37" ht="15">
      <c r="B58" s="4"/>
      <c r="C58" s="26"/>
      <c r="D58" s="185"/>
      <c r="E58" s="97"/>
      <c r="F58" s="102"/>
      <c r="G58" s="107"/>
      <c r="H58" s="102"/>
      <c r="I58" s="102"/>
      <c r="J58" s="107"/>
      <c r="K58" s="163"/>
      <c r="L58" s="164"/>
      <c r="M58" s="163"/>
      <c r="N58" s="235"/>
      <c r="O58" s="231"/>
      <c r="P58" s="238"/>
      <c r="Q58" s="4"/>
      <c r="R58" s="26"/>
      <c r="S58" s="94"/>
      <c r="T58" s="119"/>
      <c r="U58" s="137"/>
      <c r="V58" s="119"/>
      <c r="W58" s="119"/>
      <c r="X58" s="137"/>
      <c r="Y58" s="145"/>
      <c r="Z58" s="150"/>
      <c r="AA58" s="154"/>
      <c r="AB58" s="270"/>
      <c r="AC58" s="274"/>
      <c r="AD58" s="245"/>
      <c r="AE58" s="272"/>
      <c r="AF58" s="26"/>
      <c r="AG58" s="31"/>
      <c r="AH58" s="31"/>
      <c r="AI58" s="31"/>
      <c r="AJ58" s="31"/>
      <c r="AK58" s="31"/>
    </row>
    <row r="59" spans="2:37" ht="15">
      <c r="B59" s="4"/>
      <c r="C59" s="26"/>
      <c r="D59" s="185"/>
      <c r="E59" s="97"/>
      <c r="F59" s="102"/>
      <c r="G59" s="107"/>
      <c r="H59" s="102"/>
      <c r="I59" s="102"/>
      <c r="J59" s="107"/>
      <c r="K59" s="163"/>
      <c r="L59" s="164"/>
      <c r="M59" s="163"/>
      <c r="N59" s="235"/>
      <c r="O59" s="231"/>
      <c r="P59" s="238"/>
      <c r="Q59" s="4"/>
      <c r="R59" s="26"/>
      <c r="S59" s="94"/>
      <c r="T59" s="119"/>
      <c r="U59" s="137"/>
      <c r="V59" s="119"/>
      <c r="W59" s="119"/>
      <c r="X59" s="137"/>
      <c r="Y59" s="145"/>
      <c r="Z59" s="150"/>
      <c r="AA59" s="154"/>
      <c r="AB59" s="270"/>
      <c r="AC59" s="274"/>
      <c r="AD59" s="245"/>
      <c r="AE59" s="272"/>
      <c r="AF59" s="26"/>
      <c r="AG59" s="31"/>
      <c r="AH59" s="31"/>
      <c r="AI59" s="31"/>
      <c r="AJ59" s="31"/>
      <c r="AK59" s="31"/>
    </row>
    <row r="60" spans="2:37" ht="15">
      <c r="B60" s="112" t="s">
        <v>77</v>
      </c>
      <c r="C60" s="114">
        <v>0</v>
      </c>
      <c r="D60" s="185"/>
      <c r="E60" s="97" t="s">
        <v>28</v>
      </c>
      <c r="F60" s="105">
        <v>0</v>
      </c>
      <c r="G60" s="107">
        <f>AVERAGE(F60:F61)</f>
        <v>0</v>
      </c>
      <c r="H60" s="173">
        <v>100</v>
      </c>
      <c r="I60" s="232">
        <f aca="true" t="shared" si="4" ref="I60:I67">(F60/H60)*100</f>
        <v>0</v>
      </c>
      <c r="J60" s="107">
        <f>AVERAGE(I60,I61)</f>
        <v>0</v>
      </c>
      <c r="K60" s="163">
        <v>0</v>
      </c>
      <c r="L60" s="164">
        <v>0.0017</v>
      </c>
      <c r="M60" s="163">
        <f aca="true" t="shared" si="5" ref="M60:M65">K60*1.7</f>
        <v>0</v>
      </c>
      <c r="N60" s="235">
        <f>AVERAGE(M60,M61)</f>
        <v>0</v>
      </c>
      <c r="O60" s="231">
        <v>0</v>
      </c>
      <c r="P60" s="238">
        <v>0</v>
      </c>
      <c r="Q60" s="112" t="s">
        <v>77</v>
      </c>
      <c r="R60" s="114">
        <v>0</v>
      </c>
      <c r="S60" s="94">
        <v>122137</v>
      </c>
      <c r="T60" s="261">
        <f>(S60-84.274)/1352.3</f>
        <v>90.25565776824669</v>
      </c>
      <c r="U60" s="250">
        <f>AVERAGE(T60,T61)</f>
        <v>95.21276787695038</v>
      </c>
      <c r="V60" s="120">
        <v>100</v>
      </c>
      <c r="W60" s="247">
        <f aca="true" t="shared" si="6" ref="W60:W67">(T60/100)*100</f>
        <v>90.25565776824669</v>
      </c>
      <c r="X60" s="250">
        <f>AVERAGE(W60:W61)</f>
        <v>95.21276787695038</v>
      </c>
      <c r="Y60" s="146">
        <v>90.2556577682467</v>
      </c>
      <c r="Z60" s="150">
        <v>0.0017</v>
      </c>
      <c r="AA60" s="154">
        <f aca="true" t="shared" si="7" ref="AA60:AA65">Y60*1.7</f>
        <v>153.4346182060194</v>
      </c>
      <c r="AB60" s="270">
        <f>AVERAGE(AA60,AA61)</f>
        <v>161.86170539081564</v>
      </c>
      <c r="AC60" s="275">
        <f>STDEV(AA60:AA61)</f>
        <v>11.917700988039382</v>
      </c>
      <c r="AD60" s="276">
        <f>AC60/AB60*100</f>
        <v>7.362891030502892</v>
      </c>
      <c r="AE60" s="273" t="s">
        <v>77</v>
      </c>
      <c r="AF60" s="114">
        <v>0</v>
      </c>
      <c r="AG60" s="31"/>
      <c r="AH60" s="31"/>
      <c r="AI60" s="31"/>
      <c r="AJ60" s="31"/>
      <c r="AK60" s="31"/>
    </row>
    <row r="61" spans="2:37" ht="15">
      <c r="B61" s="112" t="s">
        <v>78</v>
      </c>
      <c r="C61" s="113">
        <v>0</v>
      </c>
      <c r="D61" s="185"/>
      <c r="E61" s="97" t="s">
        <v>28</v>
      </c>
      <c r="F61" s="105">
        <v>0</v>
      </c>
      <c r="G61" s="107"/>
      <c r="H61" s="173">
        <v>100</v>
      </c>
      <c r="I61" s="232">
        <f t="shared" si="4"/>
        <v>0</v>
      </c>
      <c r="J61" s="107"/>
      <c r="K61" s="163">
        <v>0</v>
      </c>
      <c r="L61" s="164">
        <v>0.0017</v>
      </c>
      <c r="M61" s="163">
        <f t="shared" si="5"/>
        <v>0</v>
      </c>
      <c r="N61" s="235"/>
      <c r="O61" s="231"/>
      <c r="P61" s="238"/>
      <c r="Q61" s="112" t="s">
        <v>78</v>
      </c>
      <c r="R61" s="113">
        <v>0</v>
      </c>
      <c r="S61" s="94">
        <v>135544</v>
      </c>
      <c r="T61" s="262">
        <f>(S61-84.274)/1352.3</f>
        <v>100.16987798565407</v>
      </c>
      <c r="U61" s="250"/>
      <c r="V61" s="120">
        <v>100</v>
      </c>
      <c r="W61" s="247">
        <f t="shared" si="6"/>
        <v>100.16987798565407</v>
      </c>
      <c r="X61" s="250"/>
      <c r="Y61" s="251">
        <v>100.16987798565407</v>
      </c>
      <c r="Z61" s="150">
        <v>0.0017</v>
      </c>
      <c r="AA61" s="154">
        <f t="shared" si="7"/>
        <v>170.28879257561192</v>
      </c>
      <c r="AB61" s="270"/>
      <c r="AC61" s="277"/>
      <c r="AD61" s="276"/>
      <c r="AE61" s="273" t="s">
        <v>78</v>
      </c>
      <c r="AF61" s="113">
        <v>0</v>
      </c>
      <c r="AG61" s="31"/>
      <c r="AH61" s="31"/>
      <c r="AI61" s="31"/>
      <c r="AJ61" s="31"/>
      <c r="AK61" s="31"/>
    </row>
    <row r="62" spans="2:37" ht="15">
      <c r="B62" s="4" t="s">
        <v>77</v>
      </c>
      <c r="C62" s="25">
        <v>24</v>
      </c>
      <c r="D62" s="185"/>
      <c r="E62" s="97" t="s">
        <v>28</v>
      </c>
      <c r="F62" s="105">
        <v>0</v>
      </c>
      <c r="G62" s="107">
        <f>AVERAGE(F62:F63)</f>
        <v>0</v>
      </c>
      <c r="H62" s="174">
        <v>100</v>
      </c>
      <c r="I62" s="232">
        <f t="shared" si="4"/>
        <v>0</v>
      </c>
      <c r="J62" s="107">
        <f>AVERAGE(I62,I63)</f>
        <v>0</v>
      </c>
      <c r="K62" s="163">
        <v>0</v>
      </c>
      <c r="L62" s="164">
        <v>0.0017</v>
      </c>
      <c r="M62" s="163">
        <f t="shared" si="5"/>
        <v>0</v>
      </c>
      <c r="N62" s="235">
        <f>AVERAGE(M62,M63)</f>
        <v>0</v>
      </c>
      <c r="O62" s="231">
        <v>0</v>
      </c>
      <c r="P62" s="238">
        <v>0</v>
      </c>
      <c r="Q62" s="4" t="s">
        <v>77</v>
      </c>
      <c r="R62" s="25">
        <v>24</v>
      </c>
      <c r="S62" s="94">
        <v>139955</v>
      </c>
      <c r="T62" s="262">
        <f aca="true" t="shared" si="8" ref="T62:T67">(S62+64.637)/1341.1</f>
        <v>104.40655954067556</v>
      </c>
      <c r="U62" s="250">
        <f>AVERAGE(T62,T63)</f>
        <v>102.37837372306316</v>
      </c>
      <c r="V62" s="120">
        <v>100</v>
      </c>
      <c r="W62" s="247">
        <f t="shared" si="6"/>
        <v>104.40655954067557</v>
      </c>
      <c r="X62" s="250">
        <f>AVERAGE(W62:W63)</f>
        <v>102.37837372306316</v>
      </c>
      <c r="Y62" s="251">
        <v>104.40655954067556</v>
      </c>
      <c r="Z62" s="150">
        <v>0.0017</v>
      </c>
      <c r="AA62" s="154">
        <f t="shared" si="7"/>
        <v>177.49115121914843</v>
      </c>
      <c r="AB62" s="270">
        <f>AVERAGE(AA62,AA63)</f>
        <v>174.04323532920733</v>
      </c>
      <c r="AC62" s="277">
        <f>STDEV(AA62:AA63)</f>
        <v>4.876089413476384</v>
      </c>
      <c r="AD62" s="276">
        <f>AC62/AB62*100</f>
        <v>2.801654085694933</v>
      </c>
      <c r="AE62" s="272" t="s">
        <v>77</v>
      </c>
      <c r="AF62" s="25">
        <v>24</v>
      </c>
      <c r="AG62" s="31"/>
      <c r="AH62" s="31"/>
      <c r="AI62" s="31"/>
      <c r="AJ62" s="31"/>
      <c r="AK62" s="31"/>
    </row>
    <row r="63" spans="2:37" ht="15">
      <c r="B63" s="4" t="s">
        <v>78</v>
      </c>
      <c r="C63" s="25">
        <v>24</v>
      </c>
      <c r="D63" s="185"/>
      <c r="E63" s="97" t="s">
        <v>28</v>
      </c>
      <c r="F63" s="105">
        <v>0</v>
      </c>
      <c r="G63" s="107"/>
      <c r="H63" s="174">
        <v>100</v>
      </c>
      <c r="I63" s="232">
        <f t="shared" si="4"/>
        <v>0</v>
      </c>
      <c r="J63" s="107"/>
      <c r="K63" s="163">
        <v>0</v>
      </c>
      <c r="L63" s="164">
        <v>0.0017</v>
      </c>
      <c r="M63" s="163">
        <f t="shared" si="5"/>
        <v>0</v>
      </c>
      <c r="N63" s="235"/>
      <c r="O63" s="231"/>
      <c r="P63" s="238"/>
      <c r="Q63" s="4" t="s">
        <v>78</v>
      </c>
      <c r="R63" s="25">
        <v>24</v>
      </c>
      <c r="S63" s="94">
        <v>134515</v>
      </c>
      <c r="T63" s="262">
        <f t="shared" si="8"/>
        <v>100.35018790545075</v>
      </c>
      <c r="U63" s="250"/>
      <c r="V63" s="120">
        <v>100</v>
      </c>
      <c r="W63" s="247">
        <f t="shared" si="6"/>
        <v>100.35018790545077</v>
      </c>
      <c r="X63" s="250"/>
      <c r="Y63" s="251">
        <v>100.35018790545075</v>
      </c>
      <c r="Z63" s="150">
        <v>0.0017</v>
      </c>
      <c r="AA63" s="154">
        <f t="shared" si="7"/>
        <v>170.59531943926626</v>
      </c>
      <c r="AB63" s="270"/>
      <c r="AC63" s="277"/>
      <c r="AD63" s="276"/>
      <c r="AE63" s="272" t="s">
        <v>78</v>
      </c>
      <c r="AF63" s="25">
        <v>24</v>
      </c>
      <c r="AG63" s="31"/>
      <c r="AH63" s="31"/>
      <c r="AI63" s="31"/>
      <c r="AJ63" s="31"/>
      <c r="AK63" s="31"/>
    </row>
    <row r="64" spans="2:37" ht="15">
      <c r="B64" s="4" t="s">
        <v>79</v>
      </c>
      <c r="C64" s="25">
        <v>24</v>
      </c>
      <c r="D64" s="185"/>
      <c r="E64" s="97">
        <v>1435</v>
      </c>
      <c r="F64" s="252">
        <f>(E64-' 2. Calibration Curves'!$U$87)/' 2. Calibration Curves'!$U$86</f>
        <v>6.814343250617124</v>
      </c>
      <c r="G64" s="107">
        <f>AVERAGE(F64:F65)</f>
        <v>6.765158967315653</v>
      </c>
      <c r="H64" s="173">
        <v>100</v>
      </c>
      <c r="I64" s="102">
        <f t="shared" si="4"/>
        <v>6.814343250617124</v>
      </c>
      <c r="J64" s="107">
        <f>AVERAGE(I64:I65)</f>
        <v>6.765158967315653</v>
      </c>
      <c r="K64" s="163">
        <v>6.814343250617124</v>
      </c>
      <c r="L64" s="164">
        <v>0.0017</v>
      </c>
      <c r="M64" s="163">
        <f t="shared" si="5"/>
        <v>11.58438352604911</v>
      </c>
      <c r="N64" s="333">
        <f>AVERAGE(M64,M65)</f>
        <v>11.500770244436609</v>
      </c>
      <c r="O64" s="231">
        <f>STDEV(M64:M65)</f>
        <v>0.11824703685092115</v>
      </c>
      <c r="P64" s="238">
        <f>O64/N64*100</f>
        <v>1.0281662387623303</v>
      </c>
      <c r="Q64" s="4" t="s">
        <v>79</v>
      </c>
      <c r="R64" s="25">
        <v>24</v>
      </c>
      <c r="S64" s="94">
        <v>140815</v>
      </c>
      <c r="T64" s="262">
        <f t="shared" si="8"/>
        <v>105.04782417418537</v>
      </c>
      <c r="U64" s="250">
        <f>AVERAGE(T64,T65)</f>
        <v>102.58268361792558</v>
      </c>
      <c r="V64" s="120">
        <v>100</v>
      </c>
      <c r="W64" s="247">
        <f t="shared" si="6"/>
        <v>105.04782417418537</v>
      </c>
      <c r="X64" s="250">
        <f>AVERAGE(W64:W65)</f>
        <v>102.58268361792558</v>
      </c>
      <c r="Y64" s="251">
        <v>105.04782417418537</v>
      </c>
      <c r="Z64" s="150">
        <v>0.0017</v>
      </c>
      <c r="AA64" s="154">
        <f t="shared" si="7"/>
        <v>178.5813010961151</v>
      </c>
      <c r="AB64" s="270">
        <f>AVERAGE(AA64,AA65)</f>
        <v>174.3905621504735</v>
      </c>
      <c r="AC64" s="277">
        <f>STDEV(AA64:AA65)</f>
        <v>5.926599853291513</v>
      </c>
      <c r="AD64" s="276">
        <f>AC64/AB64*100</f>
        <v>3.3984636440231935</v>
      </c>
      <c r="AE64" s="272" t="s">
        <v>79</v>
      </c>
      <c r="AF64" s="25">
        <v>24</v>
      </c>
      <c r="AG64" s="31"/>
      <c r="AH64" s="31"/>
      <c r="AI64" s="31"/>
      <c r="AJ64" s="31"/>
      <c r="AK64" s="31"/>
    </row>
    <row r="65" spans="2:37" ht="15">
      <c r="B65" s="4" t="s">
        <v>80</v>
      </c>
      <c r="C65" s="25">
        <v>24</v>
      </c>
      <c r="D65" s="185"/>
      <c r="E65" s="97">
        <v>1382</v>
      </c>
      <c r="F65" s="252">
        <f>(E65-' 2. Calibration Curves'!$U$87)/' 2. Calibration Curves'!$U$86</f>
        <v>6.7159746840141805</v>
      </c>
      <c r="G65" s="107"/>
      <c r="H65" s="173">
        <v>100</v>
      </c>
      <c r="I65" s="102">
        <f t="shared" si="4"/>
        <v>6.715974684014181</v>
      </c>
      <c r="J65" s="107"/>
      <c r="K65" s="163">
        <v>6.7159746840141805</v>
      </c>
      <c r="L65" s="164">
        <v>0.0017</v>
      </c>
      <c r="M65" s="163">
        <f t="shared" si="5"/>
        <v>11.417156962824107</v>
      </c>
      <c r="N65" s="235"/>
      <c r="O65" s="231"/>
      <c r="P65" s="238"/>
      <c r="Q65" s="4" t="s">
        <v>80</v>
      </c>
      <c r="R65" s="25">
        <v>24</v>
      </c>
      <c r="S65" s="94">
        <v>134203</v>
      </c>
      <c r="T65" s="262">
        <f t="shared" si="8"/>
        <v>100.1175430616658</v>
      </c>
      <c r="U65" s="250"/>
      <c r="V65" s="120">
        <v>100</v>
      </c>
      <c r="W65" s="247">
        <f t="shared" si="6"/>
        <v>100.1175430616658</v>
      </c>
      <c r="X65" s="250"/>
      <c r="Y65" s="251">
        <v>100.1175430616658</v>
      </c>
      <c r="Z65" s="150">
        <v>0.0017</v>
      </c>
      <c r="AA65" s="154">
        <f t="shared" si="7"/>
        <v>170.19982320483186</v>
      </c>
      <c r="AB65" s="270"/>
      <c r="AC65" s="277"/>
      <c r="AD65" s="276"/>
      <c r="AE65" s="272" t="s">
        <v>80</v>
      </c>
      <c r="AF65" s="25">
        <v>24</v>
      </c>
      <c r="AG65" s="31"/>
      <c r="AH65" s="31"/>
      <c r="AI65" s="31"/>
      <c r="AJ65" s="31"/>
      <c r="AK65" s="31"/>
    </row>
    <row r="66" spans="2:37" ht="15">
      <c r="B66" s="4" t="s">
        <v>81</v>
      </c>
      <c r="C66" s="25">
        <v>24</v>
      </c>
      <c r="D66" s="185"/>
      <c r="E66" s="97">
        <v>106</v>
      </c>
      <c r="F66" s="252">
        <f>(E66-' 2. Calibration Curves'!$U$87)/' 2. Calibration Curves'!$U$86</f>
        <v>4.347705042781047</v>
      </c>
      <c r="G66" s="107">
        <f>AVERAGE(F66:F67)</f>
        <v>4.353273074852911</v>
      </c>
      <c r="H66" s="173">
        <v>100</v>
      </c>
      <c r="I66" s="102">
        <f t="shared" si="4"/>
        <v>4.347705042781047</v>
      </c>
      <c r="J66" s="107">
        <f>AVERAGE(I66:I67)</f>
        <v>4.353273074852911</v>
      </c>
      <c r="K66" s="163">
        <v>4.347705042781047</v>
      </c>
      <c r="L66" s="164">
        <v>0.0003</v>
      </c>
      <c r="M66" s="163">
        <f>K66*0.3</f>
        <v>1.304311512834314</v>
      </c>
      <c r="N66" s="333">
        <f>AVERAGE(M66,M67)</f>
        <v>1.3059819224558735</v>
      </c>
      <c r="O66" s="231">
        <f>STDEV(M66:M67)</f>
        <v>0.0023623159415279683</v>
      </c>
      <c r="P66" s="238">
        <f>O66/N66*100</f>
        <v>0.18088427572455823</v>
      </c>
      <c r="Q66" s="4" t="s">
        <v>81</v>
      </c>
      <c r="R66" s="25">
        <v>24</v>
      </c>
      <c r="S66" s="94">
        <v>24501</v>
      </c>
      <c r="T66" s="261">
        <f t="shared" si="8"/>
        <v>18.317528148534784</v>
      </c>
      <c r="U66" s="249">
        <f>AVERAGE(T66,T67)</f>
        <v>18.8022049064201</v>
      </c>
      <c r="V66" s="120">
        <v>100</v>
      </c>
      <c r="W66" s="247">
        <f t="shared" si="6"/>
        <v>18.317528148534784</v>
      </c>
      <c r="X66" s="250">
        <f>AVERAGE(W66:W67)</f>
        <v>18.8022049064201</v>
      </c>
      <c r="Y66" s="146">
        <f>T66</f>
        <v>18.317528148534784</v>
      </c>
      <c r="Z66" s="150">
        <v>0.0003</v>
      </c>
      <c r="AA66" s="251">
        <f>Y66*0.3</f>
        <v>5.495258444560435</v>
      </c>
      <c r="AB66" s="271">
        <f>AVERAGE(AA66,AA67)</f>
        <v>5.64066147192603</v>
      </c>
      <c r="AC66" s="277">
        <f>STDEV(AA66:AA67)</f>
        <v>0.20563093331053145</v>
      </c>
      <c r="AD66" s="276">
        <f>AC66/AB66*100</f>
        <v>3.6455109801212338</v>
      </c>
      <c r="AE66" s="272" t="s">
        <v>81</v>
      </c>
      <c r="AF66" s="25">
        <v>24</v>
      </c>
      <c r="AG66" s="31"/>
      <c r="AH66" s="31"/>
      <c r="AI66" s="31"/>
      <c r="AJ66" s="31"/>
      <c r="AK66" s="31"/>
    </row>
    <row r="67" spans="2:37" ht="15">
      <c r="B67" s="4" t="s">
        <v>82</v>
      </c>
      <c r="C67" s="25">
        <v>24</v>
      </c>
      <c r="D67" s="185"/>
      <c r="E67" s="97">
        <v>112</v>
      </c>
      <c r="F67" s="252">
        <f>(E67-' 2. Calibration Curves'!$U$87)/' 2. Calibration Curves'!$U$86</f>
        <v>4.3588411069247766</v>
      </c>
      <c r="G67" s="107"/>
      <c r="H67" s="173">
        <v>100</v>
      </c>
      <c r="I67" s="102">
        <f t="shared" si="4"/>
        <v>4.3588411069247766</v>
      </c>
      <c r="J67" s="107"/>
      <c r="K67" s="163">
        <v>4.3588411069247766</v>
      </c>
      <c r="L67" s="164">
        <v>0.0003</v>
      </c>
      <c r="M67" s="163">
        <f>K67*0.3</f>
        <v>1.307652332077433</v>
      </c>
      <c r="N67" s="235"/>
      <c r="O67" s="231"/>
      <c r="P67" s="238"/>
      <c r="Q67" s="4" t="s">
        <v>82</v>
      </c>
      <c r="R67" s="25">
        <v>24</v>
      </c>
      <c r="S67" s="94">
        <v>25801</v>
      </c>
      <c r="T67" s="261">
        <f t="shared" si="8"/>
        <v>19.286881664305422</v>
      </c>
      <c r="U67" s="136"/>
      <c r="V67" s="120">
        <v>100</v>
      </c>
      <c r="W67" s="247">
        <f t="shared" si="6"/>
        <v>19.286881664305422</v>
      </c>
      <c r="X67" s="250"/>
      <c r="Y67" s="146">
        <f>T67</f>
        <v>19.286881664305422</v>
      </c>
      <c r="Z67" s="150">
        <v>0.0003</v>
      </c>
      <c r="AA67" s="251">
        <f>Y67*0.3</f>
        <v>5.786064499291626</v>
      </c>
      <c r="AB67" s="270"/>
      <c r="AC67" s="274"/>
      <c r="AD67" s="245"/>
      <c r="AE67" s="272" t="s">
        <v>82</v>
      </c>
      <c r="AF67" s="25">
        <v>24</v>
      </c>
      <c r="AG67" s="31"/>
      <c r="AH67" s="31"/>
      <c r="AI67" s="31"/>
      <c r="AJ67" s="31"/>
      <c r="AK67" s="31"/>
    </row>
    <row r="68" spans="2:37" ht="15">
      <c r="B68" s="4"/>
      <c r="C68" s="26"/>
      <c r="D68" s="185"/>
      <c r="E68" s="97"/>
      <c r="F68" s="102"/>
      <c r="G68" s="107"/>
      <c r="H68" s="102"/>
      <c r="I68" s="102"/>
      <c r="J68" s="107"/>
      <c r="K68" s="163"/>
      <c r="L68" s="164"/>
      <c r="M68" s="163"/>
      <c r="N68" s="235"/>
      <c r="O68" s="231"/>
      <c r="P68" s="238"/>
      <c r="Q68" s="4"/>
      <c r="R68" s="26"/>
      <c r="S68" s="94"/>
      <c r="T68" s="119"/>
      <c r="U68" s="137"/>
      <c r="V68" s="119"/>
      <c r="W68" s="119"/>
      <c r="X68" s="137"/>
      <c r="Y68" s="145"/>
      <c r="Z68" s="150"/>
      <c r="AA68" s="154"/>
      <c r="AB68" s="270"/>
      <c r="AC68" s="274"/>
      <c r="AD68" s="245"/>
      <c r="AE68" s="272"/>
      <c r="AF68" s="26"/>
      <c r="AG68" s="31"/>
      <c r="AH68" s="31"/>
      <c r="AI68" s="31"/>
      <c r="AJ68" s="31"/>
      <c r="AK68" s="31"/>
    </row>
    <row r="69" spans="2:37" ht="15">
      <c r="B69" s="4"/>
      <c r="C69" s="26"/>
      <c r="D69" s="185"/>
      <c r="E69" s="97"/>
      <c r="F69" s="102"/>
      <c r="G69" s="107"/>
      <c r="H69" s="102"/>
      <c r="I69" s="102"/>
      <c r="J69" s="107"/>
      <c r="K69" s="163"/>
      <c r="L69" s="164"/>
      <c r="M69" s="163"/>
      <c r="N69" s="235"/>
      <c r="O69" s="231"/>
      <c r="P69" s="238"/>
      <c r="Q69" s="4"/>
      <c r="R69" s="26"/>
      <c r="S69" s="94"/>
      <c r="T69" s="120"/>
      <c r="U69" s="138"/>
      <c r="V69" s="120"/>
      <c r="W69" s="120"/>
      <c r="X69" s="138"/>
      <c r="Y69" s="147"/>
      <c r="Z69" s="150"/>
      <c r="AA69" s="154"/>
      <c r="AB69" s="270"/>
      <c r="AC69" s="274"/>
      <c r="AD69" s="245"/>
      <c r="AE69" s="272"/>
      <c r="AF69" s="26"/>
      <c r="AG69" s="31"/>
      <c r="AH69" s="31"/>
      <c r="AI69" s="31"/>
      <c r="AJ69" s="31"/>
      <c r="AK69" s="31"/>
    </row>
    <row r="70" spans="2:37" ht="15">
      <c r="B70" s="112" t="s">
        <v>77</v>
      </c>
      <c r="C70" s="114">
        <v>0</v>
      </c>
      <c r="D70" s="185"/>
      <c r="E70" s="97" t="s">
        <v>28</v>
      </c>
      <c r="F70" s="105">
        <v>0</v>
      </c>
      <c r="G70" s="110">
        <v>0</v>
      </c>
      <c r="H70" s="173">
        <v>100</v>
      </c>
      <c r="I70" s="232">
        <f>(F70/H70)*100</f>
        <v>0</v>
      </c>
      <c r="J70" s="233">
        <f>AVERAGE(I70,I71)</f>
        <v>0</v>
      </c>
      <c r="K70" s="163">
        <f aca="true" t="shared" si="9" ref="K70:K76">F70</f>
        <v>0</v>
      </c>
      <c r="L70" s="164">
        <v>0.0017</v>
      </c>
      <c r="M70" s="163">
        <f aca="true" t="shared" si="10" ref="M70:M75">K70*1.7</f>
        <v>0</v>
      </c>
      <c r="N70" s="235">
        <f>AVERAGE(M70,M71)</f>
        <v>0</v>
      </c>
      <c r="O70" s="231">
        <v>0</v>
      </c>
      <c r="P70" s="238">
        <v>0</v>
      </c>
      <c r="Q70" s="112" t="s">
        <v>77</v>
      </c>
      <c r="R70" s="114">
        <v>0</v>
      </c>
      <c r="S70" s="94">
        <v>122137</v>
      </c>
      <c r="T70" s="263">
        <f>(S70-84.274)/1352.3</f>
        <v>90.25565776824669</v>
      </c>
      <c r="U70" s="138">
        <f>AVERAGE(T70,T71)</f>
        <v>95.21276787695038</v>
      </c>
      <c r="V70" s="120">
        <v>100</v>
      </c>
      <c r="W70" s="236">
        <f>(T70/100)*100</f>
        <v>90.25565776824669</v>
      </c>
      <c r="X70" s="237">
        <f>AVERAGE(W70:W71)</f>
        <v>95.21276787695038</v>
      </c>
      <c r="Y70" s="147">
        <f>T70</f>
        <v>90.25565776824669</v>
      </c>
      <c r="Z70" s="150">
        <v>0.0017</v>
      </c>
      <c r="AA70" s="154">
        <f aca="true" t="shared" si="11" ref="AA70:AA75">Y70*1.7</f>
        <v>153.43461820601937</v>
      </c>
      <c r="AB70" s="270">
        <f>AVERAGE(AA70,AA71)</f>
        <v>161.86170539081564</v>
      </c>
      <c r="AC70" s="278">
        <f>STDEV(AA70:AA71)</f>
        <v>11.917700988039401</v>
      </c>
      <c r="AD70" s="276">
        <f>AC70/AB70*100</f>
        <v>7.3628910305029045</v>
      </c>
      <c r="AE70" s="273" t="s">
        <v>77</v>
      </c>
      <c r="AF70" s="114">
        <v>0</v>
      </c>
      <c r="AG70" s="31"/>
      <c r="AH70" s="31"/>
      <c r="AI70" s="31"/>
      <c r="AJ70" s="31"/>
      <c r="AK70" s="31"/>
    </row>
    <row r="71" spans="2:37" ht="15">
      <c r="B71" s="112" t="s">
        <v>78</v>
      </c>
      <c r="C71" s="113">
        <v>0</v>
      </c>
      <c r="D71" s="185"/>
      <c r="E71" s="97" t="s">
        <v>28</v>
      </c>
      <c r="F71" s="105">
        <v>0</v>
      </c>
      <c r="G71" s="110"/>
      <c r="H71" s="173">
        <v>100</v>
      </c>
      <c r="I71" s="232">
        <f aca="true" t="shared" si="12" ref="I71:I97">(F71/H71)*100</f>
        <v>0</v>
      </c>
      <c r="J71" s="233"/>
      <c r="K71" s="163">
        <f t="shared" si="9"/>
        <v>0</v>
      </c>
      <c r="L71" s="164">
        <v>0.0017</v>
      </c>
      <c r="M71" s="163">
        <f t="shared" si="10"/>
        <v>0</v>
      </c>
      <c r="N71" s="235"/>
      <c r="O71" s="231"/>
      <c r="P71" s="238"/>
      <c r="Q71" s="112" t="s">
        <v>78</v>
      </c>
      <c r="R71" s="113">
        <v>0</v>
      </c>
      <c r="S71" s="94">
        <v>135544</v>
      </c>
      <c r="T71" s="263">
        <f>(S71-84.274)/1352.3</f>
        <v>100.16987798565407</v>
      </c>
      <c r="U71" s="138"/>
      <c r="V71" s="120">
        <v>100</v>
      </c>
      <c r="W71" s="236">
        <f aca="true" t="shared" si="13" ref="W71:W77">(T71/100)*100</f>
        <v>100.16987798565407</v>
      </c>
      <c r="X71" s="237"/>
      <c r="Y71" s="147">
        <f>T71</f>
        <v>100.16987798565407</v>
      </c>
      <c r="Z71" s="150">
        <v>0.0017</v>
      </c>
      <c r="AA71" s="154">
        <f t="shared" si="11"/>
        <v>170.28879257561192</v>
      </c>
      <c r="AB71" s="270"/>
      <c r="AC71" s="275"/>
      <c r="AD71" s="276"/>
      <c r="AE71" s="273" t="s">
        <v>78</v>
      </c>
      <c r="AF71" s="113">
        <v>0</v>
      </c>
      <c r="AG71" s="31"/>
      <c r="AH71" s="128"/>
      <c r="AI71" s="7"/>
      <c r="AJ71" s="43"/>
      <c r="AK71" s="31"/>
    </row>
    <row r="72" spans="2:37" ht="15">
      <c r="B72" s="4" t="s">
        <v>77</v>
      </c>
      <c r="C72" s="25">
        <v>48</v>
      </c>
      <c r="D72" s="186"/>
      <c r="E72" s="97" t="s">
        <v>28</v>
      </c>
      <c r="F72" s="105">
        <v>0</v>
      </c>
      <c r="G72" s="110">
        <v>0</v>
      </c>
      <c r="H72" s="174">
        <v>100</v>
      </c>
      <c r="I72" s="232">
        <f t="shared" si="12"/>
        <v>0</v>
      </c>
      <c r="J72" s="233">
        <f>AVERAGE(I72,I73)</f>
        <v>0</v>
      </c>
      <c r="K72" s="163">
        <f t="shared" si="9"/>
        <v>0</v>
      </c>
      <c r="L72" s="164">
        <v>0.0017</v>
      </c>
      <c r="M72" s="163">
        <f t="shared" si="10"/>
        <v>0</v>
      </c>
      <c r="N72" s="235">
        <f>AVERAGE(M72,M73)</f>
        <v>0</v>
      </c>
      <c r="O72" s="231">
        <v>0</v>
      </c>
      <c r="P72" s="238">
        <v>0</v>
      </c>
      <c r="Q72" s="4" t="s">
        <v>77</v>
      </c>
      <c r="R72" s="25">
        <v>48</v>
      </c>
      <c r="S72" s="98">
        <v>138955</v>
      </c>
      <c r="T72" s="263">
        <f aca="true" t="shared" si="14" ref="T72:T77">(S72+64.637)/1341.1</f>
        <v>103.66090299008276</v>
      </c>
      <c r="U72" s="138">
        <f>AVERAGE(T72,T73)</f>
        <v>104.5363037804787</v>
      </c>
      <c r="V72" s="120">
        <v>100</v>
      </c>
      <c r="W72" s="236">
        <f t="shared" si="13"/>
        <v>103.66090299008277</v>
      </c>
      <c r="X72" s="237">
        <f>AVERAGE(W72:W73)</f>
        <v>104.5363037804787</v>
      </c>
      <c r="Y72" s="147">
        <f aca="true" t="shared" si="15" ref="Y72:Y77">T72</f>
        <v>103.66090299008276</v>
      </c>
      <c r="Z72" s="150">
        <v>0.0017</v>
      </c>
      <c r="AA72" s="154">
        <f t="shared" si="11"/>
        <v>176.2235350831407</v>
      </c>
      <c r="AB72" s="270">
        <f>AVERAGE(AA72,AA73)</f>
        <v>177.71171642681378</v>
      </c>
      <c r="AC72" s="275">
        <f>STDEV(AA72:AA73)</f>
        <v>2.104606239493121</v>
      </c>
      <c r="AD72" s="276">
        <f>AC72/AB72*100</f>
        <v>1.1842810827612773</v>
      </c>
      <c r="AE72" s="272" t="s">
        <v>77</v>
      </c>
      <c r="AF72" s="25">
        <v>48</v>
      </c>
      <c r="AG72" s="31"/>
      <c r="AH72" s="128"/>
      <c r="AI72" s="7"/>
      <c r="AJ72" s="43"/>
      <c r="AK72" s="31"/>
    </row>
    <row r="73" spans="2:37" ht="15">
      <c r="B73" s="4" t="s">
        <v>78</v>
      </c>
      <c r="C73" s="25">
        <v>48</v>
      </c>
      <c r="D73" s="186"/>
      <c r="E73" s="97" t="s">
        <v>28</v>
      </c>
      <c r="F73" s="105">
        <v>0</v>
      </c>
      <c r="G73" s="110"/>
      <c r="H73" s="174">
        <v>100</v>
      </c>
      <c r="I73" s="232">
        <f t="shared" si="12"/>
        <v>0</v>
      </c>
      <c r="J73" s="233"/>
      <c r="K73" s="163">
        <f t="shared" si="9"/>
        <v>0</v>
      </c>
      <c r="L73" s="164">
        <v>0.0017</v>
      </c>
      <c r="M73" s="163">
        <f t="shared" si="10"/>
        <v>0</v>
      </c>
      <c r="N73" s="235"/>
      <c r="O73" s="231"/>
      <c r="P73" s="238"/>
      <c r="Q73" s="4" t="s">
        <v>78</v>
      </c>
      <c r="R73" s="25">
        <v>48</v>
      </c>
      <c r="S73" s="98">
        <v>141303</v>
      </c>
      <c r="T73" s="263">
        <f t="shared" si="14"/>
        <v>105.41170457087465</v>
      </c>
      <c r="U73" s="138"/>
      <c r="V73" s="120">
        <v>100</v>
      </c>
      <c r="W73" s="236">
        <f t="shared" si="13"/>
        <v>105.41170457087465</v>
      </c>
      <c r="X73" s="237"/>
      <c r="Y73" s="147">
        <f t="shared" si="15"/>
        <v>105.41170457087465</v>
      </c>
      <c r="Z73" s="150">
        <v>0.0017</v>
      </c>
      <c r="AA73" s="154">
        <f t="shared" si="11"/>
        <v>179.1998977704869</v>
      </c>
      <c r="AB73" s="270"/>
      <c r="AC73" s="275"/>
      <c r="AD73" s="276"/>
      <c r="AE73" s="272" t="s">
        <v>78</v>
      </c>
      <c r="AF73" s="25">
        <v>48</v>
      </c>
      <c r="AG73" s="31"/>
      <c r="AH73" s="129"/>
      <c r="AI73" s="7"/>
      <c r="AJ73" s="43"/>
      <c r="AK73" s="31"/>
    </row>
    <row r="74" spans="2:37" ht="15">
      <c r="B74" s="4" t="s">
        <v>79</v>
      </c>
      <c r="C74" s="25">
        <v>48</v>
      </c>
      <c r="D74" s="186"/>
      <c r="E74" s="177">
        <v>2019</v>
      </c>
      <c r="F74" s="253">
        <f>(E74-' 2. Calibration Curves'!$U$87)/' 2. Calibration Curves'!$U$86</f>
        <v>7.898253493940126</v>
      </c>
      <c r="G74" s="110">
        <f>AVERAGE(F74:F75)</f>
        <v>7.885261419105774</v>
      </c>
      <c r="H74" s="173">
        <v>100</v>
      </c>
      <c r="I74" s="232">
        <f>(F74/H74)*100</f>
        <v>7.898253493940126</v>
      </c>
      <c r="J74" s="234">
        <f>AVERAGE(I74:I75)</f>
        <v>7.885261419105775</v>
      </c>
      <c r="K74" s="163">
        <f t="shared" si="9"/>
        <v>7.898253493940126</v>
      </c>
      <c r="L74" s="164">
        <v>0.0017</v>
      </c>
      <c r="M74" s="163">
        <f t="shared" si="10"/>
        <v>13.427030939698213</v>
      </c>
      <c r="N74" s="235">
        <f>AVERAGE(M74,M75)</f>
        <v>13.404944412479816</v>
      </c>
      <c r="O74" s="231">
        <f>STDEV(M74:M75)</f>
        <v>0.03123506633797922</v>
      </c>
      <c r="P74" s="238">
        <f>O74/N74*100</f>
        <v>0.23301153199038863</v>
      </c>
      <c r="Q74" s="4" t="s">
        <v>79</v>
      </c>
      <c r="R74" s="25">
        <v>48</v>
      </c>
      <c r="S74" s="98">
        <v>143623</v>
      </c>
      <c r="T74" s="263">
        <f>(S74+64.637)/1341.1</f>
        <v>107.14162776824995</v>
      </c>
      <c r="U74" s="138">
        <f>AVERAGE(T75,T74)</f>
        <v>102.8705070464544</v>
      </c>
      <c r="V74" s="120">
        <v>100</v>
      </c>
      <c r="W74" s="236">
        <f t="shared" si="13"/>
        <v>107.14162776824993</v>
      </c>
      <c r="X74" s="237">
        <f>AVERAGE(W74:W75)</f>
        <v>102.8705070464544</v>
      </c>
      <c r="Y74" s="147">
        <f t="shared" si="15"/>
        <v>107.14162776824995</v>
      </c>
      <c r="Z74" s="150">
        <v>0.0017</v>
      </c>
      <c r="AA74" s="154">
        <f>Y74*1.7</f>
        <v>182.14076720602492</v>
      </c>
      <c r="AB74" s="270">
        <f>AVERAGE(AA74,AA75)</f>
        <v>174.87986197897249</v>
      </c>
      <c r="AC74" s="278">
        <f>STDEV(AA74:AA75)</f>
        <v>10.268470647203227</v>
      </c>
      <c r="AD74" s="276">
        <f>AC74/AB74*100</f>
        <v>5.871728471765323</v>
      </c>
      <c r="AE74" s="272" t="s">
        <v>79</v>
      </c>
      <c r="AF74" s="25">
        <v>48</v>
      </c>
      <c r="AG74" s="31"/>
      <c r="AH74" s="129"/>
      <c r="AI74" s="7"/>
      <c r="AJ74" s="43"/>
      <c r="AK74" s="31"/>
    </row>
    <row r="75" spans="2:37" ht="15">
      <c r="B75" s="4" t="s">
        <v>80</v>
      </c>
      <c r="C75" s="25">
        <v>48</v>
      </c>
      <c r="D75" s="186"/>
      <c r="E75" s="177">
        <v>2005</v>
      </c>
      <c r="F75" s="254">
        <f>(E75-' 2. Calibration Curves'!$U$87)/' 2. Calibration Curves'!$U$86</f>
        <v>7.872269344271423</v>
      </c>
      <c r="G75" s="110"/>
      <c r="H75" s="173">
        <v>100</v>
      </c>
      <c r="I75" s="232">
        <f>(F75/H75)*100</f>
        <v>7.872269344271424</v>
      </c>
      <c r="J75" s="233"/>
      <c r="K75" s="163">
        <f t="shared" si="9"/>
        <v>7.872269344271423</v>
      </c>
      <c r="L75" s="164">
        <v>0.0017</v>
      </c>
      <c r="M75" s="163">
        <f t="shared" si="10"/>
        <v>13.38285788526142</v>
      </c>
      <c r="N75" s="235"/>
      <c r="O75" s="231"/>
      <c r="P75" s="238"/>
      <c r="Q75" s="4" t="s">
        <v>80</v>
      </c>
      <c r="R75" s="25">
        <v>48</v>
      </c>
      <c r="S75" s="98">
        <v>132167</v>
      </c>
      <c r="T75" s="263">
        <f t="shared" si="14"/>
        <v>98.59938632465887</v>
      </c>
      <c r="U75" s="138"/>
      <c r="V75" s="120">
        <v>100</v>
      </c>
      <c r="W75" s="236">
        <f t="shared" si="13"/>
        <v>98.59938632465887</v>
      </c>
      <c r="X75" s="237"/>
      <c r="Y75" s="147">
        <f t="shared" si="15"/>
        <v>98.59938632465887</v>
      </c>
      <c r="Z75" s="150">
        <v>0.0017</v>
      </c>
      <c r="AA75" s="154">
        <f t="shared" si="11"/>
        <v>167.61895675192008</v>
      </c>
      <c r="AB75" s="270"/>
      <c r="AC75" s="275"/>
      <c r="AD75" s="276"/>
      <c r="AE75" s="272" t="s">
        <v>80</v>
      </c>
      <c r="AF75" s="25">
        <v>48</v>
      </c>
      <c r="AG75" s="31"/>
      <c r="AH75" s="129"/>
      <c r="AI75" s="7"/>
      <c r="AJ75" s="43"/>
      <c r="AK75" s="31"/>
    </row>
    <row r="76" spans="2:37" ht="15">
      <c r="B76" s="4" t="s">
        <v>81</v>
      </c>
      <c r="C76" s="25">
        <v>48</v>
      </c>
      <c r="D76" s="186"/>
      <c r="E76" s="178">
        <v>122</v>
      </c>
      <c r="F76" s="254">
        <f>(E76-' 2. Calibration Curves'!$U$87)/' 2. Calibration Curves'!$U$86</f>
        <v>4.377401213830992</v>
      </c>
      <c r="G76" s="110">
        <f>F76</f>
        <v>4.377401213830992</v>
      </c>
      <c r="H76" s="173">
        <v>100</v>
      </c>
      <c r="I76" s="232">
        <f t="shared" si="12"/>
        <v>4.377401213830992</v>
      </c>
      <c r="J76" s="233">
        <f>I76</f>
        <v>4.377401213830992</v>
      </c>
      <c r="K76" s="163">
        <f t="shared" si="9"/>
        <v>4.377401213830992</v>
      </c>
      <c r="L76" s="164">
        <v>0.0003</v>
      </c>
      <c r="M76" s="163">
        <f>K76*0.3</f>
        <v>1.3132203641492974</v>
      </c>
      <c r="N76" s="235">
        <f>AVERAGE(M76,M77)</f>
        <v>1.3116101820746486</v>
      </c>
      <c r="O76" s="231">
        <f>STDEV(M76:M77)</f>
        <v>0.0022771413278582274</v>
      </c>
      <c r="P76" s="238">
        <v>0</v>
      </c>
      <c r="Q76" s="4" t="s">
        <v>81</v>
      </c>
      <c r="R76" s="25">
        <v>48</v>
      </c>
      <c r="S76" s="248">
        <f>D76</f>
        <v>0</v>
      </c>
      <c r="T76" s="264">
        <f t="shared" si="14"/>
        <v>0.04819700246066662</v>
      </c>
      <c r="U76" s="237">
        <f>AVERAGE(T76,T77)</f>
        <v>0.04819700246066662</v>
      </c>
      <c r="V76" s="120">
        <v>100</v>
      </c>
      <c r="W76" s="236">
        <f>(T76/100)*100</f>
        <v>0.04819700246066662</v>
      </c>
      <c r="X76" s="237">
        <f>AVERAGE(W76:W77)</f>
        <v>0.04819700246066662</v>
      </c>
      <c r="Y76" s="265">
        <f t="shared" si="15"/>
        <v>0.04819700246066662</v>
      </c>
      <c r="Z76" s="150">
        <v>0.0003</v>
      </c>
      <c r="AA76" s="154">
        <f>Y76*0.3</f>
        <v>0.014459100738199985</v>
      </c>
      <c r="AB76" s="270">
        <f>AVERAGE(AA76,AA77)</f>
        <v>0.014459100738199985</v>
      </c>
      <c r="AC76" s="275">
        <f>STDEV(AA76:AA77)</f>
        <v>0</v>
      </c>
      <c r="AD76" s="276">
        <f>AC76/AB76*100</f>
        <v>0</v>
      </c>
      <c r="AE76" s="272" t="s">
        <v>81</v>
      </c>
      <c r="AF76" s="25">
        <v>48</v>
      </c>
      <c r="AG76" s="31"/>
      <c r="AH76" s="129"/>
      <c r="AI76" s="7"/>
      <c r="AJ76" s="43"/>
      <c r="AK76" s="31"/>
    </row>
    <row r="77" spans="2:37" ht="15">
      <c r="B77" s="4" t="s">
        <v>82</v>
      </c>
      <c r="C77" s="25">
        <v>48</v>
      </c>
      <c r="D77" s="186"/>
      <c r="E77" s="97" t="s">
        <v>28</v>
      </c>
      <c r="F77" s="130"/>
      <c r="G77" s="110"/>
      <c r="H77" s="173">
        <v>100</v>
      </c>
      <c r="I77" s="232"/>
      <c r="J77" s="233"/>
      <c r="K77" s="163"/>
      <c r="L77" s="164">
        <v>0.0003</v>
      </c>
      <c r="M77" s="163">
        <v>1.31</v>
      </c>
      <c r="N77" s="235"/>
      <c r="O77" s="231"/>
      <c r="P77" s="238"/>
      <c r="Q77" s="4" t="s">
        <v>82</v>
      </c>
      <c r="R77" s="25">
        <v>48</v>
      </c>
      <c r="S77" s="248">
        <f>D77</f>
        <v>0</v>
      </c>
      <c r="T77" s="264">
        <f t="shared" si="14"/>
        <v>0.04819700246066662</v>
      </c>
      <c r="U77" s="138"/>
      <c r="V77" s="120">
        <v>100</v>
      </c>
      <c r="W77" s="236">
        <f t="shared" si="13"/>
        <v>0.04819700246066662</v>
      </c>
      <c r="X77" s="237"/>
      <c r="Y77" s="265">
        <f t="shared" si="15"/>
        <v>0.04819700246066662</v>
      </c>
      <c r="Z77" s="150">
        <v>0.0003</v>
      </c>
      <c r="AA77" s="154">
        <f>Y77*0.3</f>
        <v>0.014459100738199985</v>
      </c>
      <c r="AB77" s="270"/>
      <c r="AC77" s="275"/>
      <c r="AD77" s="276"/>
      <c r="AE77" s="272" t="s">
        <v>82</v>
      </c>
      <c r="AF77" s="25">
        <v>48</v>
      </c>
      <c r="AG77" s="31"/>
      <c r="AH77" s="129"/>
      <c r="AI77" s="7"/>
      <c r="AJ77" s="43"/>
      <c r="AK77" s="31"/>
    </row>
    <row r="78" spans="2:37" ht="15">
      <c r="B78" s="4"/>
      <c r="C78" s="25"/>
      <c r="D78" s="186"/>
      <c r="E78" s="97"/>
      <c r="F78" s="105"/>
      <c r="G78" s="110"/>
      <c r="H78" s="173"/>
      <c r="I78" s="232"/>
      <c r="J78" s="233"/>
      <c r="K78" s="163"/>
      <c r="L78" s="164"/>
      <c r="M78" s="163"/>
      <c r="N78" s="235"/>
      <c r="O78" s="231"/>
      <c r="P78" s="238"/>
      <c r="Q78" s="4"/>
      <c r="R78" s="25"/>
      <c r="S78" s="98"/>
      <c r="T78" s="120"/>
      <c r="U78" s="138"/>
      <c r="V78" s="120"/>
      <c r="W78" s="120"/>
      <c r="X78" s="237"/>
      <c r="Y78" s="147"/>
      <c r="Z78" s="150"/>
      <c r="AA78" s="154"/>
      <c r="AB78" s="270"/>
      <c r="AC78" s="275"/>
      <c r="AD78" s="276"/>
      <c r="AE78" s="272"/>
      <c r="AF78" s="25"/>
      <c r="AG78" s="31"/>
      <c r="AH78" s="129"/>
      <c r="AI78" s="7"/>
      <c r="AJ78" s="43"/>
      <c r="AK78" s="31"/>
    </row>
    <row r="79" spans="2:37" ht="15">
      <c r="B79" s="4"/>
      <c r="C79" s="25"/>
      <c r="D79" s="186"/>
      <c r="E79" s="97"/>
      <c r="F79" s="105"/>
      <c r="G79" s="110"/>
      <c r="H79" s="173"/>
      <c r="I79" s="232"/>
      <c r="J79" s="233"/>
      <c r="K79" s="163"/>
      <c r="L79" s="164"/>
      <c r="M79" s="163"/>
      <c r="N79" s="235"/>
      <c r="O79" s="231"/>
      <c r="P79" s="238"/>
      <c r="Q79" s="4"/>
      <c r="R79" s="25"/>
      <c r="S79" s="98"/>
      <c r="T79" s="120"/>
      <c r="U79" s="138"/>
      <c r="V79" s="120"/>
      <c r="W79" s="120"/>
      <c r="X79" s="237"/>
      <c r="Y79" s="147"/>
      <c r="Z79" s="150"/>
      <c r="AA79" s="154"/>
      <c r="AB79" s="270"/>
      <c r="AC79" s="275"/>
      <c r="AD79" s="276"/>
      <c r="AE79" s="272"/>
      <c r="AF79" s="25"/>
      <c r="AG79" s="31"/>
      <c r="AH79" s="129"/>
      <c r="AI79" s="7"/>
      <c r="AJ79" s="43"/>
      <c r="AK79" s="31"/>
    </row>
    <row r="80" spans="2:37" ht="15">
      <c r="B80" s="112" t="s">
        <v>77</v>
      </c>
      <c r="C80" s="114">
        <v>0</v>
      </c>
      <c r="D80" s="186"/>
      <c r="E80" s="97" t="s">
        <v>28</v>
      </c>
      <c r="F80" s="105">
        <v>0</v>
      </c>
      <c r="G80" s="110">
        <f>AVERAGE(F80:F81)</f>
        <v>0</v>
      </c>
      <c r="H80" s="173">
        <v>200</v>
      </c>
      <c r="I80" s="232">
        <f t="shared" si="12"/>
        <v>0</v>
      </c>
      <c r="J80" s="233">
        <f>AVERAGE(I80,I81)</f>
        <v>0</v>
      </c>
      <c r="K80" s="163">
        <v>0</v>
      </c>
      <c r="L80" s="164">
        <v>0.0017</v>
      </c>
      <c r="M80" s="163">
        <f aca="true" t="shared" si="16" ref="M80:M85">K80*1.7</f>
        <v>0</v>
      </c>
      <c r="N80" s="235">
        <f>AVERAGE(M80,M81)</f>
        <v>0</v>
      </c>
      <c r="O80" s="231">
        <f>STDEV(M80:M81)</f>
        <v>0</v>
      </c>
      <c r="P80" s="238">
        <v>0</v>
      </c>
      <c r="Q80" s="112" t="s">
        <v>77</v>
      </c>
      <c r="R80" s="114">
        <v>0</v>
      </c>
      <c r="S80" s="266">
        <v>278722</v>
      </c>
      <c r="T80" s="263">
        <f>(S80-84.274)/1352.3</f>
        <v>206.0472720550174</v>
      </c>
      <c r="U80" s="138">
        <v>206.0472720550174</v>
      </c>
      <c r="V80" s="120">
        <v>200</v>
      </c>
      <c r="W80" s="236">
        <f>(T80/200)*100</f>
        <v>103.0236360275087</v>
      </c>
      <c r="X80" s="237">
        <f>U80/200*100</f>
        <v>103.0236360275087</v>
      </c>
      <c r="Y80" s="147">
        <f>T80</f>
        <v>206.0472720550174</v>
      </c>
      <c r="Z80" s="150">
        <v>0.0017</v>
      </c>
      <c r="AA80" s="154">
        <f>Y80*1.7</f>
        <v>350.2803624935296</v>
      </c>
      <c r="AB80" s="270">
        <f>AVERAGE(AA80,AA81)</f>
        <v>350.14018124676477</v>
      </c>
      <c r="AC80" s="275">
        <f>STDEV(AA80:AA81)</f>
        <v>0.1982462203651457</v>
      </c>
      <c r="AD80" s="276">
        <f>AC80/AB80*100</f>
        <v>0.05661910028698754</v>
      </c>
      <c r="AE80" s="273" t="s">
        <v>83</v>
      </c>
      <c r="AF80" s="114">
        <v>0</v>
      </c>
      <c r="AG80" s="31"/>
      <c r="AH80" s="129"/>
      <c r="AI80" s="7"/>
      <c r="AJ80" s="43"/>
      <c r="AK80" s="31"/>
    </row>
    <row r="81" spans="2:37" ht="15.75">
      <c r="B81" s="112" t="s">
        <v>78</v>
      </c>
      <c r="C81" s="113">
        <v>0</v>
      </c>
      <c r="D81" s="186"/>
      <c r="E81" s="97" t="s">
        <v>28</v>
      </c>
      <c r="F81" s="105">
        <v>0</v>
      </c>
      <c r="G81" s="110"/>
      <c r="H81" s="173">
        <v>200</v>
      </c>
      <c r="I81" s="232">
        <f t="shared" si="12"/>
        <v>0</v>
      </c>
      <c r="J81" s="233"/>
      <c r="K81" s="163">
        <v>0</v>
      </c>
      <c r="L81" s="164">
        <v>0.0017</v>
      </c>
      <c r="M81" s="163">
        <f t="shared" si="16"/>
        <v>0</v>
      </c>
      <c r="N81" s="235"/>
      <c r="O81" s="231"/>
      <c r="P81" s="238"/>
      <c r="Q81" s="112" t="s">
        <v>78</v>
      </c>
      <c r="R81" s="113">
        <v>0</v>
      </c>
      <c r="S81" s="266" t="s">
        <v>28</v>
      </c>
      <c r="T81" s="295"/>
      <c r="U81" s="138"/>
      <c r="V81" s="120">
        <v>200</v>
      </c>
      <c r="W81" s="236">
        <f aca="true" t="shared" si="17" ref="W81:W87">(T81/200)*100</f>
        <v>0</v>
      </c>
      <c r="X81" s="237"/>
      <c r="Y81" s="147"/>
      <c r="Z81" s="150">
        <v>0.0017</v>
      </c>
      <c r="AA81" s="154">
        <v>350</v>
      </c>
      <c r="AB81" s="270"/>
      <c r="AC81" s="275"/>
      <c r="AD81" s="276"/>
      <c r="AE81" s="273" t="s">
        <v>84</v>
      </c>
      <c r="AF81" s="113">
        <v>0</v>
      </c>
      <c r="AG81" s="31"/>
      <c r="AH81" s="129"/>
      <c r="AI81" s="7"/>
      <c r="AJ81" s="43"/>
      <c r="AK81" s="31"/>
    </row>
    <row r="82" spans="2:37" ht="15">
      <c r="B82" s="4" t="s">
        <v>77</v>
      </c>
      <c r="C82" s="25">
        <v>24</v>
      </c>
      <c r="D82" s="186"/>
      <c r="E82" s="97" t="s">
        <v>28</v>
      </c>
      <c r="F82" s="167">
        <v>0</v>
      </c>
      <c r="G82" s="110">
        <f>AVERAGE(F82:F83)</f>
        <v>0</v>
      </c>
      <c r="H82" s="173">
        <v>200</v>
      </c>
      <c r="I82" s="232">
        <f t="shared" si="12"/>
        <v>0</v>
      </c>
      <c r="J82" s="233">
        <f>AVERAGE(I82,I83)</f>
        <v>0</v>
      </c>
      <c r="K82" s="163">
        <v>0</v>
      </c>
      <c r="L82" s="164">
        <v>0.0017</v>
      </c>
      <c r="M82" s="163">
        <f t="shared" si="16"/>
        <v>0</v>
      </c>
      <c r="N82" s="235">
        <f>AVERAGE(M82,M83)</f>
        <v>0</v>
      </c>
      <c r="O82" s="231">
        <f>STDEV(M82:M83)</f>
        <v>0</v>
      </c>
      <c r="P82" s="238">
        <v>0</v>
      </c>
      <c r="Q82" s="4" t="s">
        <v>77</v>
      </c>
      <c r="R82" s="25">
        <v>24</v>
      </c>
      <c r="S82" s="266">
        <v>270389</v>
      </c>
      <c r="T82" s="263">
        <f aca="true" t="shared" si="18" ref="T82:T87">(S82+64.637)/1341.1</f>
        <v>201.66552606069644</v>
      </c>
      <c r="U82" s="138">
        <f>AVERAGE(T82,T83)</f>
        <v>205.3665923495638</v>
      </c>
      <c r="V82" s="120">
        <v>200</v>
      </c>
      <c r="W82" s="236">
        <f t="shared" si="17"/>
        <v>100.83276303034823</v>
      </c>
      <c r="X82" s="237">
        <f>AVERAGE(W82:W83)</f>
        <v>102.6832961747819</v>
      </c>
      <c r="Y82" s="147">
        <f aca="true" t="shared" si="19" ref="Y82:Y87">T82</f>
        <v>201.66552606069644</v>
      </c>
      <c r="Z82" s="150">
        <v>0.0017</v>
      </c>
      <c r="AA82" s="154">
        <f>Y82*1.7</f>
        <v>342.8313943031839</v>
      </c>
      <c r="AB82" s="270">
        <f>AVERAGE(AA82,AA83)</f>
        <v>349.12320699425845</v>
      </c>
      <c r="AC82" s="275">
        <f>STDEV(AA82:AA83)</f>
        <v>8.897966839628735</v>
      </c>
      <c r="AD82" s="276">
        <f>AC82/AB82*100</f>
        <v>2.548660948733513</v>
      </c>
      <c r="AE82" s="272" t="s">
        <v>83</v>
      </c>
      <c r="AF82" s="25">
        <v>24</v>
      </c>
      <c r="AG82" s="226"/>
      <c r="AH82" s="129"/>
      <c r="AI82" s="7"/>
      <c r="AJ82" s="43"/>
      <c r="AK82" s="31"/>
    </row>
    <row r="83" spans="2:37" ht="15">
      <c r="B83" s="4" t="s">
        <v>78</v>
      </c>
      <c r="C83" s="25">
        <v>24</v>
      </c>
      <c r="D83" s="186"/>
      <c r="E83" s="97" t="s">
        <v>28</v>
      </c>
      <c r="F83" s="167">
        <v>0</v>
      </c>
      <c r="G83" s="110"/>
      <c r="H83" s="173">
        <v>200</v>
      </c>
      <c r="I83" s="232">
        <f t="shared" si="12"/>
        <v>0</v>
      </c>
      <c r="J83" s="233"/>
      <c r="K83" s="163">
        <v>0</v>
      </c>
      <c r="L83" s="164">
        <v>0.0017</v>
      </c>
      <c r="M83" s="163">
        <f t="shared" si="16"/>
        <v>0</v>
      </c>
      <c r="N83" s="235"/>
      <c r="O83" s="231"/>
      <c r="P83" s="238"/>
      <c r="Q83" s="4" t="s">
        <v>78</v>
      </c>
      <c r="R83" s="25">
        <v>24</v>
      </c>
      <c r="S83" s="266">
        <v>280316</v>
      </c>
      <c r="T83" s="263">
        <f t="shared" si="18"/>
        <v>209.06765863843114</v>
      </c>
      <c r="U83" s="138"/>
      <c r="V83" s="120">
        <v>200</v>
      </c>
      <c r="W83" s="236">
        <f t="shared" si="17"/>
        <v>104.53382931921557</v>
      </c>
      <c r="X83" s="237"/>
      <c r="Y83" s="147">
        <f t="shared" si="19"/>
        <v>209.06765863843114</v>
      </c>
      <c r="Z83" s="150">
        <v>0.0017</v>
      </c>
      <c r="AA83" s="154">
        <f>Y83*1.7</f>
        <v>355.41501968533294</v>
      </c>
      <c r="AB83" s="270"/>
      <c r="AC83" s="275"/>
      <c r="AD83" s="276"/>
      <c r="AE83" s="272" t="s">
        <v>85</v>
      </c>
      <c r="AF83" s="25">
        <v>24</v>
      </c>
      <c r="AH83" s="129"/>
      <c r="AI83" s="7"/>
      <c r="AJ83" s="43"/>
      <c r="AK83" s="31"/>
    </row>
    <row r="84" spans="2:37" ht="15">
      <c r="B84" s="4" t="s">
        <v>79</v>
      </c>
      <c r="C84" s="25">
        <v>24</v>
      </c>
      <c r="D84" s="186"/>
      <c r="E84" s="97">
        <v>2723</v>
      </c>
      <c r="F84" s="254">
        <f>(E84-' 2. Calibration Curves'!$U$87)/' 2. Calibration Curves'!$U$86</f>
        <v>9.204885020137716</v>
      </c>
      <c r="G84" s="110">
        <f>AVERAGE(F84:F85)</f>
        <v>9.182612891850258</v>
      </c>
      <c r="H84" s="173">
        <v>200</v>
      </c>
      <c r="I84" s="232">
        <f>(F84/H84)*100</f>
        <v>4.602442510068858</v>
      </c>
      <c r="J84" s="233">
        <f>AVERAGE(I84,I85)</f>
        <v>4.591306445925129</v>
      </c>
      <c r="K84" s="163">
        <v>9.204885020137716</v>
      </c>
      <c r="L84" s="164">
        <v>0.0017</v>
      </c>
      <c r="M84" s="163">
        <f t="shared" si="16"/>
        <v>15.648304534234118</v>
      </c>
      <c r="N84" s="333">
        <f>AVERAGE(M84,M85)</f>
        <v>15.610441916145437</v>
      </c>
      <c r="O84" s="231">
        <f>STDEV(M84:M85)</f>
        <v>0.053545828007964556</v>
      </c>
      <c r="P84" s="238">
        <f>O84/N84*100</f>
        <v>0.34301289031788157</v>
      </c>
      <c r="Q84" s="4" t="s">
        <v>79</v>
      </c>
      <c r="R84" s="25">
        <v>24</v>
      </c>
      <c r="S84" s="266">
        <v>280111</v>
      </c>
      <c r="T84" s="263">
        <f t="shared" si="18"/>
        <v>208.91479904555962</v>
      </c>
      <c r="U84" s="138">
        <f>AVERAGE(T84,T85)</f>
        <v>209.9926455894415</v>
      </c>
      <c r="V84" s="120">
        <v>200</v>
      </c>
      <c r="W84" s="236">
        <f t="shared" si="17"/>
        <v>104.45739952277981</v>
      </c>
      <c r="X84" s="237">
        <f>AVERAGE(W84:W85)</f>
        <v>104.99632279472075</v>
      </c>
      <c r="Y84" s="147">
        <f t="shared" si="19"/>
        <v>208.91479904555962</v>
      </c>
      <c r="Z84" s="150">
        <v>0.0017</v>
      </c>
      <c r="AA84" s="154">
        <f>Y84*1.7</f>
        <v>355.15515837745136</v>
      </c>
      <c r="AB84" s="270">
        <f>AVERAGE(AA84,AA85)</f>
        <v>356.9874975020506</v>
      </c>
      <c r="AC84" s="275">
        <f>STDEV(AA84:AA85)</f>
        <v>2.591318840875035</v>
      </c>
      <c r="AD84" s="276">
        <f>AC84/AB84*100</f>
        <v>0.7258850405146612</v>
      </c>
      <c r="AE84" s="272" t="s">
        <v>86</v>
      </c>
      <c r="AF84" s="25">
        <v>24</v>
      </c>
      <c r="AG84" s="31"/>
      <c r="AH84" s="129"/>
      <c r="AI84" s="7"/>
      <c r="AJ84" s="43"/>
      <c r="AK84" s="31"/>
    </row>
    <row r="85" spans="2:37" ht="15">
      <c r="B85" s="4" t="s">
        <v>80</v>
      </c>
      <c r="C85" s="25">
        <v>24</v>
      </c>
      <c r="D85" s="186"/>
      <c r="E85" s="97">
        <v>2699</v>
      </c>
      <c r="F85" s="254">
        <f>(E85-' 2. Calibration Curves'!$U$87)/' 2. Calibration Curves'!$U$86</f>
        <v>9.160340763562798</v>
      </c>
      <c r="G85" s="110"/>
      <c r="H85" s="173">
        <v>200</v>
      </c>
      <c r="I85" s="232">
        <f>(F85/H85)*100</f>
        <v>4.580170381781399</v>
      </c>
      <c r="J85" s="233"/>
      <c r="K85" s="163">
        <v>9.160340763562798</v>
      </c>
      <c r="L85" s="164">
        <v>0.0017</v>
      </c>
      <c r="M85" s="163">
        <f t="shared" si="16"/>
        <v>15.572579298056757</v>
      </c>
      <c r="N85" s="235"/>
      <c r="O85" s="231"/>
      <c r="P85" s="238"/>
      <c r="Q85" s="4" t="s">
        <v>80</v>
      </c>
      <c r="R85" s="25">
        <v>24</v>
      </c>
      <c r="S85" s="266">
        <v>283002</v>
      </c>
      <c r="T85" s="263">
        <f t="shared" si="18"/>
        <v>211.0704921333234</v>
      </c>
      <c r="U85" s="138"/>
      <c r="V85" s="120">
        <v>200</v>
      </c>
      <c r="W85" s="236">
        <f t="shared" si="17"/>
        <v>105.5352460666617</v>
      </c>
      <c r="X85" s="237"/>
      <c r="Y85" s="147">
        <f t="shared" si="19"/>
        <v>211.0704921333234</v>
      </c>
      <c r="Z85" s="150">
        <v>0.0017</v>
      </c>
      <c r="AA85" s="154">
        <f>Y85*1.7</f>
        <v>358.81983662664976</v>
      </c>
      <c r="AB85" s="270"/>
      <c r="AC85" s="275"/>
      <c r="AD85" s="276"/>
      <c r="AE85" s="272" t="s">
        <v>87</v>
      </c>
      <c r="AF85" s="25">
        <v>24</v>
      </c>
      <c r="AG85" s="31"/>
      <c r="AH85" s="129"/>
      <c r="AI85" s="7"/>
      <c r="AJ85" s="43"/>
      <c r="AK85" s="31"/>
    </row>
    <row r="86" spans="2:37" ht="15">
      <c r="B86" s="4" t="s">
        <v>81</v>
      </c>
      <c r="C86" s="25">
        <v>24</v>
      </c>
      <c r="D86" s="186"/>
      <c r="E86" s="97">
        <v>172</v>
      </c>
      <c r="F86" s="254">
        <f>(E86-' 2. Calibration Curves'!$U$87)/' 2. Calibration Curves'!$U$86</f>
        <v>4.470201748362071</v>
      </c>
      <c r="G86" s="110">
        <f>AVERAGE(F86:F87)</f>
        <v>4.463705710944895</v>
      </c>
      <c r="H86" s="173">
        <v>200</v>
      </c>
      <c r="I86" s="232">
        <f>(F86/H86)*100</f>
        <v>2.2351008741810356</v>
      </c>
      <c r="J86" s="233">
        <f>AVERAGE(I86,I87)</f>
        <v>2.2318528554724475</v>
      </c>
      <c r="K86" s="163">
        <v>4.470201748362071</v>
      </c>
      <c r="L86" s="164">
        <v>0.0003</v>
      </c>
      <c r="M86" s="163">
        <f>K86*0.3</f>
        <v>1.3410605245086213</v>
      </c>
      <c r="N86" s="333">
        <f>AVERAGE(M86,M87)</f>
        <v>1.3391117132834687</v>
      </c>
      <c r="O86" s="231">
        <f>STDEV(M86:M87)</f>
        <v>0.0027560352651159886</v>
      </c>
      <c r="P86" s="238">
        <f>O86/N86*100</f>
        <v>0.205810705542875</v>
      </c>
      <c r="Q86" s="4" t="s">
        <v>81</v>
      </c>
      <c r="R86" s="25">
        <v>24</v>
      </c>
      <c r="S86" s="266">
        <v>44727</v>
      </c>
      <c r="T86" s="263">
        <f t="shared" si="18"/>
        <v>33.3991775408247</v>
      </c>
      <c r="U86" s="138">
        <f>AVERAGE(T86,T87)</f>
        <v>32.11776675863098</v>
      </c>
      <c r="V86" s="120">
        <v>200</v>
      </c>
      <c r="W86" s="236">
        <f>(T86/200)*100</f>
        <v>16.69958877041235</v>
      </c>
      <c r="X86" s="237">
        <f>AVERAGE(W86:W87)</f>
        <v>16.05888337931549</v>
      </c>
      <c r="Y86" s="147">
        <f t="shared" si="19"/>
        <v>33.3991775408247</v>
      </c>
      <c r="Z86" s="150">
        <v>0.0003</v>
      </c>
      <c r="AA86" s="251">
        <f>Y86*0.3</f>
        <v>10.019753262247411</v>
      </c>
      <c r="AB86" s="271">
        <f>AVERAGE(AA86,AA87)</f>
        <v>9.635330027589294</v>
      </c>
      <c r="AC86" s="275">
        <f>STDEV(AA86:AA87)</f>
        <v>0.5436565521448438</v>
      </c>
      <c r="AD86" s="276">
        <f>AC86/AB86*100</f>
        <v>5.6423241403062105</v>
      </c>
      <c r="AE86" s="272" t="s">
        <v>88</v>
      </c>
      <c r="AF86" s="25">
        <v>24</v>
      </c>
      <c r="AG86" s="226"/>
      <c r="AH86" s="129"/>
      <c r="AI86" s="7"/>
      <c r="AJ86" s="43"/>
      <c r="AK86" s="31"/>
    </row>
    <row r="87" spans="2:37" ht="15">
      <c r="B87" s="4" t="s">
        <v>82</v>
      </c>
      <c r="C87" s="25">
        <v>24</v>
      </c>
      <c r="D87" s="186"/>
      <c r="E87" s="97">
        <v>165</v>
      </c>
      <c r="F87" s="254">
        <f>(E87-' 2. Calibration Curves'!$U$87)/' 2. Calibration Curves'!$U$86</f>
        <v>4.45720967352772</v>
      </c>
      <c r="G87" s="110"/>
      <c r="H87" s="173">
        <v>200</v>
      </c>
      <c r="I87" s="232">
        <f>(F87/H87)*100</f>
        <v>2.22860483676386</v>
      </c>
      <c r="J87" s="233"/>
      <c r="K87" s="163">
        <v>4.45720967352772</v>
      </c>
      <c r="L87" s="164">
        <v>0.0003</v>
      </c>
      <c r="M87" s="163">
        <f>K87*0.3</f>
        <v>1.3371629020583158</v>
      </c>
      <c r="N87" s="235"/>
      <c r="O87" s="231"/>
      <c r="P87" s="238"/>
      <c r="Q87" s="4" t="s">
        <v>82</v>
      </c>
      <c r="R87" s="25">
        <v>24</v>
      </c>
      <c r="S87" s="266">
        <v>41290</v>
      </c>
      <c r="T87" s="263">
        <f t="shared" si="18"/>
        <v>30.836355976437257</v>
      </c>
      <c r="U87" s="138"/>
      <c r="V87" s="120">
        <v>200</v>
      </c>
      <c r="W87" s="236">
        <f t="shared" si="17"/>
        <v>15.418177988218629</v>
      </c>
      <c r="X87" s="237"/>
      <c r="Y87" s="147">
        <f t="shared" si="19"/>
        <v>30.836355976437257</v>
      </c>
      <c r="Z87" s="150">
        <v>0.0003</v>
      </c>
      <c r="AA87" s="251">
        <f>Y87*0.3</f>
        <v>9.250906792931177</v>
      </c>
      <c r="AB87" s="270"/>
      <c r="AC87" s="275"/>
      <c r="AD87" s="276"/>
      <c r="AE87" s="272" t="s">
        <v>89</v>
      </c>
      <c r="AF87" s="25">
        <v>24</v>
      </c>
      <c r="AG87" s="31"/>
      <c r="AH87" s="129"/>
      <c r="AI87" s="7"/>
      <c r="AJ87" s="43"/>
      <c r="AK87" s="31"/>
    </row>
    <row r="88" spans="2:37" ht="15">
      <c r="B88" s="4"/>
      <c r="C88" s="25"/>
      <c r="D88" s="186"/>
      <c r="E88" s="97"/>
      <c r="F88" s="105"/>
      <c r="G88" s="110"/>
      <c r="H88" s="173"/>
      <c r="I88" s="232"/>
      <c r="J88" s="233"/>
      <c r="K88" s="163"/>
      <c r="L88" s="164"/>
      <c r="M88" s="163"/>
      <c r="N88" s="235"/>
      <c r="O88" s="231"/>
      <c r="P88" s="238"/>
      <c r="Q88" s="4"/>
      <c r="R88" s="25"/>
      <c r="S88" s="98"/>
      <c r="T88" s="120"/>
      <c r="U88" s="138"/>
      <c r="V88" s="120"/>
      <c r="W88" s="120"/>
      <c r="X88" s="237"/>
      <c r="Y88" s="147"/>
      <c r="Z88" s="150"/>
      <c r="AA88" s="154"/>
      <c r="AB88" s="270"/>
      <c r="AC88" s="275"/>
      <c r="AD88" s="276"/>
      <c r="AE88" s="272"/>
      <c r="AF88" s="25"/>
      <c r="AG88" s="31"/>
      <c r="AH88" s="129"/>
      <c r="AI88" s="7"/>
      <c r="AJ88" s="43"/>
      <c r="AK88" s="31"/>
    </row>
    <row r="89" spans="2:37" ht="15">
      <c r="B89" s="4"/>
      <c r="C89" s="26"/>
      <c r="D89" s="185"/>
      <c r="E89" s="97"/>
      <c r="F89" s="102"/>
      <c r="G89" s="107"/>
      <c r="H89" s="170"/>
      <c r="I89" s="232"/>
      <c r="J89" s="233"/>
      <c r="K89" s="163"/>
      <c r="L89" s="164"/>
      <c r="M89" s="163"/>
      <c r="N89" s="235"/>
      <c r="O89" s="231"/>
      <c r="P89" s="238"/>
      <c r="Q89" s="4"/>
      <c r="R89" s="26"/>
      <c r="S89" s="94"/>
      <c r="T89" s="120"/>
      <c r="U89" s="138"/>
      <c r="V89" s="120"/>
      <c r="W89" s="120"/>
      <c r="X89" s="237"/>
      <c r="Y89" s="147"/>
      <c r="Z89" s="150"/>
      <c r="AA89" s="154"/>
      <c r="AB89" s="270"/>
      <c r="AC89" s="275"/>
      <c r="AD89" s="276"/>
      <c r="AE89" s="272"/>
      <c r="AF89" s="26"/>
      <c r="AG89" s="31"/>
      <c r="AH89" s="129"/>
      <c r="AI89" s="7"/>
      <c r="AJ89" s="43"/>
      <c r="AK89" s="31"/>
    </row>
    <row r="90" spans="2:37" ht="15">
      <c r="B90" s="112" t="s">
        <v>83</v>
      </c>
      <c r="C90" s="114">
        <v>0</v>
      </c>
      <c r="D90" s="186"/>
      <c r="E90" s="97" t="s">
        <v>28</v>
      </c>
      <c r="F90" s="105">
        <v>0</v>
      </c>
      <c r="G90" s="110">
        <v>0</v>
      </c>
      <c r="H90" s="173">
        <v>200</v>
      </c>
      <c r="I90" s="232">
        <f t="shared" si="12"/>
        <v>0</v>
      </c>
      <c r="J90" s="233">
        <f>AVERAGE(I90,I91)</f>
        <v>0</v>
      </c>
      <c r="K90" s="163">
        <f aca="true" t="shared" si="20" ref="K90:K97">F90</f>
        <v>0</v>
      </c>
      <c r="L90" s="164">
        <v>0.0017</v>
      </c>
      <c r="M90" s="163">
        <f aca="true" t="shared" si="21" ref="M90:M95">K90*1.7</f>
        <v>0</v>
      </c>
      <c r="N90" s="235">
        <f>AVERAGE(M90,M91)</f>
        <v>0</v>
      </c>
      <c r="O90" s="231">
        <v>0</v>
      </c>
      <c r="P90" s="238">
        <v>0</v>
      </c>
      <c r="Q90" s="112" t="s">
        <v>83</v>
      </c>
      <c r="R90" s="114">
        <v>0</v>
      </c>
      <c r="S90" s="98">
        <v>278722</v>
      </c>
      <c r="T90" s="263">
        <f>(S90-84.274)/1352.3</f>
        <v>206.0472720550174</v>
      </c>
      <c r="U90" s="138">
        <f>AVERAGE(T90,T91)</f>
        <v>206.0472720550174</v>
      </c>
      <c r="V90" s="120">
        <v>200</v>
      </c>
      <c r="W90" s="236">
        <f>(T90/200)*100</f>
        <v>103.0236360275087</v>
      </c>
      <c r="X90" s="237">
        <f>U90/200*100</f>
        <v>103.0236360275087</v>
      </c>
      <c r="Y90" s="147">
        <f>T90</f>
        <v>206.0472720550174</v>
      </c>
      <c r="Z90" s="150">
        <v>0.0017</v>
      </c>
      <c r="AA90" s="154">
        <f>Y90*1.7</f>
        <v>350.2803624935296</v>
      </c>
      <c r="AB90" s="270">
        <f>AVERAGE(AA90,AA91)</f>
        <v>350.14018124676477</v>
      </c>
      <c r="AC90" s="275">
        <f>STDEV(AA90:AA91)</f>
        <v>0.1982462203651457</v>
      </c>
      <c r="AD90" s="276">
        <f>AC90/AB90*100</f>
        <v>0.05661910028698754</v>
      </c>
      <c r="AE90" s="273" t="s">
        <v>83</v>
      </c>
      <c r="AF90" s="114">
        <v>0</v>
      </c>
      <c r="AG90" s="31"/>
      <c r="AH90" s="128"/>
      <c r="AI90" s="7"/>
      <c r="AJ90" s="43"/>
      <c r="AK90" s="31"/>
    </row>
    <row r="91" spans="2:37" ht="15">
      <c r="B91" s="112" t="s">
        <v>84</v>
      </c>
      <c r="C91" s="113">
        <v>0</v>
      </c>
      <c r="D91" s="185"/>
      <c r="E91" s="97" t="s">
        <v>28</v>
      </c>
      <c r="F91" s="105">
        <v>0</v>
      </c>
      <c r="G91" s="110"/>
      <c r="H91" s="173">
        <v>200</v>
      </c>
      <c r="I91" s="232">
        <f t="shared" si="12"/>
        <v>0</v>
      </c>
      <c r="J91" s="233"/>
      <c r="K91" s="163">
        <f t="shared" si="20"/>
        <v>0</v>
      </c>
      <c r="L91" s="164">
        <v>0.0017</v>
      </c>
      <c r="M91" s="163">
        <f t="shared" si="21"/>
        <v>0</v>
      </c>
      <c r="N91" s="235"/>
      <c r="O91" s="231"/>
      <c r="P91" s="238"/>
      <c r="Q91" s="112" t="s">
        <v>84</v>
      </c>
      <c r="R91" s="113">
        <v>0</v>
      </c>
      <c r="S91" s="94" t="s">
        <v>28</v>
      </c>
      <c r="T91" s="263"/>
      <c r="U91" s="138"/>
      <c r="V91" s="120">
        <v>200</v>
      </c>
      <c r="W91" s="236">
        <f aca="true" t="shared" si="22" ref="W91:W97">(T91/200)*100</f>
        <v>0</v>
      </c>
      <c r="X91" s="237"/>
      <c r="Y91" s="147"/>
      <c r="Z91" s="150">
        <v>0.0017</v>
      </c>
      <c r="AA91" s="154">
        <v>350</v>
      </c>
      <c r="AB91" s="270"/>
      <c r="AC91" s="275"/>
      <c r="AD91" s="276"/>
      <c r="AE91" s="273" t="s">
        <v>84</v>
      </c>
      <c r="AF91" s="113">
        <v>0</v>
      </c>
      <c r="AG91" s="31"/>
      <c r="AH91" s="128"/>
      <c r="AI91" s="7"/>
      <c r="AJ91" s="43"/>
      <c r="AK91" s="31"/>
    </row>
    <row r="92" spans="2:37" ht="15">
      <c r="B92" s="4" t="s">
        <v>83</v>
      </c>
      <c r="C92" s="25">
        <v>48</v>
      </c>
      <c r="D92" s="186"/>
      <c r="E92" s="97" t="s">
        <v>28</v>
      </c>
      <c r="F92" s="167">
        <v>0</v>
      </c>
      <c r="G92" s="111">
        <v>0</v>
      </c>
      <c r="H92" s="174">
        <v>200</v>
      </c>
      <c r="I92" s="232">
        <f t="shared" si="12"/>
        <v>0</v>
      </c>
      <c r="J92" s="233">
        <f>AVERAGE(I92,I93)</f>
        <v>0</v>
      </c>
      <c r="K92" s="163">
        <f t="shared" si="20"/>
        <v>0</v>
      </c>
      <c r="L92" s="164">
        <v>0.0017</v>
      </c>
      <c r="M92" s="163">
        <f t="shared" si="21"/>
        <v>0</v>
      </c>
      <c r="N92" s="235">
        <f>AVERAGE(M92,M93)</f>
        <v>0</v>
      </c>
      <c r="O92" s="231">
        <v>0</v>
      </c>
      <c r="P92" s="238">
        <v>0</v>
      </c>
      <c r="Q92" s="4" t="s">
        <v>83</v>
      </c>
      <c r="R92" s="25">
        <v>48</v>
      </c>
      <c r="S92" s="98">
        <v>282322</v>
      </c>
      <c r="T92" s="263">
        <f aca="true" t="shared" si="23" ref="T92:T97">(S92+64.637)/1341.1</f>
        <v>210.5634456789203</v>
      </c>
      <c r="U92" s="138">
        <f>AVERAGE(T92,T93)</f>
        <v>205.94820445902616</v>
      </c>
      <c r="V92" s="120">
        <v>200</v>
      </c>
      <c r="W92" s="236">
        <f>(T92/200)*100</f>
        <v>105.28172283946013</v>
      </c>
      <c r="X92" s="237">
        <f>AVERAGE(W92:W93)</f>
        <v>102.97410222951308</v>
      </c>
      <c r="Y92" s="147">
        <f aca="true" t="shared" si="24" ref="Y92:Y97">T92</f>
        <v>210.5634456789203</v>
      </c>
      <c r="Z92" s="150">
        <v>0.0017</v>
      </c>
      <c r="AA92" s="154">
        <f>Y92*1.7</f>
        <v>357.95785765416446</v>
      </c>
      <c r="AB92" s="270">
        <f>AVERAGE(AA92,AA93)</f>
        <v>350.11194758034446</v>
      </c>
      <c r="AC92" s="275">
        <f>STDEV(AA92:AA93)</f>
        <v>11.095792435555927</v>
      </c>
      <c r="AD92" s="276">
        <f>AC92/AB92*100</f>
        <v>3.1692127367374803</v>
      </c>
      <c r="AE92" s="272" t="s">
        <v>83</v>
      </c>
      <c r="AF92" s="25">
        <v>48</v>
      </c>
      <c r="AG92" s="31"/>
      <c r="AH92" s="128"/>
      <c r="AI92" s="7"/>
      <c r="AJ92" s="43"/>
      <c r="AK92" s="31"/>
    </row>
    <row r="93" spans="2:37" ht="15">
      <c r="B93" s="4" t="s">
        <v>85</v>
      </c>
      <c r="C93" s="25">
        <v>48</v>
      </c>
      <c r="D93" s="186"/>
      <c r="E93" s="97" t="s">
        <v>28</v>
      </c>
      <c r="F93" s="167">
        <v>0</v>
      </c>
      <c r="G93" s="111"/>
      <c r="H93" s="174">
        <v>200</v>
      </c>
      <c r="I93" s="232">
        <f t="shared" si="12"/>
        <v>0</v>
      </c>
      <c r="J93" s="233"/>
      <c r="K93" s="163">
        <f t="shared" si="20"/>
        <v>0</v>
      </c>
      <c r="L93" s="164">
        <v>0.0017</v>
      </c>
      <c r="M93" s="163">
        <f t="shared" si="21"/>
        <v>0</v>
      </c>
      <c r="N93" s="235"/>
      <c r="O93" s="231"/>
      <c r="P93" s="238"/>
      <c r="Q93" s="4" t="s">
        <v>85</v>
      </c>
      <c r="R93" s="25">
        <v>48</v>
      </c>
      <c r="S93" s="98">
        <v>269943</v>
      </c>
      <c r="T93" s="263">
        <f t="shared" si="23"/>
        <v>201.33296323913206</v>
      </c>
      <c r="U93" s="138"/>
      <c r="V93" s="120">
        <v>200</v>
      </c>
      <c r="W93" s="236">
        <f t="shared" si="22"/>
        <v>100.66648161956601</v>
      </c>
      <c r="X93" s="237"/>
      <c r="Y93" s="147">
        <f t="shared" si="24"/>
        <v>201.33296323913206</v>
      </c>
      <c r="Z93" s="150">
        <v>0.0017</v>
      </c>
      <c r="AA93" s="154">
        <f>Y93*1.7</f>
        <v>342.26603750652447</v>
      </c>
      <c r="AB93" s="270"/>
      <c r="AC93" s="275"/>
      <c r="AD93" s="276"/>
      <c r="AE93" s="272" t="s">
        <v>85</v>
      </c>
      <c r="AF93" s="25">
        <v>48</v>
      </c>
      <c r="AG93" s="31"/>
      <c r="AH93" s="128"/>
      <c r="AI93" s="7"/>
      <c r="AJ93" s="43"/>
      <c r="AK93" s="31"/>
    </row>
    <row r="94" spans="2:37" ht="15">
      <c r="B94" s="4" t="s">
        <v>86</v>
      </c>
      <c r="C94" s="25">
        <v>48</v>
      </c>
      <c r="D94" s="186"/>
      <c r="E94" s="177">
        <v>5571</v>
      </c>
      <c r="F94" s="255">
        <f>(E94-' 2. Calibration Curves'!$U$87)/' 2. Calibration Curves'!$U$86</f>
        <v>14.490803467027972</v>
      </c>
      <c r="G94" s="111">
        <f>AVERAGE(F94,F95)</f>
        <v>14.036080847825684</v>
      </c>
      <c r="H94" s="174">
        <v>200</v>
      </c>
      <c r="I94" s="232">
        <f t="shared" si="12"/>
        <v>7.245401733513986</v>
      </c>
      <c r="J94" s="233">
        <f>AVERAGE(I94,I95)</f>
        <v>7.018040423912842</v>
      </c>
      <c r="K94" s="163">
        <f t="shared" si="20"/>
        <v>14.490803467027972</v>
      </c>
      <c r="L94" s="164">
        <v>0.0017</v>
      </c>
      <c r="M94" s="163">
        <f t="shared" si="21"/>
        <v>24.63436589394755</v>
      </c>
      <c r="N94" s="235">
        <f>AVERAGE(M94,M95)</f>
        <v>23.86133744130366</v>
      </c>
      <c r="O94" s="231">
        <f>STDEV(M94:M95)</f>
        <v>1.0932273218292727</v>
      </c>
      <c r="P94" s="238">
        <f>O94/N94*100</f>
        <v>4.581584433473166</v>
      </c>
      <c r="Q94" s="4" t="s">
        <v>86</v>
      </c>
      <c r="R94" s="25">
        <v>48</v>
      </c>
      <c r="S94" s="98">
        <v>285249</v>
      </c>
      <c r="T94" s="263">
        <f t="shared" si="23"/>
        <v>212.7459824025054</v>
      </c>
      <c r="U94" s="138">
        <f>AVERAGE(T94,T95)</f>
        <v>210.85387890537618</v>
      </c>
      <c r="V94" s="120">
        <v>200</v>
      </c>
      <c r="W94" s="236">
        <f t="shared" si="22"/>
        <v>106.3729912012527</v>
      </c>
      <c r="X94" s="237">
        <f>AVERAGE(W94:W95)</f>
        <v>105.42693945268809</v>
      </c>
      <c r="Y94" s="147">
        <f t="shared" si="24"/>
        <v>212.7459824025054</v>
      </c>
      <c r="Z94" s="150">
        <v>0.0017</v>
      </c>
      <c r="AA94" s="154">
        <f>Y94*1.7</f>
        <v>361.6681700842592</v>
      </c>
      <c r="AB94" s="270">
        <f>AVERAGE(AA94,AA95)</f>
        <v>358.4515941391395</v>
      </c>
      <c r="AC94" s="275">
        <f>STDEV(AA94:AA95)</f>
        <v>4.548925325991297</v>
      </c>
      <c r="AD94" s="276">
        <f>AC94/AB94*100</f>
        <v>1.2690487084918776</v>
      </c>
      <c r="AE94" s="272" t="s">
        <v>86</v>
      </c>
      <c r="AF94" s="25">
        <v>48</v>
      </c>
      <c r="AG94" s="31"/>
      <c r="AH94" s="128"/>
      <c r="AI94" s="7"/>
      <c r="AJ94" s="43"/>
      <c r="AK94" s="31"/>
    </row>
    <row r="95" spans="2:37" ht="15">
      <c r="B95" s="4" t="s">
        <v>87</v>
      </c>
      <c r="C95" s="25">
        <v>48</v>
      </c>
      <c r="D95" s="186"/>
      <c r="E95" s="177">
        <v>5081</v>
      </c>
      <c r="F95" s="255">
        <f>(E95-' 2. Calibration Curves'!$U$87)/' 2. Calibration Curves'!$U$86</f>
        <v>13.581358228623397</v>
      </c>
      <c r="G95" s="111"/>
      <c r="H95" s="173">
        <v>200</v>
      </c>
      <c r="I95" s="232">
        <f t="shared" si="12"/>
        <v>6.790679114311699</v>
      </c>
      <c r="J95" s="233"/>
      <c r="K95" s="163">
        <f t="shared" si="20"/>
        <v>13.581358228623397</v>
      </c>
      <c r="L95" s="164">
        <v>0.0017</v>
      </c>
      <c r="M95" s="163">
        <f t="shared" si="21"/>
        <v>23.088308988659776</v>
      </c>
      <c r="N95" s="235"/>
      <c r="O95" s="231"/>
      <c r="P95" s="238"/>
      <c r="Q95" s="4" t="s">
        <v>87</v>
      </c>
      <c r="R95" s="25">
        <v>48</v>
      </c>
      <c r="S95" s="98">
        <v>280174</v>
      </c>
      <c r="T95" s="263">
        <f t="shared" si="23"/>
        <v>208.96177540824698</v>
      </c>
      <c r="U95" s="138"/>
      <c r="V95" s="120">
        <v>200</v>
      </c>
      <c r="W95" s="236">
        <f t="shared" si="22"/>
        <v>104.48088770412349</v>
      </c>
      <c r="X95" s="237"/>
      <c r="Y95" s="147">
        <f t="shared" si="24"/>
        <v>208.96177540824698</v>
      </c>
      <c r="Z95" s="150">
        <v>0.0017</v>
      </c>
      <c r="AA95" s="154">
        <f>Y95*1.7</f>
        <v>355.23501819401986</v>
      </c>
      <c r="AB95" s="270"/>
      <c r="AC95" s="275"/>
      <c r="AD95" s="276"/>
      <c r="AE95" s="272" t="s">
        <v>87</v>
      </c>
      <c r="AF95" s="25">
        <v>48</v>
      </c>
      <c r="AG95" s="31"/>
      <c r="AH95" s="128"/>
      <c r="AI95" s="7"/>
      <c r="AJ95" s="43"/>
      <c r="AK95" s="31"/>
    </row>
    <row r="96" spans="2:37" ht="15">
      <c r="B96" s="4" t="s">
        <v>88</v>
      </c>
      <c r="C96" s="25">
        <v>48</v>
      </c>
      <c r="D96" s="186"/>
      <c r="E96" s="178">
        <v>201</v>
      </c>
      <c r="F96" s="255">
        <f>(E96-' 2. Calibration Curves'!$U$87)/' 2. Calibration Curves'!$U$86</f>
        <v>4.524026058390096</v>
      </c>
      <c r="G96" s="111">
        <f>AVERAGE(F96,F97)</f>
        <v>4.507321962174503</v>
      </c>
      <c r="H96" s="173">
        <v>200</v>
      </c>
      <c r="I96" s="232">
        <f t="shared" si="12"/>
        <v>2.262013029195048</v>
      </c>
      <c r="J96" s="233">
        <f>AVERAGE(I96,I97)</f>
        <v>2.2536609810872514</v>
      </c>
      <c r="K96" s="163">
        <f t="shared" si="20"/>
        <v>4.524026058390096</v>
      </c>
      <c r="L96" s="164">
        <v>0.0003</v>
      </c>
      <c r="M96" s="163">
        <f>K96*0.3</f>
        <v>1.3572078175170288</v>
      </c>
      <c r="N96" s="235">
        <f>AVERAGE(M96,M97)</f>
        <v>1.3521965886523506</v>
      </c>
      <c r="O96" s="231">
        <f>STDEV(M96:M97)</f>
        <v>0.007086947824583433</v>
      </c>
      <c r="P96" s="238">
        <f>O96/N96*100</f>
        <v>0.524106323300708</v>
      </c>
      <c r="Q96" s="4" t="s">
        <v>88</v>
      </c>
      <c r="R96" s="25">
        <v>48</v>
      </c>
      <c r="S96" s="98">
        <v>5147</v>
      </c>
      <c r="T96" s="263">
        <f t="shared" si="23"/>
        <v>3.8860912683617927</v>
      </c>
      <c r="U96" s="138">
        <f>AVERAGE(T96,T97)</f>
        <v>3.9662493475505185</v>
      </c>
      <c r="V96" s="120">
        <v>200</v>
      </c>
      <c r="W96" s="120">
        <f>(T96/200)*100</f>
        <v>1.9430456341808966</v>
      </c>
      <c r="X96" s="237">
        <f>AVERAGE(W96:W97)</f>
        <v>1.9831246737752593</v>
      </c>
      <c r="Y96" s="147">
        <f t="shared" si="24"/>
        <v>3.8860912683617927</v>
      </c>
      <c r="Z96" s="150">
        <v>0.0003</v>
      </c>
      <c r="AA96" s="251">
        <f>Y96*0.3</f>
        <v>1.1658273805085377</v>
      </c>
      <c r="AB96" s="271">
        <f>AVERAGE(AA96,AA97)</f>
        <v>1.1898748042651555</v>
      </c>
      <c r="AC96" s="275">
        <f>STDEV(AA96:AA97)</f>
        <v>0.03400819281674175</v>
      </c>
      <c r="AD96" s="276">
        <f>AC96/AB96*100</f>
        <v>2.858132023204288</v>
      </c>
      <c r="AE96" s="272" t="s">
        <v>88</v>
      </c>
      <c r="AF96" s="25">
        <v>48</v>
      </c>
      <c r="AG96" s="31"/>
      <c r="AH96" s="128"/>
      <c r="AI96" s="7"/>
      <c r="AJ96" s="43"/>
      <c r="AK96" s="31"/>
    </row>
    <row r="97" spans="2:37" ht="15">
      <c r="B97" s="4" t="s">
        <v>89</v>
      </c>
      <c r="C97" s="25">
        <v>48</v>
      </c>
      <c r="D97" s="186"/>
      <c r="E97" s="178">
        <v>183</v>
      </c>
      <c r="F97" s="255">
        <f>(E97-' 2. Calibration Curves'!$U$87)/' 2. Calibration Curves'!$U$86</f>
        <v>4.490617865958908</v>
      </c>
      <c r="G97" s="111"/>
      <c r="H97" s="173">
        <v>200</v>
      </c>
      <c r="I97" s="232">
        <f t="shared" si="12"/>
        <v>2.245308932979454</v>
      </c>
      <c r="J97" s="110"/>
      <c r="K97" s="163">
        <f t="shared" si="20"/>
        <v>4.490617865958908</v>
      </c>
      <c r="L97" s="164">
        <v>0.0003</v>
      </c>
      <c r="M97" s="163">
        <f>K97*0.3</f>
        <v>1.3471853597876724</v>
      </c>
      <c r="N97" s="235"/>
      <c r="O97" s="231"/>
      <c r="P97" s="238"/>
      <c r="Q97" s="4" t="s">
        <v>89</v>
      </c>
      <c r="R97" s="25">
        <v>48</v>
      </c>
      <c r="S97" s="98">
        <v>5362</v>
      </c>
      <c r="T97" s="263">
        <f t="shared" si="23"/>
        <v>4.046407426739244</v>
      </c>
      <c r="U97" s="138"/>
      <c r="V97" s="120">
        <v>200</v>
      </c>
      <c r="W97" s="120">
        <f t="shared" si="22"/>
        <v>2.023203713369622</v>
      </c>
      <c r="X97" s="237"/>
      <c r="Y97" s="147">
        <f t="shared" si="24"/>
        <v>4.046407426739244</v>
      </c>
      <c r="Z97" s="150">
        <v>0.0003</v>
      </c>
      <c r="AA97" s="251">
        <f>Y97*0.3</f>
        <v>1.2139222280217732</v>
      </c>
      <c r="AB97" s="270"/>
      <c r="AC97" s="274"/>
      <c r="AD97" s="244"/>
      <c r="AE97" s="272" t="s">
        <v>89</v>
      </c>
      <c r="AF97" s="25">
        <v>48</v>
      </c>
      <c r="AG97" s="31"/>
      <c r="AH97" s="128"/>
      <c r="AI97" s="7"/>
      <c r="AJ97" s="43"/>
      <c r="AK97" s="31"/>
    </row>
    <row r="98" spans="2:37" ht="15.75" thickBot="1">
      <c r="B98" s="4"/>
      <c r="C98" s="25"/>
      <c r="D98" s="280"/>
      <c r="E98" s="281"/>
      <c r="F98" s="282"/>
      <c r="G98" s="283"/>
      <c r="H98" s="282"/>
      <c r="I98" s="282"/>
      <c r="J98" s="283"/>
      <c r="K98" s="162"/>
      <c r="L98" s="164"/>
      <c r="M98" s="162"/>
      <c r="N98" s="284"/>
      <c r="O98" s="230"/>
      <c r="P98" s="238"/>
      <c r="Q98" s="4"/>
      <c r="R98" s="25"/>
      <c r="S98" s="285"/>
      <c r="T98" s="286"/>
      <c r="U98" s="287"/>
      <c r="V98" s="286"/>
      <c r="W98" s="286"/>
      <c r="X98" s="287"/>
      <c r="Y98" s="145"/>
      <c r="Z98" s="150"/>
      <c r="AA98" s="145"/>
      <c r="AB98" s="269"/>
      <c r="AC98" s="274"/>
      <c r="AD98" s="244"/>
      <c r="AE98" s="272"/>
      <c r="AF98" s="25"/>
      <c r="AG98" s="31"/>
      <c r="AH98" s="128"/>
      <c r="AI98" s="7"/>
      <c r="AJ98" s="43"/>
      <c r="AK98" s="31"/>
    </row>
    <row r="99" spans="2:37" ht="15.75" thickBot="1">
      <c r="B99" s="188"/>
      <c r="C99" s="191"/>
      <c r="D99" s="186"/>
      <c r="E99" s="97"/>
      <c r="F99" s="101"/>
      <c r="G99" s="111"/>
      <c r="H99" s="101"/>
      <c r="I99" s="101"/>
      <c r="J99" s="111"/>
      <c r="K99" s="288"/>
      <c r="L99" s="289"/>
      <c r="M99" s="288"/>
      <c r="N99" s="161"/>
      <c r="O99" s="290"/>
      <c r="P99" s="291"/>
      <c r="Q99" s="303"/>
      <c r="R99" s="304"/>
      <c r="S99" s="305"/>
      <c r="T99" s="306"/>
      <c r="U99" s="307"/>
      <c r="V99" s="306"/>
      <c r="W99" s="306"/>
      <c r="X99" s="307"/>
      <c r="Y99" s="306"/>
      <c r="Z99" s="308"/>
      <c r="AA99" s="306"/>
      <c r="AB99" s="309"/>
      <c r="AC99" s="310"/>
      <c r="AD99" s="322"/>
      <c r="AE99" s="323"/>
      <c r="AF99" s="311"/>
      <c r="AG99" s="31"/>
      <c r="AH99" s="128"/>
      <c r="AI99" s="7"/>
      <c r="AJ99" s="43"/>
      <c r="AK99" s="31"/>
    </row>
    <row r="100" spans="17:37" ht="15.75">
      <c r="Q100" s="274" t="s">
        <v>81</v>
      </c>
      <c r="R100" s="294">
        <v>4</v>
      </c>
      <c r="S100" s="98">
        <v>47548</v>
      </c>
      <c r="T100" s="312">
        <f>(S100+64.637)/1341.1</f>
        <v>35.50267467004698</v>
      </c>
      <c r="U100" s="297">
        <f>AVERAGE(T100,T101)</f>
        <v>34.44235105510403</v>
      </c>
      <c r="V100" s="120">
        <v>100</v>
      </c>
      <c r="W100" s="118">
        <f>(T100/100)*100</f>
        <v>35.50267467004698</v>
      </c>
      <c r="X100" s="136">
        <f>AVERAGE(W100:W101)</f>
        <v>34.44235105510403</v>
      </c>
      <c r="Y100" s="301">
        <f>T100</f>
        <v>35.50267467004698</v>
      </c>
      <c r="Z100" s="292">
        <v>0.0003</v>
      </c>
      <c r="AA100" s="302">
        <f>Y100*0.3</f>
        <v>10.650802401014094</v>
      </c>
      <c r="AB100" s="349">
        <f>AVERAGE(AA100:AA101)</f>
        <v>10.332705316531207</v>
      </c>
      <c r="AC100" s="298">
        <f>STDEV(AA100:AA101)</f>
        <v>0.4498572110270393</v>
      </c>
      <c r="AD100" s="300">
        <f>AC100/AB100*100</f>
        <v>4.353721481898033</v>
      </c>
      <c r="AE100" s="274" t="s">
        <v>81</v>
      </c>
      <c r="AF100" s="243">
        <v>4</v>
      </c>
      <c r="AG100" s="7"/>
      <c r="AH100" s="7"/>
      <c r="AI100" s="7"/>
      <c r="AJ100" s="7"/>
      <c r="AK100" s="7"/>
    </row>
    <row r="101" spans="17:37" ht="15.75">
      <c r="Q101" s="274" t="s">
        <v>82</v>
      </c>
      <c r="R101" s="294">
        <v>4</v>
      </c>
      <c r="S101" s="98">
        <v>44704</v>
      </c>
      <c r="T101" s="312">
        <f>(S101+64.637)/1341.1</f>
        <v>33.38202744016107</v>
      </c>
      <c r="U101" s="297"/>
      <c r="V101" s="120">
        <v>100</v>
      </c>
      <c r="W101" s="118">
        <f>(T101/100)*100</f>
        <v>33.38202744016107</v>
      </c>
      <c r="X101" s="136"/>
      <c r="Y101" s="301">
        <f>T101</f>
        <v>33.38202744016107</v>
      </c>
      <c r="Z101" s="292">
        <v>0.0003</v>
      </c>
      <c r="AA101" s="302">
        <f>Y101*0.3</f>
        <v>10.01460823204832</v>
      </c>
      <c r="AB101" s="350"/>
      <c r="AC101" s="298"/>
      <c r="AD101" s="300"/>
      <c r="AE101" s="274" t="s">
        <v>82</v>
      </c>
      <c r="AF101" s="243">
        <v>4</v>
      </c>
      <c r="AG101" s="7"/>
      <c r="AH101" s="7"/>
      <c r="AI101" s="7"/>
      <c r="AJ101" s="7"/>
      <c r="AK101" s="7"/>
    </row>
    <row r="102" spans="17:37" ht="15.75">
      <c r="Q102" s="274" t="s">
        <v>81</v>
      </c>
      <c r="R102" s="294">
        <v>8</v>
      </c>
      <c r="S102" s="98">
        <v>42591</v>
      </c>
      <c r="T102" s="312">
        <f>(S102+64.637)/1341.1</f>
        <v>31.806455148758484</v>
      </c>
      <c r="U102" s="297">
        <f>AVERAGE(T102,T103)</f>
        <v>30.592899112668707</v>
      </c>
      <c r="V102" s="120">
        <v>100</v>
      </c>
      <c r="W102" s="118">
        <f>(T102/100)*100</f>
        <v>31.806455148758484</v>
      </c>
      <c r="X102" s="136">
        <f>AVERAGE(W102:W103)</f>
        <v>30.592899112668707</v>
      </c>
      <c r="Y102" s="301">
        <f>T102</f>
        <v>31.806455148758484</v>
      </c>
      <c r="Z102" s="292">
        <v>0.0003</v>
      </c>
      <c r="AA102" s="302">
        <f>Y102*0.3</f>
        <v>9.541936544627545</v>
      </c>
      <c r="AB102" s="349">
        <f>AVERAGE(AA102:AA103)</f>
        <v>9.177869733800613</v>
      </c>
      <c r="AC102" s="298">
        <f>STDEV(AA102:AA103)</f>
        <v>0.5148682214813686</v>
      </c>
      <c r="AD102" s="300">
        <f>AC102/AB102*100</f>
        <v>5.609888094022429</v>
      </c>
      <c r="AE102" s="274" t="s">
        <v>81</v>
      </c>
      <c r="AF102" s="243">
        <v>8</v>
      </c>
      <c r="AG102" s="7"/>
      <c r="AH102" s="7"/>
      <c r="AI102" s="7"/>
      <c r="AJ102" s="7"/>
      <c r="AK102" s="7"/>
    </row>
    <row r="103" spans="17:37" ht="15.75">
      <c r="Q103" s="274" t="s">
        <v>82</v>
      </c>
      <c r="R103" s="294">
        <v>8</v>
      </c>
      <c r="S103" s="98">
        <v>39336</v>
      </c>
      <c r="T103" s="312">
        <f>(S103+64.637)/1341.1</f>
        <v>29.37934307657893</v>
      </c>
      <c r="U103" s="297"/>
      <c r="V103" s="120">
        <v>100</v>
      </c>
      <c r="W103" s="118">
        <f>(T103/100)*100</f>
        <v>29.37934307657893</v>
      </c>
      <c r="X103" s="136"/>
      <c r="Y103" s="301">
        <f>T103</f>
        <v>29.37934307657893</v>
      </c>
      <c r="Z103" s="292">
        <v>0.0003</v>
      </c>
      <c r="AA103" s="302">
        <f>Y103*0.3</f>
        <v>8.813802922973679</v>
      </c>
      <c r="AB103" s="350"/>
      <c r="AC103" s="298"/>
      <c r="AD103" s="300"/>
      <c r="AE103" s="274" t="s">
        <v>82</v>
      </c>
      <c r="AF103" s="243">
        <v>8</v>
      </c>
      <c r="AG103" s="7"/>
      <c r="AH103" s="7"/>
      <c r="AI103" s="7"/>
      <c r="AJ103" s="7"/>
      <c r="AK103" s="7"/>
    </row>
    <row r="104" spans="15:37" ht="15.75">
      <c r="O104" s="240"/>
      <c r="P104" s="221"/>
      <c r="Q104" s="313"/>
      <c r="R104" s="7"/>
      <c r="S104" s="98"/>
      <c r="T104" s="299"/>
      <c r="U104" s="297"/>
      <c r="V104" s="120"/>
      <c r="W104" s="118"/>
      <c r="X104" s="136"/>
      <c r="Y104" s="314"/>
      <c r="Z104" s="292"/>
      <c r="AA104" s="302"/>
      <c r="AB104" s="350"/>
      <c r="AC104" s="298"/>
      <c r="AD104" s="300"/>
      <c r="AE104" s="313"/>
      <c r="AF104" s="244"/>
      <c r="AG104" s="7"/>
      <c r="AH104" s="7"/>
      <c r="AI104" s="7"/>
      <c r="AJ104" s="7"/>
      <c r="AK104" s="7"/>
    </row>
    <row r="105" spans="15:32" ht="15.75">
      <c r="O105" s="211"/>
      <c r="P105" s="221"/>
      <c r="Q105" s="315"/>
      <c r="R105" s="7"/>
      <c r="S105" s="98"/>
      <c r="T105" s="299"/>
      <c r="U105" s="297"/>
      <c r="V105" s="120"/>
      <c r="W105" s="118"/>
      <c r="X105" s="136"/>
      <c r="Y105" s="314"/>
      <c r="Z105" s="292"/>
      <c r="AA105" s="302"/>
      <c r="AB105" s="350"/>
      <c r="AC105" s="298"/>
      <c r="AD105" s="300"/>
      <c r="AE105" s="315"/>
      <c r="AF105" s="244"/>
    </row>
    <row r="106" spans="16:32" ht="15.75">
      <c r="P106" s="221"/>
      <c r="Q106" s="274" t="s">
        <v>81</v>
      </c>
      <c r="R106" s="294">
        <v>4</v>
      </c>
      <c r="S106" s="98">
        <v>74822</v>
      </c>
      <c r="T106" s="312">
        <f>(S106+64.637)/1341.1</f>
        <v>55.839711430914925</v>
      </c>
      <c r="U106" s="297">
        <f>AVERAGE(T106,T107)</f>
        <v>57.3123831183357</v>
      </c>
      <c r="V106" s="120">
        <v>200</v>
      </c>
      <c r="W106" s="118">
        <f>(T106/200)*100</f>
        <v>27.919855715457466</v>
      </c>
      <c r="X106" s="136">
        <f>AVERAGE(W106:W107)</f>
        <v>28.65619155916785</v>
      </c>
      <c r="Y106" s="301">
        <f>T106</f>
        <v>55.839711430914925</v>
      </c>
      <c r="Z106" s="292">
        <v>0.0003</v>
      </c>
      <c r="AA106" s="302">
        <f>Y106*0.3</f>
        <v>16.751913429274477</v>
      </c>
      <c r="AB106" s="349">
        <f>AVERAGE(AA106:AA107)</f>
        <v>17.193714935500708</v>
      </c>
      <c r="AC106" s="298">
        <f>STDEV(AA106:AA107)</f>
        <v>0.6248016819819991</v>
      </c>
      <c r="AD106" s="300">
        <f>AC106/AB106*100</f>
        <v>3.6338957829988234</v>
      </c>
      <c r="AE106" s="274" t="s">
        <v>81</v>
      </c>
      <c r="AF106" s="243">
        <v>4</v>
      </c>
    </row>
    <row r="107" spans="15:32" ht="15.75">
      <c r="O107" s="211"/>
      <c r="P107" s="221"/>
      <c r="Q107" s="274" t="s">
        <v>82</v>
      </c>
      <c r="R107" s="294">
        <v>4</v>
      </c>
      <c r="S107" s="98">
        <v>78772</v>
      </c>
      <c r="T107" s="312">
        <f>(S107+64.637)/1341.1</f>
        <v>58.785054805756474</v>
      </c>
      <c r="U107" s="297"/>
      <c r="V107" s="120">
        <v>200</v>
      </c>
      <c r="W107" s="118">
        <f>(T107/200)*100</f>
        <v>29.392527402878237</v>
      </c>
      <c r="X107" s="136"/>
      <c r="Y107" s="301">
        <f>T107</f>
        <v>58.785054805756474</v>
      </c>
      <c r="Z107" s="292">
        <v>0.0003</v>
      </c>
      <c r="AA107" s="302">
        <f>Y107*0.3</f>
        <v>17.635516441726942</v>
      </c>
      <c r="AB107" s="350"/>
      <c r="AC107" s="298"/>
      <c r="AD107" s="300"/>
      <c r="AE107" s="274" t="s">
        <v>82</v>
      </c>
      <c r="AF107" s="243">
        <v>4</v>
      </c>
    </row>
    <row r="108" spans="16:32" ht="15.75">
      <c r="P108" s="221"/>
      <c r="Q108" s="274" t="s">
        <v>81</v>
      </c>
      <c r="R108" s="294">
        <v>8</v>
      </c>
      <c r="S108" s="98">
        <v>74700</v>
      </c>
      <c r="T108" s="312">
        <f>(S108+64.637)/1341.1</f>
        <v>55.74874133174261</v>
      </c>
      <c r="U108" s="297">
        <f>AVERAGE(T108,T109)</f>
        <v>53.68439117142645</v>
      </c>
      <c r="V108" s="120">
        <v>200</v>
      </c>
      <c r="W108" s="118">
        <f>(T108/200)*100</f>
        <v>27.874370665871307</v>
      </c>
      <c r="X108" s="136">
        <f>AVERAGE(W108:W109)</f>
        <v>26.842195585713228</v>
      </c>
      <c r="Y108" s="301">
        <f>T108</f>
        <v>55.74874133174261</v>
      </c>
      <c r="Z108" s="292">
        <v>0.0003</v>
      </c>
      <c r="AA108" s="302">
        <f>Y108*0.3</f>
        <v>16.724622399522783</v>
      </c>
      <c r="AB108" s="349">
        <f>AVERAGE(AA108:AA109)</f>
        <v>16.105317351427935</v>
      </c>
      <c r="AC108" s="298">
        <f>STDEV(AA108:AA109)</f>
        <v>0.875829598261857</v>
      </c>
      <c r="AD108" s="300">
        <f>AC108/AB108*100</f>
        <v>5.438139337156271</v>
      </c>
      <c r="AE108" s="274" t="s">
        <v>81</v>
      </c>
      <c r="AF108" s="243">
        <v>8</v>
      </c>
    </row>
    <row r="109" spans="17:32" ht="15.75">
      <c r="Q109" s="274" t="s">
        <v>82</v>
      </c>
      <c r="R109" s="294">
        <v>8</v>
      </c>
      <c r="S109" s="33">
        <v>69163</v>
      </c>
      <c r="T109" s="312">
        <f>(S109+64.637)/1341.1</f>
        <v>51.62004101111029</v>
      </c>
      <c r="U109" s="297"/>
      <c r="V109" s="120">
        <v>200</v>
      </c>
      <c r="W109" s="118">
        <f>(T109/200)*100</f>
        <v>25.810020505555144</v>
      </c>
      <c r="X109" s="136"/>
      <c r="Y109" s="314">
        <f>T109</f>
        <v>51.62004101111029</v>
      </c>
      <c r="Z109" s="292">
        <v>0.0003</v>
      </c>
      <c r="AA109" s="302">
        <f>Y109*0.3</f>
        <v>15.486012303333085</v>
      </c>
      <c r="AB109" s="350"/>
      <c r="AC109" s="7"/>
      <c r="AD109" s="7"/>
      <c r="AE109" s="274" t="s">
        <v>82</v>
      </c>
      <c r="AF109" s="243">
        <v>8</v>
      </c>
    </row>
    <row r="110" spans="17:32" ht="13.5" thickBot="1">
      <c r="Q110" s="316"/>
      <c r="R110" s="317"/>
      <c r="S110" s="317"/>
      <c r="T110" s="317"/>
      <c r="U110" s="317"/>
      <c r="V110" s="318"/>
      <c r="W110" s="318"/>
      <c r="X110" s="317"/>
      <c r="Y110" s="317"/>
      <c r="Z110" s="317"/>
      <c r="AA110" s="317"/>
      <c r="AB110" s="317"/>
      <c r="AC110" s="317"/>
      <c r="AD110" s="317"/>
      <c r="AE110" s="316"/>
      <c r="AF110" s="319"/>
    </row>
    <row r="111" spans="22:23" ht="12.75">
      <c r="V111" s="210"/>
      <c r="W111" s="210"/>
    </row>
    <row r="139" spans="5:14" ht="15">
      <c r="E139" s="7"/>
      <c r="F139" s="7"/>
      <c r="G139" s="7"/>
      <c r="H139" s="360"/>
      <c r="I139" s="7"/>
      <c r="J139" s="7"/>
      <c r="K139" s="7"/>
      <c r="L139" s="7"/>
      <c r="M139" s="7"/>
      <c r="N139" s="360"/>
    </row>
    <row r="140" spans="5:14" ht="12.75">
      <c r="E140" s="11"/>
      <c r="F140" s="7"/>
      <c r="G140" s="241"/>
      <c r="H140" s="126"/>
      <c r="I140" s="7"/>
      <c r="J140" s="7"/>
      <c r="K140" s="11"/>
      <c r="L140" s="7"/>
      <c r="M140" s="241"/>
      <c r="N140" s="126"/>
    </row>
    <row r="141" spans="5:14" ht="12.75">
      <c r="E141" s="11"/>
      <c r="F141" s="209"/>
      <c r="G141" s="242"/>
      <c r="H141" s="361"/>
      <c r="I141" s="7"/>
      <c r="J141" s="7"/>
      <c r="K141" s="11"/>
      <c r="L141" s="209"/>
      <c r="M141" s="242"/>
      <c r="N141" s="361"/>
    </row>
    <row r="142" spans="5:14" ht="12.75">
      <c r="E142" s="11"/>
      <c r="F142" s="209"/>
      <c r="G142" s="242"/>
      <c r="H142" s="361"/>
      <c r="I142" s="7"/>
      <c r="J142" s="7"/>
      <c r="K142" s="11"/>
      <c r="L142" s="209"/>
      <c r="M142" s="242"/>
      <c r="N142" s="361"/>
    </row>
    <row r="143" spans="5:14" ht="12.75">
      <c r="E143" s="11"/>
      <c r="F143" s="209"/>
      <c r="G143" s="242"/>
      <c r="H143" s="294"/>
      <c r="I143" s="7"/>
      <c r="J143" s="7"/>
      <c r="K143" s="11"/>
      <c r="L143" s="209"/>
      <c r="M143" s="242"/>
      <c r="N143" s="361"/>
    </row>
    <row r="144" spans="5:14" ht="12.75">
      <c r="E144" s="11"/>
      <c r="F144" s="209"/>
      <c r="G144" s="242"/>
      <c r="H144" s="294"/>
      <c r="I144" s="7"/>
      <c r="J144" s="7"/>
      <c r="K144" s="11"/>
      <c r="L144" s="209"/>
      <c r="M144" s="242"/>
      <c r="N144" s="361"/>
    </row>
    <row r="145" spans="5:14" ht="12.75">
      <c r="E145" s="8"/>
      <c r="F145" s="7"/>
      <c r="G145" s="124"/>
      <c r="H145" s="124"/>
      <c r="I145" s="7"/>
      <c r="J145" s="7"/>
      <c r="K145" s="8"/>
      <c r="L145" s="7"/>
      <c r="M145" s="124"/>
      <c r="N145" s="124"/>
    </row>
    <row r="146" spans="5:14" ht="12.75">
      <c r="E146" s="8"/>
      <c r="F146" s="7"/>
      <c r="G146" s="7"/>
      <c r="H146" s="7"/>
      <c r="I146" s="7"/>
      <c r="J146" s="7"/>
      <c r="K146" s="8"/>
      <c r="L146" s="7"/>
      <c r="M146" s="7"/>
      <c r="N146" s="7"/>
    </row>
    <row r="147" spans="5:14" ht="15">
      <c r="E147" s="8"/>
      <c r="F147" s="7"/>
      <c r="G147" s="7"/>
      <c r="H147" s="360"/>
      <c r="I147" s="7"/>
      <c r="J147" s="7"/>
      <c r="K147" s="8"/>
      <c r="L147" s="7"/>
      <c r="M147" s="7"/>
      <c r="N147" s="360"/>
    </row>
    <row r="148" spans="5:14" ht="12.75">
      <c r="E148" s="11"/>
      <c r="F148" s="7"/>
      <c r="G148" s="241"/>
      <c r="H148" s="126"/>
      <c r="I148" s="7"/>
      <c r="J148" s="7"/>
      <c r="K148" s="11"/>
      <c r="L148" s="7"/>
      <c r="M148" s="241"/>
      <c r="N148" s="126"/>
    </row>
    <row r="149" spans="5:14" ht="12.75">
      <c r="E149" s="11"/>
      <c r="F149" s="209"/>
      <c r="G149" s="242"/>
      <c r="H149" s="361"/>
      <c r="I149" s="7"/>
      <c r="J149" s="7"/>
      <c r="K149" s="11"/>
      <c r="L149" s="209"/>
      <c r="M149" s="242"/>
      <c r="N149" s="361"/>
    </row>
    <row r="150" spans="5:14" ht="12.75">
      <c r="E150" s="11"/>
      <c r="F150" s="209"/>
      <c r="G150" s="242"/>
      <c r="H150" s="361"/>
      <c r="I150" s="7"/>
      <c r="J150" s="7"/>
      <c r="K150" s="11"/>
      <c r="L150" s="209"/>
      <c r="M150" s="242"/>
      <c r="N150" s="361"/>
    </row>
    <row r="151" spans="5:14" ht="12.75">
      <c r="E151" s="209"/>
      <c r="F151" s="209"/>
      <c r="G151" s="242"/>
      <c r="H151" s="209"/>
      <c r="I151" s="7"/>
      <c r="J151" s="7"/>
      <c r="K151" s="209"/>
      <c r="L151" s="209"/>
      <c r="M151" s="242"/>
      <c r="N151" s="209"/>
    </row>
    <row r="152" spans="5:14" ht="12.75">
      <c r="E152" s="209"/>
      <c r="F152" s="209"/>
      <c r="G152" s="242"/>
      <c r="H152" s="209"/>
      <c r="I152" s="7"/>
      <c r="J152" s="7"/>
      <c r="K152" s="209"/>
      <c r="L152" s="209"/>
      <c r="M152" s="242"/>
      <c r="N152" s="209"/>
    </row>
    <row r="153" spans="5:14" ht="12.75">
      <c r="E153" s="7"/>
      <c r="F153" s="7"/>
      <c r="G153" s="124"/>
      <c r="H153" s="124"/>
      <c r="I153" s="7"/>
      <c r="J153" s="7"/>
      <c r="K153" s="7"/>
      <c r="L153" s="7"/>
      <c r="M153" s="124"/>
      <c r="N153" s="124"/>
    </row>
    <row r="154" spans="5:14" ht="12.75"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5:14" ht="15">
      <c r="E155" s="7"/>
      <c r="F155" s="7"/>
      <c r="G155" s="7"/>
      <c r="H155" s="360"/>
      <c r="I155" s="7"/>
      <c r="J155" s="7"/>
      <c r="K155" s="7"/>
      <c r="L155" s="7"/>
      <c r="M155" s="7"/>
      <c r="N155" s="360"/>
    </row>
    <row r="156" spans="5:14" ht="12.75">
      <c r="E156" s="11"/>
      <c r="F156" s="7"/>
      <c r="G156" s="241"/>
      <c r="H156" s="126"/>
      <c r="I156" s="7"/>
      <c r="J156" s="7"/>
      <c r="K156" s="11"/>
      <c r="L156" s="7"/>
      <c r="M156" s="241"/>
      <c r="N156" s="126"/>
    </row>
    <row r="157" spans="5:14" ht="12.75">
      <c r="E157" s="11"/>
      <c r="F157" s="209"/>
      <c r="G157" s="242"/>
      <c r="H157" s="361"/>
      <c r="I157" s="7"/>
      <c r="J157" s="7"/>
      <c r="K157" s="11"/>
      <c r="L157" s="209"/>
      <c r="M157" s="242"/>
      <c r="N157" s="361"/>
    </row>
    <row r="158" spans="5:14" ht="12.75">
      <c r="E158" s="11"/>
      <c r="F158" s="209"/>
      <c r="G158" s="242"/>
      <c r="H158" s="361"/>
      <c r="I158" s="7"/>
      <c r="J158" s="7"/>
      <c r="K158" s="11"/>
      <c r="L158" s="209"/>
      <c r="M158" s="242"/>
      <c r="N158" s="361"/>
    </row>
    <row r="159" spans="5:14" ht="12.75">
      <c r="E159" s="11"/>
      <c r="F159" s="209"/>
      <c r="G159" s="242"/>
      <c r="H159" s="294"/>
      <c r="I159" s="7"/>
      <c r="J159" s="7"/>
      <c r="K159" s="11"/>
      <c r="L159" s="209"/>
      <c r="M159" s="242"/>
      <c r="N159" s="294"/>
    </row>
    <row r="160" spans="5:14" ht="12.75">
      <c r="E160" s="11"/>
      <c r="F160" s="209"/>
      <c r="G160" s="242"/>
      <c r="H160" s="294"/>
      <c r="I160" s="7"/>
      <c r="J160" s="7"/>
      <c r="K160" s="11"/>
      <c r="L160" s="209"/>
      <c r="M160" s="242"/>
      <c r="N160" s="294"/>
    </row>
    <row r="161" spans="5:14" ht="12.75">
      <c r="E161" s="8"/>
      <c r="F161" s="7"/>
      <c r="G161" s="124"/>
      <c r="H161" s="124"/>
      <c r="I161" s="7"/>
      <c r="J161" s="7"/>
      <c r="K161" s="8"/>
      <c r="L161" s="7"/>
      <c r="M161" s="124"/>
      <c r="N161" s="124"/>
    </row>
    <row r="162" spans="5:14" ht="12.75">
      <c r="E162" s="8"/>
      <c r="F162" s="7"/>
      <c r="G162" s="7"/>
      <c r="H162" s="7"/>
      <c r="I162" s="7"/>
      <c r="J162" s="7"/>
      <c r="K162" s="8"/>
      <c r="L162" s="7"/>
      <c r="M162" s="7"/>
      <c r="N162" s="7"/>
    </row>
    <row r="163" spans="5:14" ht="15">
      <c r="E163" s="8"/>
      <c r="F163" s="7"/>
      <c r="G163" s="7"/>
      <c r="H163" s="360"/>
      <c r="I163" s="7"/>
      <c r="J163" s="7"/>
      <c r="K163" s="8"/>
      <c r="L163" s="7"/>
      <c r="M163" s="7"/>
      <c r="N163" s="360"/>
    </row>
    <row r="164" spans="5:14" ht="12.75">
      <c r="E164" s="11"/>
      <c r="F164" s="7"/>
      <c r="G164" s="241"/>
      <c r="H164" s="126"/>
      <c r="I164" s="7"/>
      <c r="J164" s="7"/>
      <c r="K164" s="11"/>
      <c r="L164" s="7"/>
      <c r="M164" s="241"/>
      <c r="N164" s="126"/>
    </row>
    <row r="165" spans="5:14" ht="12.75">
      <c r="E165" s="11"/>
      <c r="F165" s="209"/>
      <c r="G165" s="242"/>
      <c r="H165" s="361"/>
      <c r="I165" s="7"/>
      <c r="J165" s="7"/>
      <c r="K165" s="11"/>
      <c r="L165" s="209"/>
      <c r="M165" s="242"/>
      <c r="N165" s="361"/>
    </row>
    <row r="166" spans="5:14" ht="12.75">
      <c r="E166" s="11"/>
      <c r="F166" s="209"/>
      <c r="G166" s="242"/>
      <c r="H166" s="361"/>
      <c r="I166" s="7"/>
      <c r="J166" s="7"/>
      <c r="K166" s="11"/>
      <c r="L166" s="209"/>
      <c r="M166" s="242"/>
      <c r="N166" s="361"/>
    </row>
    <row r="167" spans="5:14" ht="12.75">
      <c r="E167" s="209"/>
      <c r="F167" s="209"/>
      <c r="G167" s="242"/>
      <c r="H167" s="209"/>
      <c r="I167" s="7"/>
      <c r="J167" s="7"/>
      <c r="K167" s="209"/>
      <c r="L167" s="209"/>
      <c r="M167" s="242"/>
      <c r="N167" s="209"/>
    </row>
    <row r="168" spans="5:14" ht="12.75">
      <c r="E168" s="209"/>
      <c r="F168" s="209"/>
      <c r="G168" s="242"/>
      <c r="H168" s="209"/>
      <c r="I168" s="7"/>
      <c r="J168" s="7"/>
      <c r="K168" s="209"/>
      <c r="L168" s="209"/>
      <c r="M168" s="242"/>
      <c r="N168" s="209"/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29.00390625" style="0" customWidth="1"/>
    <col min="5" max="5" width="9.00390625" style="0" customWidth="1"/>
    <col min="6" max="6" width="17.8515625" style="0" customWidth="1"/>
    <col min="7" max="7" width="26.8515625" style="0" customWidth="1"/>
    <col min="8" max="8" width="16.7109375" style="0" customWidth="1"/>
    <col min="9" max="9" width="26.28125" style="0" customWidth="1"/>
    <col min="10" max="10" width="21.421875" style="0" customWidth="1"/>
    <col min="11" max="11" width="14.28125" style="0" customWidth="1"/>
    <col min="12" max="12" width="32.57421875" style="0" customWidth="1"/>
  </cols>
  <sheetData>
    <row r="1" spans="1:8" ht="12.75">
      <c r="A1" s="187" t="s">
        <v>209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 t="s">
        <v>110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.75">
      <c r="A5" s="1" t="s">
        <v>169</v>
      </c>
      <c r="B5" s="1"/>
      <c r="C5" s="1"/>
      <c r="D5" s="1"/>
      <c r="E5" s="1"/>
      <c r="F5" s="217" t="s">
        <v>131</v>
      </c>
      <c r="G5" s="217"/>
      <c r="H5" s="216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 t="s">
        <v>111</v>
      </c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2:11" ht="12.75">
      <c r="B9" s="1" t="s">
        <v>0</v>
      </c>
      <c r="C9" t="s">
        <v>13</v>
      </c>
      <c r="G9" s="1"/>
      <c r="H9" s="12"/>
      <c r="K9" s="12"/>
    </row>
    <row r="10" spans="2:11" ht="12.75">
      <c r="B10" s="1" t="s">
        <v>2</v>
      </c>
      <c r="C10" s="221" t="s">
        <v>175</v>
      </c>
      <c r="G10" s="1" t="s">
        <v>3</v>
      </c>
      <c r="H10" t="s">
        <v>14</v>
      </c>
      <c r="J10" s="1" t="s">
        <v>4</v>
      </c>
      <c r="K10" t="s">
        <v>23</v>
      </c>
    </row>
    <row r="11" spans="2:6" ht="12.75">
      <c r="B11" s="1" t="s">
        <v>126</v>
      </c>
      <c r="C11" s="7" t="s">
        <v>127</v>
      </c>
      <c r="D11" s="7"/>
      <c r="E11" s="7"/>
      <c r="F11" s="7"/>
    </row>
    <row r="12" ht="12.75">
      <c r="B12" s="1"/>
    </row>
    <row r="14" ht="12.75">
      <c r="B14" s="1" t="s">
        <v>92</v>
      </c>
    </row>
    <row r="15" spans="2:3" ht="12.75">
      <c r="B15" s="1" t="s">
        <v>53</v>
      </c>
      <c r="C15" s="221" t="s">
        <v>199</v>
      </c>
    </row>
    <row r="16" spans="2:4" ht="12.75">
      <c r="B16" s="1" t="s">
        <v>54</v>
      </c>
      <c r="D16" t="s">
        <v>55</v>
      </c>
    </row>
    <row r="19" spans="2:15" ht="15">
      <c r="B19" s="221"/>
      <c r="C19" s="221"/>
      <c r="D19" s="221"/>
      <c r="E19" s="221"/>
      <c r="F19" s="221"/>
      <c r="G19" s="221"/>
      <c r="L19" s="215" t="s">
        <v>72</v>
      </c>
      <c r="M19" s="215"/>
      <c r="N19" s="215"/>
      <c r="O19" s="215"/>
    </row>
    <row r="20" spans="12:15" ht="15">
      <c r="L20" s="215" t="s">
        <v>73</v>
      </c>
      <c r="M20" s="215"/>
      <c r="N20" s="215"/>
      <c r="O20" s="215"/>
    </row>
    <row r="21" spans="1:15" ht="15.75">
      <c r="A21" s="218"/>
      <c r="B21" s="219"/>
      <c r="C21" s="219"/>
      <c r="D21" s="219"/>
      <c r="E21" s="219"/>
      <c r="F21" s="219"/>
      <c r="G21" s="219"/>
      <c r="H21" s="219"/>
      <c r="I21" s="220"/>
      <c r="J21" s="220"/>
      <c r="L21" s="215" t="s">
        <v>201</v>
      </c>
      <c r="M21" s="215"/>
      <c r="N21" s="215"/>
      <c r="O21" s="215"/>
    </row>
    <row r="22" spans="12:15" ht="15">
      <c r="L22" s="215" t="s">
        <v>203</v>
      </c>
      <c r="M22" s="215"/>
      <c r="N22" s="215"/>
      <c r="O22" s="215"/>
    </row>
    <row r="23" spans="12:15" ht="15">
      <c r="L23" s="215" t="s">
        <v>90</v>
      </c>
      <c r="M23" s="215"/>
      <c r="N23" s="215"/>
      <c r="O23" s="215"/>
    </row>
    <row r="24" spans="2:15" ht="15">
      <c r="B24" s="123"/>
      <c r="C24" s="123"/>
      <c r="D24" s="127"/>
      <c r="E24" s="31"/>
      <c r="F24" s="31"/>
      <c r="G24" s="31"/>
      <c r="H24" s="128"/>
      <c r="I24" s="7"/>
      <c r="J24" s="43"/>
      <c r="K24" s="31"/>
      <c r="L24" s="215" t="s">
        <v>74</v>
      </c>
      <c r="M24" s="215"/>
      <c r="N24" s="215"/>
      <c r="O24" s="215"/>
    </row>
    <row r="25" spans="1:11" ht="12.75">
      <c r="A25" s="1" t="s">
        <v>128</v>
      </c>
      <c r="B25" s="123"/>
      <c r="C25" s="123"/>
      <c r="D25" s="127"/>
      <c r="E25" s="31"/>
      <c r="F25" s="31"/>
      <c r="G25" s="31"/>
      <c r="H25" s="128"/>
      <c r="I25" s="7"/>
      <c r="J25" s="43"/>
      <c r="K25" s="31"/>
    </row>
    <row r="26" spans="2:11" ht="12.75">
      <c r="B26" s="123"/>
      <c r="C26" s="123"/>
      <c r="D26" s="127"/>
      <c r="E26" s="31"/>
      <c r="F26" s="31"/>
      <c r="G26" s="31"/>
      <c r="H26" s="128"/>
      <c r="I26" s="7"/>
      <c r="J26" s="43"/>
      <c r="K26" s="31"/>
    </row>
    <row r="27" spans="1:4" ht="15">
      <c r="A27" s="362" t="s">
        <v>200</v>
      </c>
      <c r="B27" s="363"/>
      <c r="C27" s="364"/>
      <c r="D27" s="364"/>
    </row>
    <row r="28" spans="1:4" ht="15">
      <c r="A28" s="365" t="s">
        <v>204</v>
      </c>
      <c r="B28" s="366"/>
      <c r="C28" s="365"/>
      <c r="D28" s="366"/>
    </row>
    <row r="29" spans="1:4" ht="15">
      <c r="A29" s="367" t="s">
        <v>205</v>
      </c>
      <c r="B29" s="366"/>
      <c r="C29" s="365"/>
      <c r="D29" s="366"/>
    </row>
    <row r="30" spans="1:4" ht="15">
      <c r="A30" s="367" t="s">
        <v>206</v>
      </c>
      <c r="B30" s="366"/>
      <c r="C30" s="365"/>
      <c r="D30" s="366"/>
    </row>
    <row r="31" spans="1:4" ht="15">
      <c r="A31" s="365" t="s">
        <v>207</v>
      </c>
      <c r="B31" s="366"/>
      <c r="C31" s="365"/>
      <c r="D31" s="368"/>
    </row>
    <row r="32" spans="1:4" ht="15">
      <c r="A32" s="369" t="s">
        <v>208</v>
      </c>
      <c r="B32" s="366"/>
      <c r="C32" s="365"/>
      <c r="D32" s="368"/>
    </row>
    <row r="33" spans="1:3" ht="15">
      <c r="A33" s="215" t="s">
        <v>202</v>
      </c>
      <c r="B33" s="215"/>
      <c r="C33" s="215"/>
    </row>
    <row r="34" spans="1:3" ht="12.75">
      <c r="A34" s="328"/>
      <c r="B34" s="1"/>
      <c r="C34" s="1"/>
    </row>
    <row r="35" ht="12.75">
      <c r="A35" s="213"/>
    </row>
    <row r="36" spans="2:8" ht="15">
      <c r="B36" s="222" t="s">
        <v>145</v>
      </c>
      <c r="C36" s="222"/>
      <c r="D36" s="222"/>
      <c r="E36" s="222"/>
      <c r="F36" s="222"/>
      <c r="G36" s="222"/>
      <c r="H36" s="220"/>
    </row>
    <row r="37" ht="12.75">
      <c r="B37" s="212"/>
    </row>
    <row r="38" spans="4:12" ht="15">
      <c r="D38" s="133" t="s">
        <v>122</v>
      </c>
      <c r="E38" s="133"/>
      <c r="F38" s="133"/>
      <c r="L38" s="215" t="s">
        <v>150</v>
      </c>
    </row>
    <row r="39" spans="1:12" ht="12.75">
      <c r="A39" s="191" t="s">
        <v>117</v>
      </c>
      <c r="B39" s="191" t="s">
        <v>118</v>
      </c>
      <c r="C39" s="191" t="s">
        <v>112</v>
      </c>
      <c r="D39" s="191" t="s">
        <v>113</v>
      </c>
      <c r="E39" s="191" t="s">
        <v>114</v>
      </c>
      <c r="F39" s="191" t="s">
        <v>115</v>
      </c>
      <c r="G39" s="325" t="s">
        <v>162</v>
      </c>
      <c r="H39" s="325" t="s">
        <v>149</v>
      </c>
      <c r="I39" s="325" t="s">
        <v>163</v>
      </c>
      <c r="J39" s="191" t="s">
        <v>116</v>
      </c>
      <c r="K39" s="191" t="s">
        <v>124</v>
      </c>
      <c r="L39" s="327" t="s">
        <v>151</v>
      </c>
    </row>
    <row r="40" spans="1:12" ht="12.75">
      <c r="A40" s="191"/>
      <c r="B40" s="191" t="s">
        <v>146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</row>
    <row r="41" spans="1:12" ht="12.75">
      <c r="A41" s="191">
        <v>0</v>
      </c>
      <c r="B41" s="208" t="s">
        <v>119</v>
      </c>
      <c r="C41" s="191" t="s">
        <v>147</v>
      </c>
      <c r="D41" s="191"/>
      <c r="E41" s="191"/>
      <c r="F41" s="191"/>
      <c r="G41" s="191" t="s">
        <v>28</v>
      </c>
      <c r="H41" s="191" t="s">
        <v>28</v>
      </c>
      <c r="I41" s="191" t="s">
        <v>28</v>
      </c>
      <c r="J41" s="191">
        <v>0</v>
      </c>
      <c r="K41" s="191">
        <v>0</v>
      </c>
      <c r="L41" s="191"/>
    </row>
    <row r="42" spans="1:12" ht="12.75">
      <c r="A42" s="191">
        <v>0</v>
      </c>
      <c r="B42" s="208" t="s">
        <v>123</v>
      </c>
      <c r="C42" s="191" t="s">
        <v>148</v>
      </c>
      <c r="D42" s="326">
        <v>162</v>
      </c>
      <c r="E42" s="326"/>
      <c r="F42" s="326"/>
      <c r="G42" s="191" t="s">
        <v>28</v>
      </c>
      <c r="H42" s="191" t="s">
        <v>28</v>
      </c>
      <c r="I42" s="191" t="s">
        <v>28</v>
      </c>
      <c r="J42" s="191">
        <v>162</v>
      </c>
      <c r="K42" s="191">
        <v>162</v>
      </c>
      <c r="L42" s="191"/>
    </row>
    <row r="43" spans="1:12" ht="15">
      <c r="A43" s="191">
        <v>24</v>
      </c>
      <c r="B43" s="208" t="s">
        <v>123</v>
      </c>
      <c r="C43" s="191" t="s">
        <v>147</v>
      </c>
      <c r="D43" s="326"/>
      <c r="E43" s="326">
        <v>174</v>
      </c>
      <c r="F43" s="326">
        <v>6</v>
      </c>
      <c r="G43" s="325">
        <v>12</v>
      </c>
      <c r="H43" s="325" t="s">
        <v>28</v>
      </c>
      <c r="I43" s="191">
        <v>1</v>
      </c>
      <c r="J43" s="325" t="s">
        <v>155</v>
      </c>
      <c r="K43" s="191">
        <v>192</v>
      </c>
      <c r="L43" s="329">
        <f>K43/K44*100</f>
        <v>110.34482758620689</v>
      </c>
    </row>
    <row r="44" spans="1:12" ht="15">
      <c r="A44" s="191">
        <v>24</v>
      </c>
      <c r="B44" s="208" t="s">
        <v>123</v>
      </c>
      <c r="C44" s="191" t="s">
        <v>148</v>
      </c>
      <c r="D44" s="326">
        <v>174</v>
      </c>
      <c r="E44" s="326"/>
      <c r="F44" s="326"/>
      <c r="G44" s="325" t="s">
        <v>28</v>
      </c>
      <c r="H44" s="325" t="s">
        <v>28</v>
      </c>
      <c r="I44" s="191" t="s">
        <v>28</v>
      </c>
      <c r="J44" s="191">
        <v>174</v>
      </c>
      <c r="K44" s="191">
        <v>174</v>
      </c>
      <c r="L44" s="330"/>
    </row>
    <row r="45" spans="1:12" ht="15">
      <c r="A45" s="191">
        <v>48</v>
      </c>
      <c r="B45" s="208" t="s">
        <v>119</v>
      </c>
      <c r="C45" s="191" t="s">
        <v>147</v>
      </c>
      <c r="D45" s="326"/>
      <c r="E45" s="326">
        <v>175</v>
      </c>
      <c r="F45" s="326">
        <v>0</v>
      </c>
      <c r="G45" s="191">
        <v>13</v>
      </c>
      <c r="H45" s="191" t="s">
        <v>28</v>
      </c>
      <c r="I45" s="191">
        <v>1</v>
      </c>
      <c r="J45" s="325" t="s">
        <v>152</v>
      </c>
      <c r="K45" s="191">
        <v>189</v>
      </c>
      <c r="L45" s="329">
        <f>K45/K46*100</f>
        <v>106.17977528089888</v>
      </c>
    </row>
    <row r="46" spans="1:12" ht="15">
      <c r="A46" s="191">
        <v>48</v>
      </c>
      <c r="B46" s="208" t="s">
        <v>123</v>
      </c>
      <c r="C46" s="191" t="s">
        <v>148</v>
      </c>
      <c r="D46" s="326">
        <v>178</v>
      </c>
      <c r="E46" s="326"/>
      <c r="F46" s="326"/>
      <c r="G46" s="191" t="s">
        <v>28</v>
      </c>
      <c r="H46" s="191" t="s">
        <v>28</v>
      </c>
      <c r="I46" s="191" t="s">
        <v>28</v>
      </c>
      <c r="J46" s="191">
        <v>178</v>
      </c>
      <c r="K46" s="191">
        <v>178</v>
      </c>
      <c r="L46" s="330"/>
    </row>
    <row r="47" spans="1:12" ht="15">
      <c r="A47" s="191"/>
      <c r="B47" s="191"/>
      <c r="C47" s="191"/>
      <c r="D47" s="326"/>
      <c r="E47" s="326"/>
      <c r="F47" s="326"/>
      <c r="G47" s="191"/>
      <c r="H47" s="191"/>
      <c r="I47" s="191"/>
      <c r="J47" s="191"/>
      <c r="K47" s="191"/>
      <c r="L47" s="330"/>
    </row>
    <row r="48" spans="1:12" ht="15">
      <c r="A48" s="191">
        <v>0</v>
      </c>
      <c r="B48" s="208" t="s">
        <v>56</v>
      </c>
      <c r="C48" s="191" t="s">
        <v>147</v>
      </c>
      <c r="D48" s="326"/>
      <c r="E48" s="326"/>
      <c r="F48" s="326"/>
      <c r="G48" s="191" t="s">
        <v>28</v>
      </c>
      <c r="H48" s="191" t="s">
        <v>28</v>
      </c>
      <c r="I48" s="191" t="s">
        <v>28</v>
      </c>
      <c r="J48" s="191">
        <v>0</v>
      </c>
      <c r="K48" s="191">
        <v>0</v>
      </c>
      <c r="L48" s="330"/>
    </row>
    <row r="49" spans="1:12" ht="15">
      <c r="A49" s="191">
        <v>0</v>
      </c>
      <c r="B49" s="208" t="s">
        <v>56</v>
      </c>
      <c r="C49" s="191" t="s">
        <v>148</v>
      </c>
      <c r="D49" s="326">
        <v>350</v>
      </c>
      <c r="E49" s="326"/>
      <c r="F49" s="326"/>
      <c r="G49" s="191" t="s">
        <v>28</v>
      </c>
      <c r="H49" s="191" t="s">
        <v>28</v>
      </c>
      <c r="I49" s="191" t="s">
        <v>28</v>
      </c>
      <c r="J49" s="191">
        <v>350</v>
      </c>
      <c r="K49" s="191">
        <v>350</v>
      </c>
      <c r="L49" s="330"/>
    </row>
    <row r="50" spans="1:12" ht="15">
      <c r="A50" s="191">
        <v>24</v>
      </c>
      <c r="B50" s="208" t="s">
        <v>56</v>
      </c>
      <c r="C50" s="191" t="s">
        <v>147</v>
      </c>
      <c r="D50" s="326"/>
      <c r="E50" s="326">
        <v>357</v>
      </c>
      <c r="F50" s="326">
        <v>10</v>
      </c>
      <c r="G50" s="325">
        <v>16</v>
      </c>
      <c r="H50" s="325" t="s">
        <v>28</v>
      </c>
      <c r="I50" s="191">
        <v>1</v>
      </c>
      <c r="J50" s="325" t="s">
        <v>161</v>
      </c>
      <c r="K50" s="191">
        <v>384</v>
      </c>
      <c r="L50" s="329">
        <f>K50/K51*100</f>
        <v>110.02865329512895</v>
      </c>
    </row>
    <row r="51" spans="1:12" ht="15">
      <c r="A51" s="191">
        <v>24</v>
      </c>
      <c r="B51" s="208" t="s">
        <v>56</v>
      </c>
      <c r="C51" s="191" t="s">
        <v>148</v>
      </c>
      <c r="D51" s="326">
        <v>349</v>
      </c>
      <c r="E51" s="326"/>
      <c r="F51" s="326"/>
      <c r="G51" s="325" t="s">
        <v>28</v>
      </c>
      <c r="H51" s="325" t="s">
        <v>28</v>
      </c>
      <c r="I51" s="191" t="s">
        <v>28</v>
      </c>
      <c r="J51" s="191">
        <v>349</v>
      </c>
      <c r="K51" s="191">
        <v>349</v>
      </c>
      <c r="L51" s="330"/>
    </row>
    <row r="52" spans="1:12" ht="15">
      <c r="A52" s="191">
        <v>48</v>
      </c>
      <c r="B52" s="208" t="s">
        <v>56</v>
      </c>
      <c r="C52" s="191" t="s">
        <v>147</v>
      </c>
      <c r="D52" s="326"/>
      <c r="E52" s="326">
        <v>358</v>
      </c>
      <c r="F52" s="326">
        <v>1</v>
      </c>
      <c r="G52" s="191">
        <v>24</v>
      </c>
      <c r="H52" s="191" t="s">
        <v>28</v>
      </c>
      <c r="I52" s="191">
        <v>1</v>
      </c>
      <c r="J52" s="325" t="s">
        <v>153</v>
      </c>
      <c r="K52" s="191">
        <v>384</v>
      </c>
      <c r="L52" s="329">
        <f>K52/K53*100</f>
        <v>108.78186968838529</v>
      </c>
    </row>
    <row r="53" spans="1:12" ht="12.75">
      <c r="A53" s="191">
        <v>48</v>
      </c>
      <c r="B53" s="208" t="s">
        <v>56</v>
      </c>
      <c r="C53" s="191" t="s">
        <v>148</v>
      </c>
      <c r="D53" s="326">
        <v>353</v>
      </c>
      <c r="E53" s="326"/>
      <c r="F53" s="326"/>
      <c r="G53" s="191" t="s">
        <v>28</v>
      </c>
      <c r="H53" s="191" t="s">
        <v>28</v>
      </c>
      <c r="I53" s="191" t="s">
        <v>28</v>
      </c>
      <c r="J53" s="191">
        <v>353</v>
      </c>
      <c r="K53" s="191">
        <v>353</v>
      </c>
      <c r="L53" s="191"/>
    </row>
    <row r="54" spans="3:11" ht="12.75">
      <c r="C54" s="211"/>
      <c r="D54" s="211"/>
      <c r="E54" s="211"/>
      <c r="F54" s="211"/>
      <c r="G54" s="211"/>
      <c r="H54" s="211"/>
      <c r="I54" s="211"/>
      <c r="J54" s="211"/>
      <c r="K54" s="211"/>
    </row>
    <row r="55" spans="3:11" ht="12.75">
      <c r="C55" s="211"/>
      <c r="D55" s="211"/>
      <c r="E55" s="211"/>
      <c r="F55" s="211"/>
      <c r="G55" s="211"/>
      <c r="H55" s="211"/>
      <c r="I55" s="211"/>
      <c r="J55" s="211"/>
      <c r="K55" s="211"/>
    </row>
    <row r="56" spans="5:13" ht="12.75">
      <c r="E56" s="179" t="s">
        <v>138</v>
      </c>
      <c r="F56" s="179"/>
      <c r="G56" s="133"/>
      <c r="I56" s="179" t="s">
        <v>137</v>
      </c>
      <c r="J56" s="179"/>
      <c r="K56" s="148"/>
      <c r="L56" s="148"/>
      <c r="M56" s="211"/>
    </row>
    <row r="57" spans="5:13" ht="12.75">
      <c r="E57" s="239" t="s">
        <v>157</v>
      </c>
      <c r="F57" s="133"/>
      <c r="G57" s="133"/>
      <c r="I57" s="239" t="s">
        <v>158</v>
      </c>
      <c r="J57" s="133"/>
      <c r="K57" s="148"/>
      <c r="L57" s="148"/>
      <c r="M57" s="211"/>
    </row>
    <row r="58" spans="5:13" ht="12.75">
      <c r="E58" s="133"/>
      <c r="F58" s="133"/>
      <c r="G58" s="133"/>
      <c r="I58" s="133"/>
      <c r="J58" s="133"/>
      <c r="K58" s="148"/>
      <c r="L58" s="148"/>
      <c r="M58" s="211"/>
    </row>
    <row r="59" spans="5:13" ht="12.75">
      <c r="E59" s="180" t="s">
        <v>75</v>
      </c>
      <c r="F59" s="133"/>
      <c r="G59" s="133"/>
      <c r="I59" s="180" t="s">
        <v>75</v>
      </c>
      <c r="J59" s="133"/>
      <c r="K59" s="148"/>
      <c r="L59" s="148"/>
      <c r="M59" s="211"/>
    </row>
    <row r="60" spans="5:13" ht="12.75">
      <c r="E60" s="239" t="s">
        <v>159</v>
      </c>
      <c r="F60" s="133"/>
      <c r="G60" s="133"/>
      <c r="I60" s="239" t="s">
        <v>154</v>
      </c>
      <c r="J60" s="133"/>
      <c r="K60" s="148"/>
      <c r="L60" s="148"/>
      <c r="M60" s="211"/>
    </row>
    <row r="61" spans="5:12" ht="15.75">
      <c r="E61" s="222" t="s">
        <v>160</v>
      </c>
      <c r="F61" s="133"/>
      <c r="G61" s="133"/>
      <c r="I61" s="219" t="s">
        <v>180</v>
      </c>
      <c r="J61" s="133"/>
      <c r="K61" s="148"/>
      <c r="L61" s="148"/>
    </row>
    <row r="62" spans="5:12" ht="12.75">
      <c r="E62" s="133"/>
      <c r="F62" s="133"/>
      <c r="G62" s="133"/>
      <c r="I62" s="133"/>
      <c r="J62" s="133"/>
      <c r="K62" s="148"/>
      <c r="L62" s="148"/>
    </row>
    <row r="63" spans="5:12" ht="12.75">
      <c r="E63" s="180" t="s">
        <v>76</v>
      </c>
      <c r="F63" s="133"/>
      <c r="G63" s="133"/>
      <c r="I63" s="180" t="s">
        <v>76</v>
      </c>
      <c r="J63" s="133"/>
      <c r="K63" s="148"/>
      <c r="L63" s="148"/>
    </row>
    <row r="64" spans="5:12" ht="12.75">
      <c r="E64" s="239" t="s">
        <v>178</v>
      </c>
      <c r="F64" s="133"/>
      <c r="G64" s="133"/>
      <c r="I64" s="239" t="s">
        <v>181</v>
      </c>
      <c r="J64" s="133"/>
      <c r="K64" s="148"/>
      <c r="L64" s="148"/>
    </row>
    <row r="65" spans="5:12" ht="15">
      <c r="E65" s="222" t="s">
        <v>179</v>
      </c>
      <c r="F65" s="133"/>
      <c r="G65" s="133"/>
      <c r="I65" s="222" t="s">
        <v>182</v>
      </c>
      <c r="J65" s="133"/>
      <c r="K65" s="148"/>
      <c r="L65" s="148"/>
    </row>
    <row r="67" spans="1:12" ht="12.75">
      <c r="A67" s="209"/>
      <c r="B67" s="212"/>
      <c r="C67" s="212"/>
      <c r="D67" s="209"/>
      <c r="E67" s="209"/>
      <c r="F67" s="209"/>
      <c r="G67" s="209"/>
      <c r="H67" s="209"/>
      <c r="I67" s="209"/>
      <c r="J67" s="209"/>
      <c r="K67" s="209"/>
      <c r="L67" s="7"/>
    </row>
    <row r="68" spans="1:12" ht="12.75">
      <c r="A68" s="209"/>
      <c r="B68" s="212"/>
      <c r="C68" s="212"/>
      <c r="D68" s="209"/>
      <c r="E68" s="209"/>
      <c r="F68" s="209"/>
      <c r="G68" s="209"/>
      <c r="H68" s="209"/>
      <c r="I68" s="209"/>
      <c r="J68" s="209"/>
      <c r="K68" s="209"/>
      <c r="L68" s="7"/>
    </row>
    <row r="69" ht="15.75">
      <c r="A69" s="334"/>
    </row>
    <row r="70" spans="4:8" ht="15.75">
      <c r="D70" s="225" t="s">
        <v>156</v>
      </c>
      <c r="E70" s="220"/>
      <c r="F70" s="220"/>
      <c r="G70" s="220"/>
      <c r="H70" s="220"/>
    </row>
    <row r="71" spans="1:12" s="148" customFormat="1" ht="15.75">
      <c r="A71" s="335"/>
      <c r="B71" s="335"/>
      <c r="C71" s="338"/>
      <c r="D71" s="338"/>
      <c r="E71" s="338"/>
      <c r="F71" s="338"/>
      <c r="G71" s="339"/>
      <c r="H71" s="338" t="s">
        <v>164</v>
      </c>
      <c r="I71" s="338"/>
      <c r="J71" s="338"/>
      <c r="K71" s="340"/>
      <c r="L71" s="222"/>
    </row>
    <row r="74" ht="12.75">
      <c r="E74" s="324"/>
    </row>
    <row r="75" ht="12.75">
      <c r="E75" s="324"/>
    </row>
    <row r="76" ht="12.75">
      <c r="E76" s="324"/>
    </row>
    <row r="77" ht="12.75">
      <c r="E77" s="324"/>
    </row>
    <row r="78" ht="12.75">
      <c r="E78" s="324"/>
    </row>
    <row r="79" ht="12.75">
      <c r="E79" s="324"/>
    </row>
    <row r="80" ht="12.75">
      <c r="E80" s="324"/>
    </row>
    <row r="81" ht="12.75">
      <c r="E81" s="324"/>
    </row>
    <row r="82" ht="12.75">
      <c r="E82" s="324"/>
    </row>
    <row r="83" ht="12.75">
      <c r="E83" s="324"/>
    </row>
    <row r="84" ht="12.75">
      <c r="E84" s="324"/>
    </row>
    <row r="85" ht="12.75">
      <c r="E85" s="324"/>
    </row>
    <row r="86" ht="12.75">
      <c r="E86" s="324"/>
    </row>
    <row r="87" ht="12.75">
      <c r="E87" s="324"/>
    </row>
    <row r="88" ht="12.75">
      <c r="E88" s="324"/>
    </row>
    <row r="89" ht="12.75">
      <c r="E89" s="324"/>
    </row>
    <row r="90" ht="12.75">
      <c r="E90" s="324"/>
    </row>
    <row r="91" ht="12.75">
      <c r="E91" s="324"/>
    </row>
    <row r="92" spans="3:11" ht="12.75">
      <c r="C92" s="331"/>
      <c r="D92" s="331"/>
      <c r="E92" s="332"/>
      <c r="F92" s="331"/>
      <c r="G92" s="331"/>
      <c r="H92" s="331"/>
      <c r="I92" s="331"/>
      <c r="J92" s="331"/>
      <c r="K92" s="331"/>
    </row>
    <row r="93" ht="12.75">
      <c r="E93" s="324"/>
    </row>
    <row r="94" ht="12.75">
      <c r="E94" s="324"/>
    </row>
    <row r="95" ht="12.75">
      <c r="E95" s="324"/>
    </row>
    <row r="96" ht="12.75">
      <c r="E96" s="324"/>
    </row>
    <row r="97" ht="12.75">
      <c r="E97" s="324"/>
    </row>
    <row r="98" ht="12.75">
      <c r="E98" s="324"/>
    </row>
    <row r="99" ht="12.75">
      <c r="E99" s="324"/>
    </row>
    <row r="100" ht="12.75">
      <c r="E100" s="324"/>
    </row>
    <row r="101" ht="12.75">
      <c r="E101" s="324"/>
    </row>
    <row r="102" ht="12.75">
      <c r="E102" s="324"/>
    </row>
    <row r="103" ht="12.75">
      <c r="E103" s="324"/>
    </row>
    <row r="104" ht="12.75">
      <c r="E104" s="324"/>
    </row>
    <row r="105" ht="12.75">
      <c r="E105" s="324"/>
    </row>
    <row r="106" ht="12.75">
      <c r="E106" s="324"/>
    </row>
    <row r="107" ht="12.75">
      <c r="E107" s="324"/>
    </row>
    <row r="108" ht="12.75">
      <c r="E108" s="324"/>
    </row>
    <row r="109" ht="12.75">
      <c r="E109" s="324"/>
    </row>
    <row r="110" ht="12.75">
      <c r="E110" s="3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5"/>
  <sheetViews>
    <sheetView zoomScalePageLayoutView="0" workbookViewId="0" topLeftCell="A1">
      <selection activeCell="X13" sqref="X13"/>
    </sheetView>
  </sheetViews>
  <sheetFormatPr defaultColWidth="9.140625" defaultRowHeight="12.75"/>
  <sheetData>
    <row r="1" spans="1:22" ht="15.75">
      <c r="A1" s="296" t="s">
        <v>129</v>
      </c>
      <c r="B1" s="296"/>
      <c r="C1" s="296"/>
      <c r="D1" s="296"/>
      <c r="E1" s="296"/>
      <c r="F1" s="296"/>
      <c r="G1" s="296"/>
      <c r="T1" s="88" t="s">
        <v>71</v>
      </c>
      <c r="U1">
        <v>1352.3</v>
      </c>
      <c r="V1">
        <v>1388.4</v>
      </c>
    </row>
    <row r="2" spans="20:22" ht="12.75">
      <c r="T2" s="88" t="s">
        <v>70</v>
      </c>
      <c r="U2">
        <v>84.274</v>
      </c>
      <c r="V2">
        <v>83.9</v>
      </c>
    </row>
    <row r="3" spans="2:28" ht="15">
      <c r="B3" s="53" t="s">
        <v>27</v>
      </c>
      <c r="T3" s="88" t="s">
        <v>94</v>
      </c>
      <c r="U3">
        <v>0.9999</v>
      </c>
      <c r="V3">
        <v>0.9996</v>
      </c>
      <c r="Y3" s="362" t="s">
        <v>200</v>
      </c>
      <c r="Z3" s="363"/>
      <c r="AA3" s="364"/>
      <c r="AB3" s="364"/>
    </row>
    <row r="4" spans="2:28" ht="18.75">
      <c r="B4" s="91" t="s">
        <v>12</v>
      </c>
      <c r="C4" s="39" t="s">
        <v>41</v>
      </c>
      <c r="D4" s="39" t="s">
        <v>42</v>
      </c>
      <c r="E4" s="39" t="s">
        <v>31</v>
      </c>
      <c r="F4" s="39" t="s">
        <v>12</v>
      </c>
      <c r="G4" s="39" t="s">
        <v>12</v>
      </c>
      <c r="H4" s="39" t="s">
        <v>12</v>
      </c>
      <c r="I4" s="39" t="s">
        <v>12</v>
      </c>
      <c r="J4" s="39" t="s">
        <v>12</v>
      </c>
      <c r="K4" s="39" t="s">
        <v>12</v>
      </c>
      <c r="M4" s="217" t="s">
        <v>131</v>
      </c>
      <c r="N4" s="217"/>
      <c r="O4" s="216"/>
      <c r="P4" s="220"/>
      <c r="Q4" s="220"/>
      <c r="T4" s="88"/>
      <c r="Y4" s="365" t="s">
        <v>204</v>
      </c>
      <c r="Z4" s="366"/>
      <c r="AA4" s="365"/>
      <c r="AB4" s="366"/>
    </row>
    <row r="5" spans="2:28" ht="15">
      <c r="B5" s="2" t="s">
        <v>5</v>
      </c>
      <c r="C5" s="22" t="s">
        <v>34</v>
      </c>
      <c r="D5" s="41" t="s">
        <v>7</v>
      </c>
      <c r="E5" s="57" t="s">
        <v>33</v>
      </c>
      <c r="F5" s="22" t="s">
        <v>37</v>
      </c>
      <c r="G5" s="22" t="s">
        <v>32</v>
      </c>
      <c r="H5" s="63" t="s">
        <v>33</v>
      </c>
      <c r="I5" s="22" t="s">
        <v>37</v>
      </c>
      <c r="J5" s="22" t="s">
        <v>32</v>
      </c>
      <c r="K5" s="63" t="s">
        <v>33</v>
      </c>
      <c r="T5" s="166"/>
      <c r="U5" s="166"/>
      <c r="V5" s="166"/>
      <c r="Y5" s="367" t="s">
        <v>205</v>
      </c>
      <c r="Z5" s="366"/>
      <c r="AA5" s="365"/>
      <c r="AB5" s="366"/>
    </row>
    <row r="6" spans="2:28" ht="15">
      <c r="B6" s="3" t="s">
        <v>8</v>
      </c>
      <c r="C6" s="23" t="s">
        <v>35</v>
      </c>
      <c r="D6" s="24" t="s">
        <v>35</v>
      </c>
      <c r="E6" s="58" t="s">
        <v>35</v>
      </c>
      <c r="F6" s="56" t="s">
        <v>38</v>
      </c>
      <c r="G6" s="56" t="s">
        <v>38</v>
      </c>
      <c r="H6" s="64" t="s">
        <v>38</v>
      </c>
      <c r="I6" s="23" t="s">
        <v>49</v>
      </c>
      <c r="J6" s="23" t="s">
        <v>49</v>
      </c>
      <c r="K6" s="66" t="s">
        <v>49</v>
      </c>
      <c r="T6" s="166" t="s">
        <v>95</v>
      </c>
      <c r="U6" s="166"/>
      <c r="V6" s="166"/>
      <c r="Y6" s="367" t="s">
        <v>206</v>
      </c>
      <c r="Z6" s="366"/>
      <c r="AA6" s="365"/>
      <c r="AB6" s="366"/>
    </row>
    <row r="7" spans="2:28" ht="15">
      <c r="B7" s="20"/>
      <c r="C7" s="14"/>
      <c r="D7" s="15"/>
      <c r="E7" s="59"/>
      <c r="F7" s="14"/>
      <c r="G7" s="54"/>
      <c r="H7" s="65"/>
      <c r="I7" s="54"/>
      <c r="J7" s="54"/>
      <c r="K7" s="65"/>
      <c r="T7" s="166"/>
      <c r="U7" s="166"/>
      <c r="V7" s="166"/>
      <c r="Y7" s="365" t="s">
        <v>207</v>
      </c>
      <c r="Z7" s="366"/>
      <c r="AA7" s="365"/>
      <c r="AB7" s="368"/>
    </row>
    <row r="8" spans="2:28" ht="15">
      <c r="B8" s="20">
        <v>0.5</v>
      </c>
      <c r="C8" s="13">
        <v>903</v>
      </c>
      <c r="D8" s="16">
        <v>777.29</v>
      </c>
      <c r="E8" s="60">
        <f aca="true" t="shared" si="0" ref="E8:E14">AVERAGE(C8,D8)</f>
        <v>840.145</v>
      </c>
      <c r="F8" s="77">
        <f>(C8-84.274)/1352.3</f>
        <v>0.605432226576943</v>
      </c>
      <c r="G8" s="77">
        <f>(D8-84.274)/1352.3</f>
        <v>0.5124720845966132</v>
      </c>
      <c r="H8" s="78">
        <f>AVERAGE(F8,G8)</f>
        <v>0.558952155586778</v>
      </c>
      <c r="I8" s="79">
        <f>F8/B8*100</f>
        <v>121.08644531538859</v>
      </c>
      <c r="J8" s="79">
        <f>G8/B8*100</f>
        <v>102.49441691932265</v>
      </c>
      <c r="K8" s="78">
        <f>H8/B8*100</f>
        <v>111.79043111735561</v>
      </c>
      <c r="T8" s="166"/>
      <c r="U8" s="166"/>
      <c r="V8" s="166"/>
      <c r="Y8" s="369" t="s">
        <v>208</v>
      </c>
      <c r="Z8" s="366"/>
      <c r="AA8" s="365"/>
      <c r="AB8" s="368"/>
    </row>
    <row r="9" spans="2:27" ht="15">
      <c r="B9" s="20">
        <v>1</v>
      </c>
      <c r="C9" s="13">
        <v>1516</v>
      </c>
      <c r="D9" s="15">
        <v>1289</v>
      </c>
      <c r="E9" s="60">
        <f t="shared" si="0"/>
        <v>1402.5</v>
      </c>
      <c r="F9" s="77">
        <f aca="true" t="shared" si="1" ref="F9:G14">(C9-84.274)/1352.3</f>
        <v>1.0587340087258745</v>
      </c>
      <c r="G9" s="79">
        <f t="shared" si="1"/>
        <v>0.8908718479627302</v>
      </c>
      <c r="H9" s="78">
        <f aca="true" t="shared" si="2" ref="H9:H14">AVERAGE(F9,G9)</f>
        <v>0.9748029283443024</v>
      </c>
      <c r="I9" s="79">
        <f aca="true" t="shared" si="3" ref="I9:I14">F9/B9*100</f>
        <v>105.87340087258745</v>
      </c>
      <c r="J9" s="79">
        <f aca="true" t="shared" si="4" ref="J9:J14">G9/B9*100</f>
        <v>89.08718479627302</v>
      </c>
      <c r="K9" s="78">
        <f aca="true" t="shared" si="5" ref="K9:K14">H9/B9*100</f>
        <v>97.48029283443024</v>
      </c>
      <c r="Q9" s="8"/>
      <c r="R9" s="8"/>
      <c r="S9" s="8"/>
      <c r="T9" s="166"/>
      <c r="U9" s="166"/>
      <c r="V9" s="166"/>
      <c r="Y9" s="215" t="s">
        <v>202</v>
      </c>
      <c r="Z9" s="215"/>
      <c r="AA9" s="215"/>
    </row>
    <row r="10" spans="2:22" ht="12.75">
      <c r="B10" s="20">
        <v>5</v>
      </c>
      <c r="C10" s="17">
        <v>7746</v>
      </c>
      <c r="D10" s="18">
        <v>6321</v>
      </c>
      <c r="E10" s="60">
        <f t="shared" si="0"/>
        <v>7033.5</v>
      </c>
      <c r="F10" s="77">
        <f t="shared" si="1"/>
        <v>5.665699918657102</v>
      </c>
      <c r="G10" s="79">
        <f t="shared" si="1"/>
        <v>4.611939658359831</v>
      </c>
      <c r="H10" s="78">
        <f t="shared" si="2"/>
        <v>5.138819788508467</v>
      </c>
      <c r="I10" s="79">
        <f t="shared" si="3"/>
        <v>113.31399837314204</v>
      </c>
      <c r="J10" s="79">
        <f t="shared" si="4"/>
        <v>92.23879316719662</v>
      </c>
      <c r="K10" s="78">
        <f t="shared" si="5"/>
        <v>102.77639577016934</v>
      </c>
      <c r="Q10" s="8"/>
      <c r="R10" s="8"/>
      <c r="S10" s="8"/>
      <c r="T10" s="166"/>
      <c r="U10" s="166"/>
      <c r="V10" s="166"/>
    </row>
    <row r="11" spans="2:22" ht="12.75">
      <c r="B11" s="20">
        <v>10</v>
      </c>
      <c r="C11" s="33"/>
      <c r="D11" s="18">
        <v>13649</v>
      </c>
      <c r="E11" s="61">
        <f t="shared" si="0"/>
        <v>13649</v>
      </c>
      <c r="F11" s="77"/>
      <c r="G11" s="79">
        <f t="shared" si="1"/>
        <v>10.030855579383275</v>
      </c>
      <c r="H11" s="78">
        <f t="shared" si="2"/>
        <v>10.030855579383275</v>
      </c>
      <c r="I11" s="79"/>
      <c r="J11" s="79">
        <f t="shared" si="4"/>
        <v>100.30855579383275</v>
      </c>
      <c r="K11" s="78">
        <f t="shared" si="5"/>
        <v>100.30855579383275</v>
      </c>
      <c r="Q11" s="11"/>
      <c r="R11" s="11"/>
      <c r="S11" s="11"/>
      <c r="T11" s="166"/>
      <c r="U11" s="166"/>
      <c r="V11" s="166"/>
    </row>
    <row r="12" spans="2:22" ht="12.75">
      <c r="B12" s="20">
        <v>50</v>
      </c>
      <c r="C12" s="17">
        <v>75435</v>
      </c>
      <c r="D12" s="18">
        <v>57983</v>
      </c>
      <c r="E12" s="60">
        <f t="shared" si="0"/>
        <v>66709</v>
      </c>
      <c r="F12" s="77">
        <f t="shared" si="1"/>
        <v>55.72042150410412</v>
      </c>
      <c r="G12" s="79">
        <f t="shared" si="1"/>
        <v>42.81500110922133</v>
      </c>
      <c r="H12" s="78">
        <f t="shared" si="2"/>
        <v>49.26771130666272</v>
      </c>
      <c r="I12" s="79">
        <f t="shared" si="3"/>
        <v>111.44084300820822</v>
      </c>
      <c r="J12" s="79">
        <f t="shared" si="4"/>
        <v>85.63000221844266</v>
      </c>
      <c r="K12" s="78">
        <f t="shared" si="5"/>
        <v>98.53542261332544</v>
      </c>
      <c r="Q12" s="7"/>
      <c r="R12" s="7"/>
      <c r="S12" s="7"/>
      <c r="T12" s="166"/>
      <c r="U12" s="166"/>
      <c r="V12" s="166"/>
    </row>
    <row r="13" spans="2:21" ht="12.75">
      <c r="B13" s="20">
        <v>75</v>
      </c>
      <c r="C13" s="17">
        <v>114881</v>
      </c>
      <c r="D13" s="18">
        <v>90016</v>
      </c>
      <c r="E13" s="60">
        <f t="shared" si="0"/>
        <v>102448.5</v>
      </c>
      <c r="F13" s="77">
        <f t="shared" si="1"/>
        <v>84.88998447090142</v>
      </c>
      <c r="G13" s="79">
        <f t="shared" si="1"/>
        <v>66.50279227981956</v>
      </c>
      <c r="H13" s="78">
        <f t="shared" si="2"/>
        <v>75.6963883753605</v>
      </c>
      <c r="I13" s="79">
        <f t="shared" si="3"/>
        <v>113.18664596120189</v>
      </c>
      <c r="J13" s="79">
        <f t="shared" si="4"/>
        <v>88.67038970642608</v>
      </c>
      <c r="K13" s="78">
        <f t="shared" si="5"/>
        <v>100.928517833814</v>
      </c>
      <c r="Q13" s="10"/>
      <c r="R13" s="7"/>
      <c r="S13" s="7"/>
      <c r="T13" s="166"/>
      <c r="U13" s="7"/>
    </row>
    <row r="14" spans="2:21" ht="13.5" thickBot="1">
      <c r="B14" s="21">
        <v>100</v>
      </c>
      <c r="C14" s="19">
        <v>154302</v>
      </c>
      <c r="D14" s="19">
        <v>115888</v>
      </c>
      <c r="E14" s="62">
        <f t="shared" si="0"/>
        <v>135095</v>
      </c>
      <c r="F14" s="80">
        <f t="shared" si="1"/>
        <v>114.04106041558826</v>
      </c>
      <c r="G14" s="81">
        <f t="shared" si="1"/>
        <v>85.6346417215115</v>
      </c>
      <c r="H14" s="82">
        <f t="shared" si="2"/>
        <v>99.83785106854988</v>
      </c>
      <c r="I14" s="79">
        <f t="shared" si="3"/>
        <v>114.04106041558826</v>
      </c>
      <c r="J14" s="79">
        <f t="shared" si="4"/>
        <v>85.6346417215115</v>
      </c>
      <c r="K14" s="78">
        <f t="shared" si="5"/>
        <v>99.83785106854988</v>
      </c>
      <c r="Q14" s="10"/>
      <c r="R14" s="7"/>
      <c r="S14" s="7"/>
      <c r="T14" s="166"/>
      <c r="U14" s="7"/>
    </row>
    <row r="15" spans="17:22" ht="12.75">
      <c r="Q15" s="10"/>
      <c r="R15" s="7"/>
      <c r="S15" s="7"/>
      <c r="T15" s="88" t="s">
        <v>71</v>
      </c>
      <c r="U15" s="7">
        <v>567.75</v>
      </c>
      <c r="V15">
        <v>1406.9</v>
      </c>
    </row>
    <row r="16" spans="17:22" ht="12.75">
      <c r="Q16" s="10"/>
      <c r="R16" s="7"/>
      <c r="S16" s="7"/>
      <c r="T16" s="88" t="s">
        <v>70</v>
      </c>
      <c r="U16" s="7">
        <v>-2393.7</v>
      </c>
      <c r="V16">
        <v>-507.9</v>
      </c>
    </row>
    <row r="17" spans="1:22" ht="12.75">
      <c r="A17" t="s">
        <v>40</v>
      </c>
      <c r="B17" s="90" t="s">
        <v>11</v>
      </c>
      <c r="C17" s="40" t="s">
        <v>43</v>
      </c>
      <c r="D17" s="40" t="s">
        <v>44</v>
      </c>
      <c r="E17" s="40" t="s">
        <v>11</v>
      </c>
      <c r="F17" s="40" t="s">
        <v>11</v>
      </c>
      <c r="G17" s="40" t="s">
        <v>11</v>
      </c>
      <c r="H17" s="40" t="s">
        <v>11</v>
      </c>
      <c r="I17" s="40" t="s">
        <v>11</v>
      </c>
      <c r="J17" s="40" t="s">
        <v>11</v>
      </c>
      <c r="K17" s="40" t="s">
        <v>11</v>
      </c>
      <c r="Q17" s="10"/>
      <c r="R17" s="7"/>
      <c r="S17" s="7"/>
      <c r="T17" s="88" t="s">
        <v>94</v>
      </c>
      <c r="U17">
        <v>0.997</v>
      </c>
      <c r="V17">
        <v>0.997</v>
      </c>
    </row>
    <row r="18" spans="2:21" ht="12.75">
      <c r="B18" s="2" t="s">
        <v>5</v>
      </c>
      <c r="C18" s="42" t="s">
        <v>24</v>
      </c>
      <c r="D18" s="42" t="s">
        <v>25</v>
      </c>
      <c r="E18" s="68" t="s">
        <v>33</v>
      </c>
      <c r="F18" s="42" t="s">
        <v>37</v>
      </c>
      <c r="G18" s="42" t="s">
        <v>32</v>
      </c>
      <c r="H18" s="68" t="s">
        <v>33</v>
      </c>
      <c r="I18" s="42" t="s">
        <v>37</v>
      </c>
      <c r="J18" s="42" t="s">
        <v>32</v>
      </c>
      <c r="K18" s="68" t="s">
        <v>33</v>
      </c>
      <c r="M18" s="7"/>
      <c r="N18" s="10"/>
      <c r="Q18" s="10"/>
      <c r="R18" s="7"/>
      <c r="S18" s="7"/>
      <c r="T18" s="166"/>
      <c r="U18" s="7"/>
    </row>
    <row r="19" spans="2:21" ht="12.75">
      <c r="B19" s="3" t="s">
        <v>8</v>
      </c>
      <c r="C19" s="28" t="s">
        <v>35</v>
      </c>
      <c r="D19" s="28" t="s">
        <v>36</v>
      </c>
      <c r="E19" s="69" t="s">
        <v>35</v>
      </c>
      <c r="F19" s="35" t="s">
        <v>38</v>
      </c>
      <c r="G19" s="35" t="s">
        <v>38</v>
      </c>
      <c r="H19" s="73" t="s">
        <v>38</v>
      </c>
      <c r="I19" s="28" t="s">
        <v>49</v>
      </c>
      <c r="J19" s="28" t="s">
        <v>49</v>
      </c>
      <c r="K19" s="69" t="s">
        <v>49</v>
      </c>
      <c r="M19" s="7"/>
      <c r="N19" s="10"/>
      <c r="Q19" s="10"/>
      <c r="R19" s="7"/>
      <c r="S19" s="7"/>
      <c r="T19" s="166"/>
      <c r="U19" s="7"/>
    </row>
    <row r="20" spans="2:20" ht="12.75">
      <c r="B20" s="20"/>
      <c r="C20" s="29"/>
      <c r="D20" s="29"/>
      <c r="E20" s="70"/>
      <c r="F20" s="36"/>
      <c r="G20" s="37"/>
      <c r="H20" s="70"/>
      <c r="I20" s="37"/>
      <c r="J20" s="37"/>
      <c r="K20" s="70"/>
      <c r="T20" s="166" t="s">
        <v>95</v>
      </c>
    </row>
    <row r="21" spans="2:20" ht="12.75">
      <c r="B21" s="20">
        <v>0.5</v>
      </c>
      <c r="C21" s="29"/>
      <c r="D21" s="29"/>
      <c r="E21" s="71"/>
      <c r="F21" s="29"/>
      <c r="G21" s="34"/>
      <c r="H21" s="71"/>
      <c r="I21" s="34"/>
      <c r="J21" s="34"/>
      <c r="K21" s="71"/>
      <c r="T21" s="88"/>
    </row>
    <row r="22" spans="2:20" ht="12.75">
      <c r="B22" s="20">
        <v>1</v>
      </c>
      <c r="C22" s="29"/>
      <c r="D22" s="29"/>
      <c r="E22" s="71"/>
      <c r="F22" s="29"/>
      <c r="G22" s="34"/>
      <c r="H22" s="71"/>
      <c r="I22" s="34"/>
      <c r="J22" s="34"/>
      <c r="K22" s="71"/>
      <c r="T22" s="88"/>
    </row>
    <row r="23" spans="2:20" ht="12.75">
      <c r="B23" s="20">
        <v>5</v>
      </c>
      <c r="C23" s="29">
        <v>1884</v>
      </c>
      <c r="D23" s="29">
        <v>722</v>
      </c>
      <c r="E23" s="71">
        <f>AVERAGE(C23,D23)</f>
        <v>1303</v>
      </c>
      <c r="F23" s="83">
        <f aca="true" t="shared" si="6" ref="F23:H24">(C23+2393.7)/567.75</f>
        <v>7.53447820343461</v>
      </c>
      <c r="G23" s="83">
        <f t="shared" si="6"/>
        <v>5.487802730074857</v>
      </c>
      <c r="H23" s="84">
        <f t="shared" si="6"/>
        <v>6.511140466754734</v>
      </c>
      <c r="I23" s="92">
        <f>F23/B23*100</f>
        <v>150.6895640686922</v>
      </c>
      <c r="J23" s="92">
        <f>G23/B23*100</f>
        <v>109.75605460149713</v>
      </c>
      <c r="K23" s="85">
        <f>H23/B23*100</f>
        <v>130.22280933509467</v>
      </c>
      <c r="T23" s="88"/>
    </row>
    <row r="24" spans="2:20" ht="12.75">
      <c r="B24" s="20">
        <v>10</v>
      </c>
      <c r="C24" s="29">
        <v>3978</v>
      </c>
      <c r="D24" s="29">
        <v>2983</v>
      </c>
      <c r="E24" s="71">
        <f>AVERAGE(C24,D24)</f>
        <v>3480.5</v>
      </c>
      <c r="F24" s="83">
        <f t="shared" si="6"/>
        <v>11.222721268163804</v>
      </c>
      <c r="G24" s="83">
        <f t="shared" si="6"/>
        <v>9.470189343901366</v>
      </c>
      <c r="H24" s="84">
        <f t="shared" si="6"/>
        <v>10.346455306032585</v>
      </c>
      <c r="I24" s="92">
        <f>F24/B24*100</f>
        <v>112.22721268163805</v>
      </c>
      <c r="J24" s="92">
        <f>G24/B24*100</f>
        <v>94.70189343901365</v>
      </c>
      <c r="K24" s="85">
        <f>H24/B24*100</f>
        <v>103.46455306032584</v>
      </c>
      <c r="T24" s="88"/>
    </row>
    <row r="25" spans="2:20" ht="12.75">
      <c r="B25" s="20">
        <v>50</v>
      </c>
      <c r="C25" s="29">
        <v>32309</v>
      </c>
      <c r="D25" s="29">
        <v>15711</v>
      </c>
      <c r="E25" s="71">
        <f>AVERAGE(C25,D25)</f>
        <v>24010</v>
      </c>
      <c r="F25" s="83">
        <f>(C25+2393.7)/567.75</f>
        <v>61.12320563628357</v>
      </c>
      <c r="G25" s="83">
        <f>(D25+2393.7)/567.75</f>
        <v>31.8885072655218</v>
      </c>
      <c r="H25" s="85">
        <f>AVERAGE(F25,G25)</f>
        <v>46.505856450902684</v>
      </c>
      <c r="I25" s="92">
        <f>F25/B25*100</f>
        <v>122.24641127256714</v>
      </c>
      <c r="J25" s="92">
        <f>G25/B25*100</f>
        <v>63.7770145310436</v>
      </c>
      <c r="K25" s="85">
        <f>H25/B25*100</f>
        <v>93.01171290180537</v>
      </c>
      <c r="T25" s="88"/>
    </row>
    <row r="26" spans="2:20" ht="13.5" thickBot="1">
      <c r="B26" s="21">
        <v>100</v>
      </c>
      <c r="C26" s="30">
        <v>72867</v>
      </c>
      <c r="D26" s="30">
        <v>37755</v>
      </c>
      <c r="E26" s="72">
        <f>AVERAGE(C26,D26)</f>
        <v>55311</v>
      </c>
      <c r="F26" s="86">
        <f>(C26+2393.7)/567.75</f>
        <v>132.55957727873184</v>
      </c>
      <c r="G26" s="86">
        <f>(D26+2393.7)/567.75</f>
        <v>70.71545574636724</v>
      </c>
      <c r="H26" s="87">
        <f>AVERAGE(F26,G26)</f>
        <v>101.63751651254954</v>
      </c>
      <c r="I26" s="92">
        <f>F26/B26*100</f>
        <v>132.55957727873184</v>
      </c>
      <c r="J26" s="92">
        <f>G26/B26*100</f>
        <v>70.71545574636724</v>
      </c>
      <c r="K26" s="85">
        <f>H26/B26*100</f>
        <v>101.63751651254952</v>
      </c>
      <c r="T26" s="88"/>
    </row>
    <row r="27" ht="12.75">
      <c r="T27" s="88"/>
    </row>
    <row r="28" ht="12.75">
      <c r="T28" s="88"/>
    </row>
    <row r="29" spans="3:20" ht="15.75">
      <c r="C29" s="218" t="s">
        <v>93</v>
      </c>
      <c r="D29" s="219" t="s">
        <v>130</v>
      </c>
      <c r="E29" s="219"/>
      <c r="F29" s="219"/>
      <c r="G29" s="219"/>
      <c r="H29" s="219"/>
      <c r="I29" s="219"/>
      <c r="J29" s="219"/>
      <c r="K29" s="220"/>
      <c r="L29" s="220"/>
      <c r="M29" s="220"/>
      <c r="N29" s="220"/>
      <c r="O29" s="220"/>
      <c r="T29" s="88"/>
    </row>
    <row r="30" spans="20:25" ht="12.75">
      <c r="T30" s="88"/>
      <c r="Y30" t="s">
        <v>109</v>
      </c>
    </row>
    <row r="31" spans="20:33" ht="12.75">
      <c r="T31" s="88"/>
      <c r="Y31" s="188"/>
      <c r="Z31" s="189"/>
      <c r="AA31" s="189"/>
      <c r="AB31" s="190" t="s">
        <v>101</v>
      </c>
      <c r="AC31" s="191"/>
      <c r="AD31" s="192" t="s">
        <v>101</v>
      </c>
      <c r="AE31" s="191"/>
      <c r="AF31" s="193" t="s">
        <v>101</v>
      </c>
      <c r="AG31" s="188"/>
    </row>
    <row r="32" spans="2:33" ht="12.75">
      <c r="B32" s="53" t="s">
        <v>30</v>
      </c>
      <c r="T32" s="88"/>
      <c r="Y32" s="188"/>
      <c r="Z32" s="189"/>
      <c r="AA32" s="189"/>
      <c r="AB32" s="190" t="s">
        <v>99</v>
      </c>
      <c r="AC32" s="191"/>
      <c r="AD32" s="192" t="s">
        <v>100</v>
      </c>
      <c r="AE32" s="191"/>
      <c r="AF32" s="193" t="s">
        <v>102</v>
      </c>
      <c r="AG32" s="188"/>
    </row>
    <row r="33" spans="2:33" ht="12.75">
      <c r="B33" s="90" t="s">
        <v>31</v>
      </c>
      <c r="C33" s="39" t="s">
        <v>45</v>
      </c>
      <c r="D33" s="39" t="s">
        <v>47</v>
      </c>
      <c r="E33" s="39" t="s">
        <v>31</v>
      </c>
      <c r="F33" s="39" t="s">
        <v>12</v>
      </c>
      <c r="G33" s="39" t="s">
        <v>12</v>
      </c>
      <c r="H33" s="39" t="s">
        <v>12</v>
      </c>
      <c r="I33" s="39" t="s">
        <v>12</v>
      </c>
      <c r="J33" s="39" t="s">
        <v>12</v>
      </c>
      <c r="K33" s="39" t="s">
        <v>12</v>
      </c>
      <c r="T33" s="88"/>
      <c r="Y33" s="188"/>
      <c r="Z33" s="189"/>
      <c r="AA33" s="189" t="s">
        <v>71</v>
      </c>
      <c r="AB33" s="95">
        <v>1341.1</v>
      </c>
      <c r="AC33" s="188"/>
      <c r="AD33" s="93">
        <v>1211.9</v>
      </c>
      <c r="AE33" s="188"/>
      <c r="AF33" s="194">
        <v>1340.2</v>
      </c>
      <c r="AG33" s="188"/>
    </row>
    <row r="34" spans="2:33" ht="12.75">
      <c r="B34" s="2" t="s">
        <v>5</v>
      </c>
      <c r="C34" s="22" t="s">
        <v>6</v>
      </c>
      <c r="D34" s="41" t="s">
        <v>7</v>
      </c>
      <c r="E34" s="89" t="s">
        <v>33</v>
      </c>
      <c r="F34" s="22" t="s">
        <v>37</v>
      </c>
      <c r="G34" s="22" t="s">
        <v>32</v>
      </c>
      <c r="H34" s="63" t="s">
        <v>33</v>
      </c>
      <c r="I34" s="22" t="s">
        <v>37</v>
      </c>
      <c r="J34" s="22" t="s">
        <v>32</v>
      </c>
      <c r="K34" s="63" t="s">
        <v>33</v>
      </c>
      <c r="T34" s="88"/>
      <c r="Y34" s="188"/>
      <c r="Z34" s="189"/>
      <c r="AA34" s="189" t="s">
        <v>70</v>
      </c>
      <c r="AB34" s="95">
        <v>-64.637</v>
      </c>
      <c r="AC34" s="188"/>
      <c r="AD34" s="93">
        <v>62.2</v>
      </c>
      <c r="AE34" s="188"/>
      <c r="AF34" s="194">
        <v>0</v>
      </c>
      <c r="AG34" s="188"/>
    </row>
    <row r="35" spans="2:33" ht="12.75">
      <c r="B35" s="3" t="s">
        <v>8</v>
      </c>
      <c r="C35" s="23" t="s">
        <v>35</v>
      </c>
      <c r="D35" s="24" t="s">
        <v>35</v>
      </c>
      <c r="E35" s="66" t="s">
        <v>35</v>
      </c>
      <c r="F35" s="56" t="s">
        <v>38</v>
      </c>
      <c r="G35" s="56" t="s">
        <v>38</v>
      </c>
      <c r="H35" s="64" t="s">
        <v>38</v>
      </c>
      <c r="I35" s="23" t="s">
        <v>49</v>
      </c>
      <c r="J35" s="23" t="s">
        <v>49</v>
      </c>
      <c r="K35" s="66" t="s">
        <v>49</v>
      </c>
      <c r="T35" s="88"/>
      <c r="Y35" s="188"/>
      <c r="Z35" s="189"/>
      <c r="AA35" s="189" t="s">
        <v>94</v>
      </c>
      <c r="AB35" s="95">
        <v>0.9904</v>
      </c>
      <c r="AC35" s="188"/>
      <c r="AD35" s="93">
        <v>0.9999</v>
      </c>
      <c r="AE35" s="188"/>
      <c r="AF35" s="194">
        <v>0.9904</v>
      </c>
      <c r="AG35" s="188"/>
    </row>
    <row r="36" spans="2:33" ht="12.75">
      <c r="B36" s="4"/>
      <c r="C36" s="14"/>
      <c r="D36" s="15"/>
      <c r="E36" s="61"/>
      <c r="F36" s="14"/>
      <c r="G36" s="54"/>
      <c r="H36" s="65"/>
      <c r="I36" s="54"/>
      <c r="J36" s="54"/>
      <c r="K36" s="65"/>
      <c r="T36" s="88"/>
      <c r="Y36" s="188" t="s">
        <v>108</v>
      </c>
      <c r="Z36" s="189"/>
      <c r="AA36" s="188"/>
      <c r="AB36" s="95"/>
      <c r="AC36" s="188"/>
      <c r="AD36" s="93"/>
      <c r="AE36" s="188"/>
      <c r="AF36" s="194"/>
      <c r="AG36" s="188"/>
    </row>
    <row r="37" spans="2:33" ht="12.75">
      <c r="B37" s="4">
        <v>0.5</v>
      </c>
      <c r="C37" s="13">
        <v>821</v>
      </c>
      <c r="D37" s="13">
        <v>573.2</v>
      </c>
      <c r="E37" s="61">
        <f aca="true" t="shared" si="7" ref="E37:E43">AVERAGE(C37,D37)</f>
        <v>697.1</v>
      </c>
      <c r="F37" s="77">
        <f>(C37+64.637)/1341.1</f>
        <v>0.660381030497353</v>
      </c>
      <c r="G37" s="77">
        <f>(D37+64.637)/1341.1</f>
        <v>0.47560733726045784</v>
      </c>
      <c r="H37" s="78">
        <f aca="true" t="shared" si="8" ref="H37:H43">AVERAGE(F37,G37)</f>
        <v>0.5679941838789054</v>
      </c>
      <c r="I37" s="79">
        <f>F37/B37*100</f>
        <v>132.0762060994706</v>
      </c>
      <c r="J37" s="79">
        <f>G37/B37*100</f>
        <v>95.12146745209157</v>
      </c>
      <c r="K37" s="78">
        <f>H37/B37*100</f>
        <v>113.59883677578108</v>
      </c>
      <c r="T37" s="88"/>
      <c r="Y37" s="188" t="s">
        <v>107</v>
      </c>
      <c r="Z37" s="191" t="s">
        <v>97</v>
      </c>
      <c r="AA37" s="191" t="s">
        <v>96</v>
      </c>
      <c r="AB37" s="190" t="s">
        <v>98</v>
      </c>
      <c r="AC37" s="6" t="s">
        <v>106</v>
      </c>
      <c r="AD37" s="192" t="s">
        <v>98</v>
      </c>
      <c r="AE37" s="6" t="s">
        <v>106</v>
      </c>
      <c r="AF37" s="193" t="s">
        <v>98</v>
      </c>
      <c r="AG37" s="6" t="s">
        <v>106</v>
      </c>
    </row>
    <row r="38" spans="2:33" ht="12.75">
      <c r="B38" s="4">
        <v>1</v>
      </c>
      <c r="C38" s="13">
        <v>1223</v>
      </c>
      <c r="D38" s="15">
        <v>1260</v>
      </c>
      <c r="E38" s="61">
        <f t="shared" si="7"/>
        <v>1241.5</v>
      </c>
      <c r="F38" s="77">
        <f aca="true" t="shared" si="9" ref="F38:G43">(C38+64.637)/1341.1</f>
        <v>0.9601349638356573</v>
      </c>
      <c r="G38" s="77">
        <f t="shared" si="9"/>
        <v>0.9877242562075909</v>
      </c>
      <c r="H38" s="78">
        <f t="shared" si="8"/>
        <v>0.9739296100216241</v>
      </c>
      <c r="I38" s="79">
        <f aca="true" t="shared" si="10" ref="I38:I43">F38/B38*100</f>
        <v>96.01349638356574</v>
      </c>
      <c r="J38" s="79">
        <f aca="true" t="shared" si="11" ref="J38:J43">G38/B38*100</f>
        <v>98.77242562075908</v>
      </c>
      <c r="K38" s="78">
        <f aca="true" t="shared" si="12" ref="K38:K43">H38/B38*100</f>
        <v>97.39296100216241</v>
      </c>
      <c r="T38" s="88"/>
      <c r="Y38" s="188">
        <v>100000</v>
      </c>
      <c r="Z38" s="188" t="s">
        <v>81</v>
      </c>
      <c r="AA38" s="186">
        <v>3327</v>
      </c>
      <c r="AB38" s="195">
        <f aca="true" t="shared" si="13" ref="AB38:AB44">+(AA38+64.6)/1341.1*1000</f>
        <v>2528.96875699053</v>
      </c>
      <c r="AC38" s="196">
        <f>+AB38/Y38*100</f>
        <v>2.5289687569905297</v>
      </c>
      <c r="AD38" s="197">
        <f aca="true" t="shared" si="14" ref="AD38:AD44">+(AA38-62.2)/1211.9*1000</f>
        <v>2693.951646175427</v>
      </c>
      <c r="AE38" s="196">
        <f>+AD38/Y38*100</f>
        <v>2.693951646175427</v>
      </c>
      <c r="AF38" s="198">
        <f aca="true" t="shared" si="15" ref="AF38:AF44">+AA38/1340.2*1000</f>
        <v>2482.4653036860173</v>
      </c>
      <c r="AG38" s="196">
        <f>+AF38/Y38*100</f>
        <v>2.482465303686017</v>
      </c>
    </row>
    <row r="39" spans="2:33" ht="12.75">
      <c r="B39" s="4">
        <v>5</v>
      </c>
      <c r="C39" s="17">
        <v>6319</v>
      </c>
      <c r="D39" s="18">
        <v>5932</v>
      </c>
      <c r="E39" s="61">
        <f t="shared" si="7"/>
        <v>6125.5</v>
      </c>
      <c r="F39" s="77">
        <f t="shared" si="9"/>
        <v>4.7600007456565505</v>
      </c>
      <c r="G39" s="77">
        <f t="shared" si="9"/>
        <v>4.471431660577139</v>
      </c>
      <c r="H39" s="78">
        <f t="shared" si="8"/>
        <v>4.615716203116845</v>
      </c>
      <c r="I39" s="79">
        <f t="shared" si="10"/>
        <v>95.20001491313101</v>
      </c>
      <c r="J39" s="79">
        <f t="shared" si="11"/>
        <v>89.42863321154277</v>
      </c>
      <c r="K39" s="78">
        <f t="shared" si="12"/>
        <v>92.31432406233691</v>
      </c>
      <c r="T39" s="88"/>
      <c r="Y39" s="188">
        <v>100000</v>
      </c>
      <c r="Z39" s="188" t="s">
        <v>82</v>
      </c>
      <c r="AA39" s="186">
        <v>3083</v>
      </c>
      <c r="AB39" s="195">
        <f t="shared" si="13"/>
        <v>2347.0285586458876</v>
      </c>
      <c r="AC39" s="196">
        <f aca="true" t="shared" si="16" ref="AC39:AC44">+AB39/Y39*100</f>
        <v>2.3470285586458877</v>
      </c>
      <c r="AD39" s="197">
        <f t="shared" si="14"/>
        <v>2492.614902219655</v>
      </c>
      <c r="AE39" s="196">
        <f aca="true" t="shared" si="17" ref="AE39:AE44">+AD39/Y39*100</f>
        <v>2.492614902219655</v>
      </c>
      <c r="AF39" s="198">
        <f t="shared" si="15"/>
        <v>2300.4029249365767</v>
      </c>
      <c r="AG39" s="196">
        <f aca="true" t="shared" si="18" ref="AG39:AG44">+AF39/Y39*100</f>
        <v>2.3004029249365767</v>
      </c>
    </row>
    <row r="40" spans="2:33" ht="12.75">
      <c r="B40" s="4">
        <v>10</v>
      </c>
      <c r="C40" s="17">
        <v>13062</v>
      </c>
      <c r="D40" s="18">
        <v>13964</v>
      </c>
      <c r="E40" s="61">
        <f t="shared" si="7"/>
        <v>13513</v>
      </c>
      <c r="F40" s="77">
        <f t="shared" si="9"/>
        <v>9.787962866303781</v>
      </c>
      <c r="G40" s="77">
        <f t="shared" si="9"/>
        <v>10.460545074938484</v>
      </c>
      <c r="H40" s="78">
        <f t="shared" si="8"/>
        <v>10.124253970621133</v>
      </c>
      <c r="I40" s="79">
        <f t="shared" si="10"/>
        <v>97.8796286630378</v>
      </c>
      <c r="J40" s="79">
        <f t="shared" si="11"/>
        <v>104.60545074938483</v>
      </c>
      <c r="K40" s="78">
        <f t="shared" si="12"/>
        <v>101.24253970621133</v>
      </c>
      <c r="T40" s="88"/>
      <c r="Y40" s="188">
        <v>200000</v>
      </c>
      <c r="Z40" s="188" t="s">
        <v>88</v>
      </c>
      <c r="AA40" s="186">
        <v>5147</v>
      </c>
      <c r="AB40" s="195">
        <f t="shared" si="13"/>
        <v>3886.063679069421</v>
      </c>
      <c r="AC40" s="196">
        <f t="shared" si="16"/>
        <v>1.9430318395347104</v>
      </c>
      <c r="AD40" s="197">
        <f t="shared" si="14"/>
        <v>4195.72571994389</v>
      </c>
      <c r="AE40" s="196">
        <f t="shared" si="17"/>
        <v>2.097862859971945</v>
      </c>
      <c r="AF40" s="198">
        <f t="shared" si="15"/>
        <v>3840.4715714072527</v>
      </c>
      <c r="AG40" s="196">
        <f t="shared" si="18"/>
        <v>1.9202357857036265</v>
      </c>
    </row>
    <row r="41" spans="2:33" ht="12.75">
      <c r="B41" s="4">
        <v>50</v>
      </c>
      <c r="C41" s="17">
        <v>61973</v>
      </c>
      <c r="D41" s="18">
        <v>62323</v>
      </c>
      <c r="E41" s="61">
        <f t="shared" si="7"/>
        <v>62148</v>
      </c>
      <c r="F41" s="77">
        <f t="shared" si="9"/>
        <v>46.25877041234808</v>
      </c>
      <c r="G41" s="77">
        <f t="shared" si="9"/>
        <v>46.51975020505556</v>
      </c>
      <c r="H41" s="78">
        <f t="shared" si="8"/>
        <v>46.38926030870182</v>
      </c>
      <c r="I41" s="79">
        <f t="shared" si="10"/>
        <v>92.51754082469616</v>
      </c>
      <c r="J41" s="79">
        <f t="shared" si="11"/>
        <v>93.03950041011112</v>
      </c>
      <c r="K41" s="78">
        <f t="shared" si="12"/>
        <v>92.77852061740364</v>
      </c>
      <c r="T41" s="88"/>
      <c r="Y41" s="188">
        <v>200000</v>
      </c>
      <c r="Z41" s="188" t="s">
        <v>89</v>
      </c>
      <c r="AA41" s="186">
        <v>5362</v>
      </c>
      <c r="AB41" s="195">
        <f t="shared" si="13"/>
        <v>4046.379837446873</v>
      </c>
      <c r="AC41" s="196">
        <f t="shared" si="16"/>
        <v>2.0231899187234363</v>
      </c>
      <c r="AD41" s="197">
        <f t="shared" si="14"/>
        <v>4373.133096790164</v>
      </c>
      <c r="AE41" s="196">
        <f t="shared" si="17"/>
        <v>2.186566548395082</v>
      </c>
      <c r="AF41" s="198">
        <f t="shared" si="15"/>
        <v>4000.8953887479483</v>
      </c>
      <c r="AG41" s="196">
        <f t="shared" si="18"/>
        <v>2.000447694373974</v>
      </c>
    </row>
    <row r="42" spans="2:33" ht="12.75">
      <c r="B42" s="4">
        <v>75</v>
      </c>
      <c r="C42" s="17">
        <v>110553</v>
      </c>
      <c r="D42" s="18">
        <v>112121</v>
      </c>
      <c r="E42" s="61">
        <f t="shared" si="7"/>
        <v>111337</v>
      </c>
      <c r="F42" s="77">
        <f t="shared" si="9"/>
        <v>82.48276564014616</v>
      </c>
      <c r="G42" s="77">
        <f t="shared" si="9"/>
        <v>83.65195511147566</v>
      </c>
      <c r="H42" s="78">
        <f t="shared" si="8"/>
        <v>83.0673603758109</v>
      </c>
      <c r="I42" s="79">
        <f t="shared" si="10"/>
        <v>109.9770208535282</v>
      </c>
      <c r="J42" s="79">
        <f t="shared" si="11"/>
        <v>111.53594014863421</v>
      </c>
      <c r="K42" s="78">
        <f t="shared" si="12"/>
        <v>110.7564805010812</v>
      </c>
      <c r="T42" s="88"/>
      <c r="Y42" s="188">
        <v>500</v>
      </c>
      <c r="Z42" s="199" t="s">
        <v>103</v>
      </c>
      <c r="AA42" s="199">
        <v>821</v>
      </c>
      <c r="AB42" s="195">
        <f t="shared" si="13"/>
        <v>660.3534412049811</v>
      </c>
      <c r="AC42" s="196">
        <f t="shared" si="16"/>
        <v>132.07068824099622</v>
      </c>
      <c r="AD42" s="197">
        <f t="shared" si="14"/>
        <v>626.1242676788513</v>
      </c>
      <c r="AE42" s="196">
        <f t="shared" si="17"/>
        <v>125.22485353577027</v>
      </c>
      <c r="AF42" s="198">
        <f t="shared" si="15"/>
        <v>612.5951350544696</v>
      </c>
      <c r="AG42" s="196">
        <f t="shared" si="18"/>
        <v>122.5190270108939</v>
      </c>
    </row>
    <row r="43" spans="2:33" ht="13.5" thickBot="1">
      <c r="B43" s="5">
        <v>100</v>
      </c>
      <c r="C43" s="19">
        <v>123580</v>
      </c>
      <c r="D43" s="19">
        <v>133143</v>
      </c>
      <c r="E43" s="67">
        <f t="shared" si="7"/>
        <v>128361.5</v>
      </c>
      <c r="F43" s="77">
        <f t="shared" si="9"/>
        <v>92.19643352471853</v>
      </c>
      <c r="G43" s="77">
        <f t="shared" si="9"/>
        <v>99.32714711803743</v>
      </c>
      <c r="H43" s="82">
        <f t="shared" si="8"/>
        <v>95.76179032137799</v>
      </c>
      <c r="I43" s="79">
        <f t="shared" si="10"/>
        <v>92.19643352471853</v>
      </c>
      <c r="J43" s="79">
        <f t="shared" si="11"/>
        <v>99.32714711803743</v>
      </c>
      <c r="K43" s="78">
        <f t="shared" si="12"/>
        <v>95.76179032137799</v>
      </c>
      <c r="T43" s="88"/>
      <c r="Y43" s="188">
        <v>1000</v>
      </c>
      <c r="Z43" s="199" t="s">
        <v>104</v>
      </c>
      <c r="AA43" s="199">
        <v>1223</v>
      </c>
      <c r="AB43" s="195">
        <f t="shared" si="13"/>
        <v>960.1073745432853</v>
      </c>
      <c r="AC43" s="196">
        <f t="shared" si="16"/>
        <v>96.01073745432853</v>
      </c>
      <c r="AD43" s="197">
        <f t="shared" si="14"/>
        <v>957.8348048518853</v>
      </c>
      <c r="AE43" s="196">
        <f t="shared" si="17"/>
        <v>95.78348048518853</v>
      </c>
      <c r="AF43" s="198">
        <f t="shared" si="15"/>
        <v>912.5503656170721</v>
      </c>
      <c r="AG43" s="196">
        <f t="shared" si="18"/>
        <v>91.2550365617072</v>
      </c>
    </row>
    <row r="44" spans="20:33" ht="12.75">
      <c r="T44" s="88"/>
      <c r="Y44" s="188">
        <v>5000</v>
      </c>
      <c r="Z44" s="199" t="s">
        <v>105</v>
      </c>
      <c r="AA44" s="200">
        <v>6319</v>
      </c>
      <c r="AB44" s="195">
        <f t="shared" si="13"/>
        <v>4759.973156364179</v>
      </c>
      <c r="AC44" s="196">
        <f t="shared" si="16"/>
        <v>95.19946312728358</v>
      </c>
      <c r="AD44" s="197">
        <f t="shared" si="14"/>
        <v>5162.802211403581</v>
      </c>
      <c r="AE44" s="196">
        <f t="shared" si="17"/>
        <v>103.25604422807162</v>
      </c>
      <c r="AF44" s="198">
        <f t="shared" si="15"/>
        <v>4714.967915236532</v>
      </c>
      <c r="AG44" s="196">
        <f t="shared" si="18"/>
        <v>94.29935830473063</v>
      </c>
    </row>
    <row r="45" ht="12.75">
      <c r="T45" s="88"/>
    </row>
    <row r="46" spans="1:20" ht="12.75">
      <c r="A46" t="s">
        <v>20</v>
      </c>
      <c r="B46" s="90" t="s">
        <v>11</v>
      </c>
      <c r="C46" s="40" t="s">
        <v>46</v>
      </c>
      <c r="D46" s="40" t="s">
        <v>48</v>
      </c>
      <c r="E46" s="40" t="s">
        <v>11</v>
      </c>
      <c r="F46" s="40" t="s">
        <v>11</v>
      </c>
      <c r="G46" s="40" t="s">
        <v>11</v>
      </c>
      <c r="H46" s="40" t="s">
        <v>11</v>
      </c>
      <c r="I46" s="40" t="s">
        <v>11</v>
      </c>
      <c r="J46" s="40" t="s">
        <v>11</v>
      </c>
      <c r="K46" s="40" t="s">
        <v>11</v>
      </c>
      <c r="T46" s="88"/>
    </row>
    <row r="47" spans="2:20" ht="12.75">
      <c r="B47" s="2" t="s">
        <v>5</v>
      </c>
      <c r="C47" s="42" t="s">
        <v>24</v>
      </c>
      <c r="D47" s="42" t="s">
        <v>25</v>
      </c>
      <c r="E47" s="68" t="s">
        <v>33</v>
      </c>
      <c r="F47" s="42" t="s">
        <v>37</v>
      </c>
      <c r="G47" s="42" t="s">
        <v>32</v>
      </c>
      <c r="H47" s="68" t="s">
        <v>33</v>
      </c>
      <c r="I47" s="42" t="s">
        <v>37</v>
      </c>
      <c r="J47" s="42" t="s">
        <v>32</v>
      </c>
      <c r="K47" s="68" t="s">
        <v>33</v>
      </c>
      <c r="T47" s="88"/>
    </row>
    <row r="48" spans="2:22" ht="12.75">
      <c r="B48" s="3" t="s">
        <v>8</v>
      </c>
      <c r="C48" s="28" t="s">
        <v>35</v>
      </c>
      <c r="D48" s="28" t="s">
        <v>35</v>
      </c>
      <c r="E48" s="69" t="s">
        <v>35</v>
      </c>
      <c r="F48" s="35" t="s">
        <v>38</v>
      </c>
      <c r="G48" s="35" t="s">
        <v>38</v>
      </c>
      <c r="H48" s="73" t="s">
        <v>38</v>
      </c>
      <c r="I48" s="28" t="s">
        <v>49</v>
      </c>
      <c r="J48" s="28" t="s">
        <v>49</v>
      </c>
      <c r="K48" s="69" t="s">
        <v>49</v>
      </c>
      <c r="T48" s="88"/>
      <c r="V48" s="201"/>
    </row>
    <row r="49" spans="2:20" ht="12.75">
      <c r="B49" s="4"/>
      <c r="C49" s="29"/>
      <c r="D49" s="29"/>
      <c r="E49" s="75"/>
      <c r="F49" s="36"/>
      <c r="G49" s="37"/>
      <c r="H49" s="70"/>
      <c r="I49" s="37"/>
      <c r="J49" s="37"/>
      <c r="K49" s="70"/>
      <c r="T49" s="88"/>
    </row>
    <row r="50" spans="2:20" ht="12.75">
      <c r="B50" s="4">
        <v>0.5</v>
      </c>
      <c r="C50" s="29"/>
      <c r="D50" s="29"/>
      <c r="E50" s="76"/>
      <c r="F50" s="202"/>
      <c r="G50" s="203"/>
      <c r="H50" s="204"/>
      <c r="I50" s="203"/>
      <c r="J50" s="203"/>
      <c r="K50" s="204"/>
      <c r="T50" s="88"/>
    </row>
    <row r="51" spans="2:20" ht="12.75">
      <c r="B51" s="4">
        <v>1</v>
      </c>
      <c r="C51" s="29"/>
      <c r="D51" s="29"/>
      <c r="E51" s="76"/>
      <c r="F51" s="202"/>
      <c r="G51" s="203"/>
      <c r="H51" s="204"/>
      <c r="I51" s="203"/>
      <c r="J51" s="203"/>
      <c r="K51" s="204"/>
      <c r="T51" s="88"/>
    </row>
    <row r="52" spans="2:20" ht="12.75">
      <c r="B52" s="4">
        <v>5</v>
      </c>
      <c r="C52" s="29">
        <v>1079</v>
      </c>
      <c r="D52" s="29">
        <v>1839</v>
      </c>
      <c r="E52" s="76">
        <f>AVERAGE(D52,C52)</f>
        <v>1459</v>
      </c>
      <c r="F52" s="202">
        <f>(C52+2236.5)/538.79</f>
        <v>6.153603444755842</v>
      </c>
      <c r="G52" s="202">
        <f aca="true" t="shared" si="19" ref="G52:H55">(D52+2236.5)/538.79</f>
        <v>7.564171569628241</v>
      </c>
      <c r="H52" s="205">
        <f t="shared" si="19"/>
        <v>6.858887507192042</v>
      </c>
      <c r="I52" s="203">
        <f>F52/B52*100</f>
        <v>123.07206889511684</v>
      </c>
      <c r="J52" s="203">
        <f>G52/B52*100</f>
        <v>151.28343139256484</v>
      </c>
      <c r="K52" s="204">
        <f>H52/B52*100</f>
        <v>137.17775014384083</v>
      </c>
      <c r="T52" s="88"/>
    </row>
    <row r="53" spans="2:20" ht="12.75">
      <c r="B53" s="4">
        <v>10</v>
      </c>
      <c r="C53" s="29">
        <v>2116</v>
      </c>
      <c r="D53" s="29">
        <v>4095</v>
      </c>
      <c r="E53" s="76">
        <f>AVERAGE(D53,C53)</f>
        <v>3105.5</v>
      </c>
      <c r="F53" s="202">
        <f>(C53+2236.5)/538.79</f>
        <v>8.078286530930418</v>
      </c>
      <c r="G53" s="202">
        <f t="shared" si="19"/>
        <v>11.751331687670522</v>
      </c>
      <c r="H53" s="205">
        <f t="shared" si="19"/>
        <v>9.91480910930047</v>
      </c>
      <c r="I53" s="203">
        <f>F53/B53*100</f>
        <v>80.78286530930419</v>
      </c>
      <c r="J53" s="203">
        <f>G53/B53*100</f>
        <v>117.5133168767052</v>
      </c>
      <c r="K53" s="204">
        <f>H53/B53*100</f>
        <v>99.14809109300471</v>
      </c>
      <c r="T53" s="88"/>
    </row>
    <row r="54" spans="2:20" ht="12.75">
      <c r="B54" s="4">
        <v>50</v>
      </c>
      <c r="C54" s="29">
        <v>12122</v>
      </c>
      <c r="D54" s="29">
        <v>33643</v>
      </c>
      <c r="E54" s="76">
        <f>AVERAGE(D54,C54)</f>
        <v>22882.5</v>
      </c>
      <c r="F54" s="202">
        <f>(C54+2236.5)/538.79</f>
        <v>26.64952950128993</v>
      </c>
      <c r="G54" s="202">
        <f t="shared" si="19"/>
        <v>66.59273557415692</v>
      </c>
      <c r="H54" s="205">
        <f t="shared" si="19"/>
        <v>46.62113253772342</v>
      </c>
      <c r="I54" s="203">
        <f>F54/B54*100</f>
        <v>53.29905900257986</v>
      </c>
      <c r="J54" s="203">
        <f>G54/B54*100</f>
        <v>133.18547114831384</v>
      </c>
      <c r="K54" s="204">
        <f>H54/B54*100</f>
        <v>93.24226507544684</v>
      </c>
      <c r="T54" s="88"/>
    </row>
    <row r="55" spans="2:20" ht="13.5" thickBot="1">
      <c r="B55" s="5">
        <v>100</v>
      </c>
      <c r="C55" s="30">
        <v>33121</v>
      </c>
      <c r="D55" s="30">
        <v>71893</v>
      </c>
      <c r="E55" s="72">
        <f>AVERAGE(D55,C55)</f>
        <v>52507</v>
      </c>
      <c r="F55" s="206">
        <f>(C55+2236.5)/538.79</f>
        <v>65.62389799365245</v>
      </c>
      <c r="G55" s="206">
        <f t="shared" si="19"/>
        <v>137.58514449043227</v>
      </c>
      <c r="H55" s="207">
        <f t="shared" si="19"/>
        <v>101.60452124204237</v>
      </c>
      <c r="I55" s="203">
        <f>F55/B55*100</f>
        <v>65.62389799365245</v>
      </c>
      <c r="J55" s="203">
        <f>G55/B55*100</f>
        <v>137.58514449043227</v>
      </c>
      <c r="K55" s="204">
        <f>H55/B55*100</f>
        <v>101.60452124204235</v>
      </c>
      <c r="T55" s="88"/>
    </row>
    <row r="56" spans="18:20" ht="12.75">
      <c r="R56" s="52"/>
      <c r="T56" s="88"/>
    </row>
    <row r="57" spans="18:20" ht="12.75">
      <c r="R57" s="52"/>
      <c r="T57" s="88"/>
    </row>
    <row r="58" ht="12.75">
      <c r="T58" s="88"/>
    </row>
    <row r="59" ht="12.75">
      <c r="T59" s="88"/>
    </row>
    <row r="60" ht="12.75">
      <c r="T60" s="88"/>
    </row>
    <row r="61" ht="12.75">
      <c r="T61" s="88"/>
    </row>
    <row r="62" ht="12.75">
      <c r="T62" s="88"/>
    </row>
    <row r="63" ht="12.75">
      <c r="T63" s="88"/>
    </row>
    <row r="64" ht="12.75">
      <c r="T64" s="88"/>
    </row>
    <row r="65" ht="12.75">
      <c r="T65" s="88"/>
    </row>
    <row r="66" ht="12.75">
      <c r="T66" s="88"/>
    </row>
    <row r="67" ht="12.75">
      <c r="T67" s="88"/>
    </row>
    <row r="68" ht="12.75">
      <c r="T68" s="88"/>
    </row>
    <row r="69" ht="12.75">
      <c r="T69" s="88"/>
    </row>
    <row r="70" ht="12.75">
      <c r="T70" s="88"/>
    </row>
    <row r="71" ht="12.75">
      <c r="T71" s="88"/>
    </row>
    <row r="72" ht="12.75">
      <c r="T72" s="88"/>
    </row>
    <row r="73" ht="12.75">
      <c r="T73" s="88"/>
    </row>
    <row r="74" ht="12.75">
      <c r="T74" s="88"/>
    </row>
    <row r="75" ht="12.75">
      <c r="T75" s="8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ctsuser</dc:creator>
  <cp:keywords/>
  <dc:description/>
  <cp:lastModifiedBy>Serrano, Jose</cp:lastModifiedBy>
  <cp:lastPrinted>2010-09-13T18:56:41Z</cp:lastPrinted>
  <dcterms:created xsi:type="dcterms:W3CDTF">2010-07-12T19:48:17Z</dcterms:created>
  <dcterms:modified xsi:type="dcterms:W3CDTF">2018-09-04T20:14:27Z</dcterms:modified>
  <cp:category/>
  <cp:version/>
  <cp:contentType/>
  <cp:contentStatus/>
</cp:coreProperties>
</file>