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AA.AD.EPA.GOV\ORD\ATH\USERS\N-Z\sghimire\Net MyDocuments\Research Contractor SR Ghimire\Journals for submissions\PLOS2018\PLOS submission DATA\Cluster 1 data\"/>
    </mc:Choice>
  </mc:AlternateContent>
  <xr:revisionPtr revIDLastSave="0" documentId="10_ncr:100000_{94A7D80E-29B6-4FC6-AF10-053B5019D27E}" xr6:coauthVersionLast="31" xr6:coauthVersionMax="31" xr10:uidLastSave="{00000000-0000-0000-0000-000000000000}"/>
  <bookViews>
    <workbookView xWindow="0" yWindow="0" windowWidth="19200" windowHeight="11490" activeTab="1" xr2:uid="{00000000-000D-0000-FFFF-FFFF00000000}"/>
  </bookViews>
  <sheets>
    <sheet name="16DMOs sust. &amp; Table S3" sheetId="1" r:id="rId1"/>
    <sheet name="Fig. 7 best DMOs sustainability" sheetId="2" r:id="rId2"/>
  </sheets>
  <definedNames>
    <definedName name="_Toc511725132" localSheetId="0">'16DMOs sust. &amp; Table S3'!$L$49</definedName>
    <definedName name="_Toc524689090" localSheetId="0">'16DMOs sust. &amp; Table S3'!$L$49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M10" i="2"/>
  <c r="N10" i="2"/>
  <c r="O10" i="2"/>
  <c r="J10" i="2"/>
  <c r="K10" i="2"/>
  <c r="T28" i="1"/>
  <c r="U28" i="1"/>
  <c r="V28" i="1"/>
  <c r="W28" i="1"/>
  <c r="X28" i="1"/>
  <c r="S28" i="1"/>
  <c r="T27" i="1"/>
  <c r="U27" i="1"/>
  <c r="V27" i="1"/>
  <c r="W27" i="1"/>
  <c r="X27" i="1"/>
  <c r="S27" i="1"/>
  <c r="K4" i="2" l="1"/>
  <c r="J4" i="2" l="1"/>
  <c r="D9" i="1" l="1"/>
  <c r="L9" i="1" s="1"/>
  <c r="Q32" i="1" l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31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L32" i="1"/>
  <c r="L31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O4" i="2" l="1"/>
  <c r="M4" i="2"/>
  <c r="L4" i="2"/>
  <c r="G29" i="2"/>
  <c r="H8" i="2"/>
  <c r="H14" i="2" s="1"/>
  <c r="G8" i="2"/>
  <c r="G15" i="2" s="1"/>
  <c r="F8" i="2"/>
  <c r="F13" i="2" s="1"/>
  <c r="E8" i="2"/>
  <c r="E14" i="2" s="1"/>
  <c r="D8" i="2"/>
  <c r="D12" i="2" s="1"/>
  <c r="C8" i="2"/>
  <c r="C12" i="2" s="1"/>
  <c r="O7" i="2"/>
  <c r="N7" i="2"/>
  <c r="M7" i="2"/>
  <c r="L7" i="2"/>
  <c r="K7" i="2"/>
  <c r="J7" i="2"/>
  <c r="O6" i="2"/>
  <c r="N6" i="2"/>
  <c r="M6" i="2"/>
  <c r="L6" i="2"/>
  <c r="K6" i="2"/>
  <c r="J6" i="2"/>
  <c r="O5" i="2"/>
  <c r="N5" i="2"/>
  <c r="M5" i="2"/>
  <c r="L5" i="2"/>
  <c r="K5" i="2"/>
  <c r="J5" i="2"/>
  <c r="N4" i="2"/>
  <c r="N8" i="2" l="1"/>
  <c r="J8" i="2"/>
  <c r="G13" i="2"/>
  <c r="G30" i="2"/>
  <c r="G32" i="2" s="1"/>
  <c r="K8" i="2"/>
  <c r="L8" i="2"/>
  <c r="M8" i="2"/>
  <c r="O8" i="2"/>
  <c r="C13" i="2"/>
  <c r="F12" i="2"/>
  <c r="E13" i="2"/>
  <c r="F14" i="2"/>
  <c r="G14" i="2"/>
  <c r="E12" i="2"/>
  <c r="G12" i="2"/>
  <c r="D13" i="2"/>
  <c r="C15" i="2"/>
  <c r="H13" i="2"/>
  <c r="D15" i="2"/>
  <c r="C14" i="2"/>
  <c r="E15" i="2"/>
  <c r="H12" i="2"/>
  <c r="D14" i="2"/>
  <c r="F15" i="2"/>
  <c r="H15" i="2"/>
  <c r="D24" i="1"/>
  <c r="E24" i="1"/>
  <c r="F24" i="1"/>
  <c r="G24" i="1"/>
  <c r="H24" i="1"/>
  <c r="I24" i="1"/>
  <c r="J24" i="1"/>
  <c r="J10" i="1"/>
  <c r="J9" i="1"/>
  <c r="I9" i="1"/>
  <c r="H9" i="1"/>
  <c r="G9" i="1"/>
  <c r="F9" i="1"/>
  <c r="E9" i="1"/>
  <c r="P9" i="1" l="1"/>
  <c r="D16" i="2"/>
  <c r="G31" i="2"/>
  <c r="F16" i="2"/>
  <c r="H16" i="2"/>
  <c r="E16" i="2"/>
  <c r="G16" i="2"/>
  <c r="C16" i="2"/>
  <c r="Y4" i="1"/>
  <c r="X4" i="1"/>
  <c r="V4" i="1"/>
  <c r="Q24" i="1"/>
  <c r="Q9" i="1"/>
  <c r="D10" i="1"/>
  <c r="J21" i="1"/>
  <c r="J17" i="1"/>
  <c r="J16" i="1"/>
  <c r="I16" i="1"/>
  <c r="G12" i="1"/>
  <c r="F12" i="1"/>
  <c r="D13" i="1"/>
  <c r="D203" i="1" l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L24" i="1"/>
  <c r="P24" i="1"/>
  <c r="O24" i="1"/>
  <c r="N24" i="1"/>
  <c r="M24" i="1"/>
  <c r="I23" i="1"/>
  <c r="Q23" i="1" s="1"/>
  <c r="H23" i="1"/>
  <c r="P23" i="1" s="1"/>
  <c r="G23" i="1"/>
  <c r="O23" i="1" s="1"/>
  <c r="F23" i="1"/>
  <c r="N23" i="1" s="1"/>
  <c r="E23" i="1"/>
  <c r="M23" i="1" s="1"/>
  <c r="D23" i="1"/>
  <c r="L23" i="1" s="1"/>
  <c r="I22" i="1"/>
  <c r="Q22" i="1" s="1"/>
  <c r="H22" i="1"/>
  <c r="P22" i="1" s="1"/>
  <c r="G22" i="1"/>
  <c r="O22" i="1" s="1"/>
  <c r="F22" i="1"/>
  <c r="N22" i="1" s="1"/>
  <c r="E22" i="1"/>
  <c r="M22" i="1" s="1"/>
  <c r="D22" i="1"/>
  <c r="L22" i="1" s="1"/>
  <c r="I21" i="1"/>
  <c r="Q21" i="1" s="1"/>
  <c r="H21" i="1"/>
  <c r="P21" i="1" s="1"/>
  <c r="G21" i="1"/>
  <c r="O21" i="1" s="1"/>
  <c r="F21" i="1"/>
  <c r="N21" i="1" s="1"/>
  <c r="E21" i="1"/>
  <c r="M21" i="1" s="1"/>
  <c r="D21" i="1"/>
  <c r="L21" i="1" s="1"/>
  <c r="I20" i="1"/>
  <c r="Q20" i="1" s="1"/>
  <c r="H20" i="1"/>
  <c r="P20" i="1" s="1"/>
  <c r="G20" i="1"/>
  <c r="O20" i="1" s="1"/>
  <c r="F20" i="1"/>
  <c r="N20" i="1" s="1"/>
  <c r="E20" i="1"/>
  <c r="M20" i="1" s="1"/>
  <c r="D20" i="1"/>
  <c r="L20" i="1" s="1"/>
  <c r="Q19" i="1"/>
  <c r="I19" i="1"/>
  <c r="H19" i="1"/>
  <c r="P19" i="1" s="1"/>
  <c r="G19" i="1"/>
  <c r="O19" i="1" s="1"/>
  <c r="F19" i="1"/>
  <c r="N19" i="1" s="1"/>
  <c r="E19" i="1"/>
  <c r="M19" i="1" s="1"/>
  <c r="D19" i="1"/>
  <c r="L19" i="1" s="1"/>
  <c r="N18" i="1"/>
  <c r="I18" i="1"/>
  <c r="Q18" i="1" s="1"/>
  <c r="H18" i="1"/>
  <c r="P18" i="1" s="1"/>
  <c r="G18" i="1"/>
  <c r="O18" i="1" s="1"/>
  <c r="F18" i="1"/>
  <c r="E18" i="1"/>
  <c r="M18" i="1" s="1"/>
  <c r="D18" i="1"/>
  <c r="L18" i="1" s="1"/>
  <c r="S18" i="1" s="1"/>
  <c r="P17" i="1"/>
  <c r="W17" i="1" s="1"/>
  <c r="I17" i="1"/>
  <c r="Q17" i="1" s="1"/>
  <c r="H17" i="1"/>
  <c r="G17" i="1"/>
  <c r="O17" i="1" s="1"/>
  <c r="F17" i="1"/>
  <c r="N17" i="1" s="1"/>
  <c r="E17" i="1"/>
  <c r="M17" i="1" s="1"/>
  <c r="D17" i="1"/>
  <c r="L17" i="1" s="1"/>
  <c r="M16" i="1"/>
  <c r="Q16" i="1"/>
  <c r="H16" i="1"/>
  <c r="P16" i="1" s="1"/>
  <c r="G16" i="1"/>
  <c r="O16" i="1" s="1"/>
  <c r="F16" i="1"/>
  <c r="N16" i="1" s="1"/>
  <c r="E16" i="1"/>
  <c r="D16" i="1"/>
  <c r="L16" i="1" s="1"/>
  <c r="P15" i="1"/>
  <c r="O15" i="1"/>
  <c r="I15" i="1"/>
  <c r="Q15" i="1" s="1"/>
  <c r="H15" i="1"/>
  <c r="G15" i="1"/>
  <c r="F15" i="1"/>
  <c r="N15" i="1" s="1"/>
  <c r="E15" i="1"/>
  <c r="M15" i="1" s="1"/>
  <c r="D15" i="1"/>
  <c r="L15" i="1" s="1"/>
  <c r="M14" i="1"/>
  <c r="J14" i="1"/>
  <c r="I14" i="1"/>
  <c r="Q14" i="1" s="1"/>
  <c r="H14" i="1"/>
  <c r="P14" i="1" s="1"/>
  <c r="G14" i="1"/>
  <c r="O14" i="1" s="1"/>
  <c r="F14" i="1"/>
  <c r="N14" i="1" s="1"/>
  <c r="E14" i="1"/>
  <c r="D14" i="1"/>
  <c r="L14" i="1" s="1"/>
  <c r="J13" i="1"/>
  <c r="I13" i="1"/>
  <c r="Q13" i="1" s="1"/>
  <c r="H13" i="1"/>
  <c r="P13" i="1" s="1"/>
  <c r="G13" i="1"/>
  <c r="O13" i="1" s="1"/>
  <c r="F13" i="1"/>
  <c r="N13" i="1" s="1"/>
  <c r="E13" i="1"/>
  <c r="M13" i="1" s="1"/>
  <c r="T13" i="1" s="1"/>
  <c r="L13" i="1"/>
  <c r="J12" i="1"/>
  <c r="I12" i="1"/>
  <c r="Q12" i="1" s="1"/>
  <c r="H12" i="1"/>
  <c r="P12" i="1" s="1"/>
  <c r="O12" i="1"/>
  <c r="N12" i="1"/>
  <c r="E12" i="1"/>
  <c r="M12" i="1" s="1"/>
  <c r="D12" i="1"/>
  <c r="L12" i="1" s="1"/>
  <c r="S12" i="1" s="1"/>
  <c r="J11" i="1"/>
  <c r="I11" i="1"/>
  <c r="H11" i="1"/>
  <c r="P11" i="1" s="1"/>
  <c r="G11" i="1"/>
  <c r="O11" i="1" s="1"/>
  <c r="F11" i="1"/>
  <c r="N11" i="1" s="1"/>
  <c r="E11" i="1"/>
  <c r="M11" i="1" s="1"/>
  <c r="D11" i="1"/>
  <c r="D25" i="1" s="1"/>
  <c r="P10" i="1"/>
  <c r="I10" i="1"/>
  <c r="H10" i="1"/>
  <c r="G10" i="1"/>
  <c r="F10" i="1"/>
  <c r="E10" i="1"/>
  <c r="L10" i="1"/>
  <c r="W9" i="1"/>
  <c r="O9" i="1"/>
  <c r="N9" i="1"/>
  <c r="M9" i="1"/>
  <c r="J23" i="1"/>
  <c r="AE6" i="1"/>
  <c r="J19" i="1"/>
  <c r="AE5" i="1"/>
  <c r="J15" i="1"/>
  <c r="AE4" i="1"/>
  <c r="W4" i="1"/>
  <c r="AE3" i="1"/>
  <c r="S9" i="1" s="1"/>
  <c r="T9" i="1" l="1"/>
  <c r="W19" i="1"/>
  <c r="T21" i="1"/>
  <c r="S10" i="1"/>
  <c r="U9" i="1"/>
  <c r="T18" i="1"/>
  <c r="T23" i="1"/>
  <c r="L11" i="1"/>
  <c r="S11" i="1" s="1"/>
  <c r="X17" i="1"/>
  <c r="V21" i="1"/>
  <c r="U23" i="1"/>
  <c r="S13" i="1"/>
  <c r="V15" i="1"/>
  <c r="V19" i="1"/>
  <c r="N10" i="1"/>
  <c r="F26" i="1"/>
  <c r="F25" i="1"/>
  <c r="S15" i="1"/>
  <c r="V23" i="1"/>
  <c r="E26" i="1"/>
  <c r="E25" i="1"/>
  <c r="V11" i="1"/>
  <c r="T15" i="1"/>
  <c r="S17" i="1"/>
  <c r="S19" i="1"/>
  <c r="X21" i="1"/>
  <c r="T17" i="1"/>
  <c r="X19" i="1"/>
  <c r="S21" i="1"/>
  <c r="D26" i="1"/>
  <c r="H26" i="1"/>
  <c r="H25" i="1"/>
  <c r="U15" i="1"/>
  <c r="X9" i="1"/>
  <c r="I25" i="1"/>
  <c r="Q10" i="1"/>
  <c r="X10" i="1" s="1"/>
  <c r="I26" i="1"/>
  <c r="Q11" i="1"/>
  <c r="X11" i="1" s="1"/>
  <c r="X13" i="1"/>
  <c r="U17" i="1"/>
  <c r="S20" i="1"/>
  <c r="O10" i="1"/>
  <c r="G25" i="1"/>
  <c r="G26" i="1"/>
  <c r="W11" i="1"/>
  <c r="V9" i="1"/>
  <c r="M10" i="1"/>
  <c r="T10" i="1" s="1"/>
  <c r="V17" i="1"/>
  <c r="S23" i="1"/>
  <c r="W14" i="1"/>
  <c r="W22" i="1"/>
  <c r="V14" i="1"/>
  <c r="X22" i="1"/>
  <c r="X14" i="1"/>
  <c r="U22" i="1"/>
  <c r="V22" i="1"/>
  <c r="U14" i="1"/>
  <c r="V18" i="1"/>
  <c r="X23" i="1"/>
  <c r="X24" i="1"/>
  <c r="AF3" i="1"/>
  <c r="T12" i="1"/>
  <c r="U10" i="1"/>
  <c r="W10" i="1"/>
  <c r="V13" i="1"/>
  <c r="S14" i="1"/>
  <c r="T19" i="1"/>
  <c r="S22" i="1"/>
  <c r="W13" i="1"/>
  <c r="T14" i="1"/>
  <c r="U19" i="1"/>
  <c r="W21" i="1"/>
  <c r="J22" i="1"/>
  <c r="T22" i="1"/>
  <c r="AE7" i="1"/>
  <c r="AF6" i="1" s="1"/>
  <c r="J20" i="1"/>
  <c r="J26" i="1" s="1"/>
  <c r="J18" i="1"/>
  <c r="V10" i="1"/>
  <c r="U21" i="1"/>
  <c r="W23" i="1"/>
  <c r="U18" i="1"/>
  <c r="X15" i="1"/>
  <c r="W18" i="1"/>
  <c r="U11" i="1"/>
  <c r="X18" i="1"/>
  <c r="U13" i="1"/>
  <c r="W15" i="1"/>
  <c r="W24" i="1"/>
  <c r="T11" i="1"/>
  <c r="J25" i="1" l="1"/>
  <c r="U20" i="1"/>
  <c r="AF4" i="1"/>
  <c r="X16" i="1"/>
  <c r="T24" i="1"/>
  <c r="V12" i="1"/>
  <c r="AF5" i="1"/>
  <c r="AF7" i="1"/>
  <c r="W20" i="1"/>
  <c r="T16" i="1"/>
  <c r="S16" i="1"/>
  <c r="W12" i="1"/>
  <c r="U16" i="1"/>
  <c r="X12" i="1"/>
  <c r="X20" i="1"/>
  <c r="V24" i="1"/>
  <c r="V16" i="1"/>
  <c r="V20" i="1"/>
  <c r="U12" i="1"/>
  <c r="T20" i="1"/>
  <c r="U24" i="1"/>
  <c r="S24" i="1"/>
  <c r="W16" i="1"/>
</calcChain>
</file>

<file path=xl/sharedStrings.xml><?xml version="1.0" encoding="utf-8"?>
<sst xmlns="http://schemas.openxmlformats.org/spreadsheetml/2006/main" count="286" uniqueCount="157">
  <si>
    <t>ARWH-impact DATA</t>
  </si>
  <si>
    <t>Calculations of basin-wide ARWH sustainability indicators: 25% adoption at each geographic province</t>
  </si>
  <si>
    <t>Well water irrigation impact data</t>
  </si>
  <si>
    <t>Service Life</t>
  </si>
  <si>
    <t>ARWH Adoption Rate</t>
  </si>
  <si>
    <t>α-Parameter and annual supplemental irrigation water needs for four major crops (m)</t>
  </si>
  <si>
    <t>Crop area in each physiographic province (m2)</t>
  </si>
  <si>
    <t>∑Ajp =</t>
  </si>
  <si>
    <t>Yr</t>
  </si>
  <si>
    <t xml:space="preserve">Pasture-Green </t>
  </si>
  <si>
    <t xml:space="preserve"> Cotton </t>
  </si>
  <si>
    <t xml:space="preserve"> Corn (Reference crop) </t>
  </si>
  <si>
    <t xml:space="preserve"> Soybean </t>
  </si>
  <si>
    <r>
      <t xml:space="preserve">Crop </t>
    </r>
    <r>
      <rPr>
        <i/>
        <sz val="11"/>
        <color theme="1"/>
        <rFont val="Calibri"/>
        <family val="2"/>
        <scheme val="minor"/>
      </rPr>
      <t>j</t>
    </r>
  </si>
  <si>
    <t>Highlands</t>
  </si>
  <si>
    <t>Piedmont</t>
  </si>
  <si>
    <t>Coastal</t>
  </si>
  <si>
    <t>Total Area (m2)</t>
  </si>
  <si>
    <t>% of total area</t>
  </si>
  <si>
    <t>Decision making option (DMO)</t>
  </si>
  <si>
    <t>Energy Demand  (MJ/m3)</t>
  </si>
  <si>
    <t>Global Warming  (kg CO2 eq/m3)</t>
  </si>
  <si>
    <t>Blue Water Use (m3/m3)</t>
  </si>
  <si>
    <t>Ecotoxicity (CTU/m3)</t>
  </si>
  <si>
    <t>Eutrophication (kg N eq)</t>
  </si>
  <si>
    <t>Human Health, Cancer( CTU/m3)</t>
  </si>
  <si>
    <t>Life cycle costs present value ($/m3)</t>
  </si>
  <si>
    <t>Eutrophication (kg N eq/m3)</t>
  </si>
  <si>
    <t>T</t>
  </si>
  <si>
    <r>
      <t>R</t>
    </r>
    <r>
      <rPr>
        <b/>
        <i/>
        <sz val="14"/>
        <color rgb="FF00B050"/>
        <rFont val="Calibri"/>
        <family val="2"/>
      </rPr>
      <t>j</t>
    </r>
  </si>
  <si>
    <t>Sj</t>
  </si>
  <si>
    <t>∑Ajp</t>
  </si>
  <si>
    <t>Grass/Pasture</t>
  </si>
  <si>
    <t>Cotton</t>
  </si>
  <si>
    <r>
      <t>Δi</t>
    </r>
    <r>
      <rPr>
        <b/>
        <vertAlign val="subscript"/>
        <sz val="14"/>
        <color rgb="FF00B050"/>
        <rFont val="Calibri"/>
        <family val="2"/>
      </rPr>
      <t>j</t>
    </r>
  </si>
  <si>
    <t>Corn</t>
  </si>
  <si>
    <t>Change in impacts (Well water impact - ARWH impact)</t>
  </si>
  <si>
    <r>
      <t>I</t>
    </r>
    <r>
      <rPr>
        <i/>
        <vertAlign val="subscript"/>
        <sz val="12"/>
        <color theme="1"/>
        <rFont val="Times New Roman"/>
        <family val="1"/>
      </rPr>
      <t>j</t>
    </r>
    <r>
      <rPr>
        <sz val="12"/>
        <color theme="1"/>
        <rFont val="Times New Roman"/>
        <family val="1"/>
      </rPr>
      <t xml:space="preserve"> = change in the basin-wide impacts of ARWH irrigation for crop </t>
    </r>
    <r>
      <rPr>
        <i/>
        <sz val="12"/>
        <color theme="1"/>
        <rFont val="Times New Roman"/>
        <family val="1"/>
      </rPr>
      <t>j</t>
    </r>
    <r>
      <rPr>
        <sz val="12"/>
        <color theme="1"/>
        <rFont val="Times New Roman"/>
        <family val="1"/>
      </rPr>
      <t xml:space="preserve"> with respect to conventional irrigation impacts (Units)</t>
    </r>
  </si>
  <si>
    <t>Soybeans</t>
  </si>
  <si>
    <t>DMO</t>
  </si>
  <si>
    <t>Energy Demand  (MJ)</t>
  </si>
  <si>
    <t>Global Warming  (kg CO2 eq)</t>
  </si>
  <si>
    <t>Blue Water Use (m3)</t>
  </si>
  <si>
    <t>Ecotoxicity (CTU)</t>
  </si>
  <si>
    <t>Human Health, Cancer( CTU)</t>
  </si>
  <si>
    <t>System description</t>
  </si>
  <si>
    <t>Total area</t>
  </si>
  <si>
    <t>Baseline System Pasture-Green irrigation</t>
  </si>
  <si>
    <t>DMO1</t>
  </si>
  <si>
    <t>Baseline System Cotton irrigation</t>
  </si>
  <si>
    <t>DMO2</t>
  </si>
  <si>
    <t>Baseline System Corn (Reference crop) irrigation</t>
  </si>
  <si>
    <t>DMO3</t>
  </si>
  <si>
    <t>Baseline System Soybean irrigation</t>
  </si>
  <si>
    <t>DMO4</t>
  </si>
  <si>
    <t>Concrete Tank System Pasture-Green irrigation</t>
  </si>
  <si>
    <t>DMO5</t>
  </si>
  <si>
    <t>Concrete Tank System Cotton irrigation</t>
  </si>
  <si>
    <t>DMO6</t>
  </si>
  <si>
    <t>Concrete Tank System Corn irrigation</t>
  </si>
  <si>
    <t>DMO7</t>
  </si>
  <si>
    <t>ConcreteTank System Soybean irrigation</t>
  </si>
  <si>
    <t>DMO8</t>
  </si>
  <si>
    <t>No pump System with PE Tank Pasture-Green irrigation</t>
  </si>
  <si>
    <t>DMO9</t>
  </si>
  <si>
    <t>No pump System with PE Tank Cotton irrigation</t>
  </si>
  <si>
    <t>DMO10</t>
  </si>
  <si>
    <t>No pump System with PE Tank Corn irrigation</t>
  </si>
  <si>
    <t>DMO11</t>
  </si>
  <si>
    <t>No pump System with PE Tank Soybean irrigation</t>
  </si>
  <si>
    <t>DMO12</t>
  </si>
  <si>
    <t>No pump System with concrete Tank Pasture-Green irrigation</t>
  </si>
  <si>
    <t>DMO13</t>
  </si>
  <si>
    <t>No pump System with concrete Tank Cotton irrigation</t>
  </si>
  <si>
    <t>DMO14</t>
  </si>
  <si>
    <t>No pump System with concrete Tank Corn irrigation</t>
  </si>
  <si>
    <t>DMO15</t>
  </si>
  <si>
    <t>No pump System with concrete Tank Soybean irrigation</t>
  </si>
  <si>
    <t>DMO16</t>
  </si>
  <si>
    <t>Parabola plot</t>
  </si>
  <si>
    <t xml:space="preserve">Eutrophication </t>
  </si>
  <si>
    <t>Life cycle costs</t>
  </si>
  <si>
    <t>Y</t>
  </si>
  <si>
    <t>X</t>
  </si>
  <si>
    <t>Configuration</t>
  </si>
  <si>
    <t xml:space="preserve">Description of agricultural RWH system </t>
  </si>
  <si>
    <t>Configuration 1</t>
  </si>
  <si>
    <t>Baseline System: all components including pump, pipe, pivot, valves, and PE tank</t>
  </si>
  <si>
    <t xml:space="preserve">Agricultural RWH system 1 for reference crop (Corn) irrigation </t>
  </si>
  <si>
    <t>Configuration 2</t>
  </si>
  <si>
    <t>Concrete Tank System: all components (in Baseline System) with concrete tank</t>
  </si>
  <si>
    <t xml:space="preserve">Agricultural RWH system 2 for reference crop (Corn) irrigation </t>
  </si>
  <si>
    <t>Configuration 3</t>
  </si>
  <si>
    <t xml:space="preserve">No Pump PE Tank System: all components as in Configuration 1 with no pump </t>
  </si>
  <si>
    <t xml:space="preserve">Agricultural RWH system 3 for reference crop (Corn) irrigation </t>
  </si>
  <si>
    <t>Configuration 4</t>
  </si>
  <si>
    <t xml:space="preserve">No Pump  Concrete Tank System: all components as in Configuration 2 with no pump  </t>
  </si>
  <si>
    <t xml:space="preserve">Agricultural RWH system 4 for reference crop (Corn) irrigation </t>
  </si>
  <si>
    <t>α Parameter</t>
  </si>
  <si>
    <t>Baseline System Corn irrigation</t>
  </si>
  <si>
    <t>Formatting Units</t>
  </si>
  <si>
    <t>1 kg =0.001 Metric ton (t); 10^6 metric ton = 1 Million metric ton</t>
  </si>
  <si>
    <t>10^9 = 1Giga (G)</t>
  </si>
  <si>
    <t>10^6 = 1Mega (M)</t>
  </si>
  <si>
    <t>1 kg =0.001 Metric ton (t); 10^3 metric ton = 1 kilo metric ton (kt)</t>
  </si>
  <si>
    <t>System designs</t>
  </si>
  <si>
    <t>Blue water use (m3)</t>
  </si>
  <si>
    <t>Human Health, Cancer (CTU)</t>
  </si>
  <si>
    <t>Cumulative energy savings  (PJ)</t>
  </si>
  <si>
    <t>Reduced global warming  (Mt CO2 eq)</t>
  </si>
  <si>
    <t>Blue water use reduction (Gm3)</t>
  </si>
  <si>
    <t>Reduced ecotoxicity (MCTU)</t>
  </si>
  <si>
    <t>Reduced eutrophication (kt N eq)</t>
  </si>
  <si>
    <t>Reduced human Health, Cancer (CTU)</t>
  </si>
  <si>
    <t>No pump System with PE Tank Pasture-Green irrigation (DMO 9)</t>
  </si>
  <si>
    <t>Pasture-Green</t>
  </si>
  <si>
    <t>No pump System with PE Tank Cotton irrigation (DMO 10)</t>
  </si>
  <si>
    <t>No pump System with PE Tank Corn irrigation (DMO 11)</t>
  </si>
  <si>
    <t>No pump System with PE Tank Soybean irrigation (DMO 12)</t>
  </si>
  <si>
    <t>Soybean</t>
  </si>
  <si>
    <t>Sum</t>
  </si>
  <si>
    <t>Normalized (with respect to total in each indicator) dimensionless indicators</t>
  </si>
  <si>
    <t xml:space="preserve">Energy Demand  </t>
  </si>
  <si>
    <t xml:space="preserve">Global Warming  </t>
  </si>
  <si>
    <t xml:space="preserve">Blue Water use </t>
  </si>
  <si>
    <t xml:space="preserve">Ecotoxicity </t>
  </si>
  <si>
    <t xml:space="preserve">Human Health, Cancer </t>
  </si>
  <si>
    <t>1 metric Ton = 1000 kg</t>
  </si>
  <si>
    <t>sum</t>
  </si>
  <si>
    <t>Total Emissions in 2013 = 6,673 Million Metric Tons of CO2 equivalent</t>
  </si>
  <si>
    <t>http://www3.epa.gov/climatechange/ghgemissions/sources/agriculture.html</t>
  </si>
  <si>
    <t>Accessed Dec. 10, 2015.</t>
  </si>
  <si>
    <t>Millions Metric Tons</t>
  </si>
  <si>
    <t>Total US CO2 Emissions (2013) (Millions Metric Tons)</t>
  </si>
  <si>
    <t>Agriculture contribution = 9%</t>
  </si>
  <si>
    <t>Total CO2 Reduction in A-P basin in 50 y</t>
  </si>
  <si>
    <t xml:space="preserve">Anual CO2 Reduction in A-P basin </t>
  </si>
  <si>
    <t>% A-P basin CO2 eq. reduction</t>
  </si>
  <si>
    <t>Major crop</t>
  </si>
  <si>
    <t>Ij = change in the basin-wide impacts of agricultural RWH irrigation for crop j with respect to conventional irrigation impacts (Units)</t>
  </si>
  <si>
    <t>System design configuration</t>
  </si>
  <si>
    <t>Most sustainable DMO</t>
  </si>
  <si>
    <t>10^9 MJ = 1 PJ</t>
  </si>
  <si>
    <t>Kilograms to Metric Tons (or Tonnes) or "t" (1 t = 1000 kg)</t>
  </si>
  <si>
    <t>The International System of Units (SI) –</t>
  </si>
  <si>
    <t>Conversion Factors for General Use</t>
  </si>
  <si>
    <t>NIST Special Publication 1038</t>
  </si>
  <si>
    <t>Sustainability indicators of four major crops irrigation using most sustainable agricultural RWH system designs at 25% adoption rate in the A-P basin</t>
  </si>
  <si>
    <t>% reduction comparison</t>
  </si>
  <si>
    <t>Crops</t>
  </si>
  <si>
    <t>Suitability index</t>
  </si>
  <si>
    <t>ARWH 4 crops and 4 designs (4x4) DMOs</t>
  </si>
  <si>
    <t>Pasture-Grass</t>
  </si>
  <si>
    <t>Minimum</t>
  </si>
  <si>
    <t>Maximum</t>
  </si>
  <si>
    <r>
      <t>Table S3. LCIA values of well-water irrigation systems comparable to</t>
    </r>
    <r>
      <rPr>
        <b/>
        <sz val="13"/>
        <color rgb="FF2E74B5"/>
        <rFont val="Calibri Light"/>
        <family val="2"/>
      </rPr>
      <t xml:space="preserve"> </t>
    </r>
    <r>
      <rPr>
        <b/>
        <sz val="12"/>
        <color rgb="FF2E74B5"/>
        <rFont val="Times New Roman"/>
        <family val="1"/>
      </rPr>
      <t>Group 1 DMOs.</t>
    </r>
  </si>
  <si>
    <t>Most sustainable DMOs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</si>
</sst>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"/>
    <numFmt numFmtId="167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i/>
      <sz val="14"/>
      <color rgb="FF00B050"/>
      <name val="Calibri"/>
      <family val="2"/>
    </font>
    <font>
      <sz val="11"/>
      <name val="Calibri"/>
      <family val="2"/>
      <scheme val="minor"/>
    </font>
    <font>
      <b/>
      <vertAlign val="subscript"/>
      <sz val="14"/>
      <color rgb="FF00B050"/>
      <name val="Calibri"/>
      <family val="2"/>
    </font>
    <font>
      <i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3"/>
      <color rgb="FF2E74B5"/>
      <name val="Calibri Light"/>
      <family val="2"/>
    </font>
    <font>
      <b/>
      <sz val="12"/>
      <color rgb="FF2E74B5"/>
      <name val="Times New Roman"/>
      <family val="1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0" fontId="3" fillId="0" borderId="4" xfId="0" applyFont="1" applyFill="1" applyBorder="1"/>
    <xf numFmtId="0" fontId="4" fillId="0" borderId="1" xfId="0" applyFont="1" applyBorder="1" applyAlignment="1">
      <alignment wrapText="1"/>
    </xf>
    <xf numFmtId="0" fontId="0" fillId="0" borderId="5" xfId="0" applyBorder="1"/>
    <xf numFmtId="0" fontId="0" fillId="0" borderId="1" xfId="0" applyFill="1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2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1" xfId="0" applyFont="1" applyFill="1" applyBorder="1"/>
    <xf numFmtId="2" fontId="0" fillId="0" borderId="1" xfId="0" applyNumberFormat="1" applyBorder="1" applyAlignment="1">
      <alignment wrapText="1"/>
    </xf>
    <xf numFmtId="2" fontId="0" fillId="0" borderId="5" xfId="0" applyNumberFormat="1" applyBorder="1" applyAlignment="1">
      <alignment wrapText="1"/>
    </xf>
    <xf numFmtId="0" fontId="3" fillId="0" borderId="2" xfId="0" applyFont="1" applyFill="1" applyBorder="1"/>
    <xf numFmtId="164" fontId="0" fillId="0" borderId="1" xfId="1" applyNumberFormat="1" applyFont="1" applyBorder="1"/>
    <xf numFmtId="164" fontId="2" fillId="0" borderId="1" xfId="0" applyNumberFormat="1" applyFont="1" applyBorder="1"/>
    <xf numFmtId="0" fontId="7" fillId="4" borderId="1" xfId="0" applyFont="1" applyFill="1" applyBorder="1" applyAlignment="1"/>
    <xf numFmtId="0" fontId="6" fillId="0" borderId="0" xfId="0" applyFont="1"/>
    <xf numFmtId="0" fontId="16" fillId="0" borderId="0" xfId="2" applyFont="1" applyFill="1" applyBorder="1"/>
    <xf numFmtId="0" fontId="6" fillId="0" borderId="0" xfId="0" applyFont="1" applyBorder="1"/>
    <xf numFmtId="0" fontId="7" fillId="0" borderId="0" xfId="0" applyFont="1" applyBorder="1" applyAlignment="1">
      <alignment vertical="top" wrapText="1"/>
    </xf>
    <xf numFmtId="0" fontId="8" fillId="0" borderId="0" xfId="2" applyFill="1" applyBorder="1"/>
    <xf numFmtId="0" fontId="0" fillId="0" borderId="0" xfId="0" applyBorder="1"/>
    <xf numFmtId="0" fontId="0" fillId="0" borderId="1" xfId="0" applyBorder="1" applyAlignment="1"/>
    <xf numFmtId="0" fontId="6" fillId="2" borderId="1" xfId="0" applyFont="1" applyFill="1" applyBorder="1" applyAlignment="1"/>
    <xf numFmtId="2" fontId="9" fillId="0" borderId="2" xfId="0" applyNumberFormat="1" applyFont="1" applyFill="1" applyBorder="1" applyAlignment="1"/>
    <xf numFmtId="11" fontId="12" fillId="3" borderId="1" xfId="0" applyNumberFormat="1" applyFont="1" applyFill="1" applyBorder="1" applyAlignment="1"/>
    <xf numFmtId="11" fontId="12" fillId="3" borderId="2" xfId="0" applyNumberFormat="1" applyFont="1" applyFill="1" applyBorder="1" applyAlignment="1"/>
    <xf numFmtId="11" fontId="12" fillId="0" borderId="0" xfId="0" applyNumberFormat="1" applyFont="1" applyFill="1" applyBorder="1" applyAlignment="1"/>
    <xf numFmtId="165" fontId="0" fillId="0" borderId="1" xfId="0" applyNumberFormat="1" applyBorder="1" applyAlignment="1"/>
    <xf numFmtId="165" fontId="0" fillId="0" borderId="1" xfId="1" applyNumberFormat="1" applyFont="1" applyBorder="1" applyAlignment="1"/>
    <xf numFmtId="165" fontId="0" fillId="0" borderId="5" xfId="0" applyNumberFormat="1" applyBorder="1" applyAlignment="1"/>
    <xf numFmtId="0" fontId="0" fillId="0" borderId="2" xfId="0" applyBorder="1" applyAlignment="1"/>
    <xf numFmtId="164" fontId="0" fillId="0" borderId="1" xfId="1" applyNumberFormat="1" applyFont="1" applyBorder="1" applyAlignment="1"/>
    <xf numFmtId="164" fontId="2" fillId="0" borderId="1" xfId="0" applyNumberFormat="1" applyFont="1" applyBorder="1" applyAlignment="1"/>
    <xf numFmtId="2" fontId="0" fillId="0" borderId="1" xfId="0" applyNumberFormat="1" applyBorder="1" applyAlignment="1"/>
    <xf numFmtId="0" fontId="0" fillId="0" borderId="0" xfId="0" applyAlignment="1"/>
    <xf numFmtId="43" fontId="10" fillId="0" borderId="0" xfId="0" applyNumberFormat="1" applyFont="1" applyFill="1" applyBorder="1" applyAlignment="1"/>
    <xf numFmtId="0" fontId="12" fillId="0" borderId="1" xfId="0" applyFont="1" applyFill="1" applyBorder="1" applyAlignment="1"/>
    <xf numFmtId="0" fontId="3" fillId="0" borderId="2" xfId="0" applyFont="1" applyFill="1" applyBorder="1" applyAlignment="1"/>
    <xf numFmtId="0" fontId="12" fillId="0" borderId="0" xfId="0" applyFont="1" applyFill="1" applyBorder="1" applyAlignment="1"/>
    <xf numFmtId="0" fontId="12" fillId="0" borderId="4" xfId="0" applyFont="1" applyFill="1" applyBorder="1" applyAlignment="1"/>
    <xf numFmtId="0" fontId="0" fillId="0" borderId="4" xfId="0" applyBorder="1" applyAlignment="1"/>
    <xf numFmtId="0" fontId="7" fillId="5" borderId="1" xfId="0" applyFont="1" applyFill="1" applyBorder="1" applyAlignment="1">
      <alignment vertical="top"/>
    </xf>
    <xf numFmtId="0" fontId="12" fillId="0" borderId="2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14" fillId="0" borderId="6" xfId="0" applyFont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7" fillId="6" borderId="1" xfId="0" applyFont="1" applyFill="1" applyBorder="1" applyAlignment="1">
      <alignment vertical="top"/>
    </xf>
    <xf numFmtId="0" fontId="9" fillId="0" borderId="1" xfId="2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Fill="1" applyBorder="1" applyAlignment="1"/>
    <xf numFmtId="164" fontId="0" fillId="0" borderId="0" xfId="0" applyNumberFormat="1" applyAlignment="1"/>
    <xf numFmtId="2" fontId="0" fillId="0" borderId="0" xfId="0" applyNumberFormat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0" fontId="7" fillId="2" borderId="1" xfId="0" applyFont="1" applyFill="1" applyBorder="1" applyAlignment="1">
      <alignment vertical="top"/>
    </xf>
    <xf numFmtId="11" fontId="0" fillId="0" borderId="1" xfId="0" applyNumberFormat="1" applyBorder="1" applyAlignment="1"/>
    <xf numFmtId="11" fontId="0" fillId="0" borderId="2" xfId="0" applyNumberFormat="1" applyBorder="1" applyAlignment="1"/>
    <xf numFmtId="0" fontId="6" fillId="2" borderId="10" xfId="0" applyFont="1" applyFill="1" applyBorder="1" applyAlignment="1"/>
    <xf numFmtId="11" fontId="0" fillId="0" borderId="9" xfId="0" applyNumberFormat="1" applyFont="1" applyFill="1" applyBorder="1" applyAlignment="1"/>
    <xf numFmtId="11" fontId="0" fillId="0" borderId="1" xfId="0" applyNumberFormat="1" applyFont="1" applyFill="1" applyBorder="1" applyAlignment="1"/>
    <xf numFmtId="0" fontId="7" fillId="4" borderId="1" xfId="0" applyFont="1" applyFill="1" applyBorder="1" applyAlignment="1">
      <alignment vertical="top"/>
    </xf>
    <xf numFmtId="11" fontId="6" fillId="4" borderId="1" xfId="0" applyNumberFormat="1" applyFont="1" applyFill="1" applyBorder="1" applyAlignment="1"/>
    <xf numFmtId="0" fontId="7" fillId="5" borderId="10" xfId="0" applyFont="1" applyFill="1" applyBorder="1" applyAlignment="1">
      <alignment vertical="top"/>
    </xf>
    <xf numFmtId="11" fontId="0" fillId="0" borderId="1" xfId="0" applyNumberFormat="1" applyFont="1" applyBorder="1" applyAlignment="1"/>
    <xf numFmtId="11" fontId="0" fillId="0" borderId="2" xfId="0" applyNumberFormat="1" applyFont="1" applyBorder="1" applyAlignment="1"/>
    <xf numFmtId="0" fontId="0" fillId="0" borderId="0" xfId="0" applyFont="1" applyAlignment="1"/>
    <xf numFmtId="0" fontId="7" fillId="6" borderId="10" xfId="0" applyFont="1" applyFill="1" applyBorder="1" applyAlignment="1">
      <alignment vertical="top"/>
    </xf>
    <xf numFmtId="0" fontId="7" fillId="6" borderId="12" xfId="0" applyFont="1" applyFill="1" applyBorder="1" applyAlignment="1">
      <alignment vertical="top"/>
    </xf>
    <xf numFmtId="11" fontId="0" fillId="0" borderId="13" xfId="0" applyNumberFormat="1" applyFont="1" applyFill="1" applyBorder="1" applyAlignment="1"/>
    <xf numFmtId="11" fontId="0" fillId="0" borderId="14" xfId="0" applyNumberFormat="1" applyFont="1" applyFill="1" applyBorder="1" applyAlignment="1"/>
    <xf numFmtId="0" fontId="7" fillId="6" borderId="14" xfId="0" applyFont="1" applyFill="1" applyBorder="1" applyAlignment="1">
      <alignment vertical="top"/>
    </xf>
    <xf numFmtId="0" fontId="7" fillId="2" borderId="10" xfId="0" applyFont="1" applyFill="1" applyBorder="1" applyAlignment="1"/>
    <xf numFmtId="0" fontId="7" fillId="4" borderId="10" xfId="0" applyFont="1" applyFill="1" applyBorder="1" applyAlignment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2" fontId="0" fillId="0" borderId="22" xfId="0" applyNumberFormat="1" applyBorder="1" applyAlignment="1"/>
    <xf numFmtId="0" fontId="7" fillId="2" borderId="5" xfId="0" applyFont="1" applyFill="1" applyBorder="1" applyAlignment="1">
      <alignment vertical="top"/>
    </xf>
    <xf numFmtId="0" fontId="7" fillId="5" borderId="5" xfId="0" applyFont="1" applyFill="1" applyBorder="1" applyAlignment="1">
      <alignment vertical="top"/>
    </xf>
    <xf numFmtId="0" fontId="7" fillId="6" borderId="5" xfId="0" applyFont="1" applyFill="1" applyBorder="1" applyAlignment="1">
      <alignment vertical="top"/>
    </xf>
    <xf numFmtId="2" fontId="0" fillId="0" borderId="23" xfId="0" applyNumberFormat="1" applyBorder="1" applyAlignment="1"/>
    <xf numFmtId="0" fontId="17" fillId="0" borderId="20" xfId="0" applyFont="1" applyFill="1" applyBorder="1" applyAlignment="1"/>
    <xf numFmtId="0" fontId="17" fillId="0" borderId="21" xfId="0" applyFont="1" applyFill="1" applyBorder="1" applyAlignment="1"/>
    <xf numFmtId="0" fontId="12" fillId="0" borderId="0" xfId="0" applyFont="1" applyFill="1" applyAlignment="1"/>
    <xf numFmtId="0" fontId="12" fillId="0" borderId="9" xfId="0" applyFont="1" applyFill="1" applyBorder="1" applyAlignment="1"/>
    <xf numFmtId="0" fontId="0" fillId="0" borderId="1" xfId="0" applyFill="1" applyBorder="1" applyAlignment="1"/>
    <xf numFmtId="0" fontId="0" fillId="0" borderId="10" xfId="0" applyFill="1" applyBorder="1" applyAlignment="1"/>
    <xf numFmtId="0" fontId="0" fillId="0" borderId="0" xfId="0" applyFill="1" applyAlignment="1"/>
    <xf numFmtId="2" fontId="0" fillId="0" borderId="22" xfId="0" applyNumberFormat="1" applyFont="1" applyBorder="1" applyAlignment="1"/>
    <xf numFmtId="0" fontId="18" fillId="4" borderId="5" xfId="0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0" fontId="18" fillId="4" borderId="10" xfId="0" applyFont="1" applyFill="1" applyBorder="1" applyAlignment="1">
      <alignment vertical="top"/>
    </xf>
    <xf numFmtId="11" fontId="7" fillId="2" borderId="1" xfId="0" applyNumberFormat="1" applyFont="1" applyFill="1" applyBorder="1" applyAlignment="1"/>
    <xf numFmtId="2" fontId="16" fillId="2" borderId="1" xfId="0" applyNumberFormat="1" applyFont="1" applyFill="1" applyBorder="1" applyAlignment="1"/>
    <xf numFmtId="11" fontId="7" fillId="4" borderId="1" xfId="0" applyNumberFormat="1" applyFont="1" applyFill="1" applyBorder="1" applyAlignment="1"/>
    <xf numFmtId="43" fontId="7" fillId="4" borderId="1" xfId="0" applyNumberFormat="1" applyFont="1" applyFill="1" applyBorder="1" applyAlignment="1"/>
    <xf numFmtId="11" fontId="7" fillId="5" borderId="1" xfId="0" applyNumberFormat="1" applyFont="1" applyFill="1" applyBorder="1" applyAlignment="1"/>
    <xf numFmtId="43" fontId="7" fillId="5" borderId="1" xfId="0" applyNumberFormat="1" applyFont="1" applyFill="1" applyBorder="1" applyAlignment="1"/>
    <xf numFmtId="11" fontId="7" fillId="6" borderId="1" xfId="0" applyNumberFormat="1" applyFont="1" applyFill="1" applyBorder="1" applyAlignment="1"/>
    <xf numFmtId="43" fontId="7" fillId="6" borderId="1" xfId="0" applyNumberFormat="1" applyFont="1" applyFill="1" applyBorder="1" applyAlignment="1"/>
    <xf numFmtId="0" fontId="7" fillId="0" borderId="1" xfId="0" applyFont="1" applyFill="1" applyBorder="1" applyAlignment="1"/>
    <xf numFmtId="0" fontId="16" fillId="0" borderId="1" xfId="0" applyFont="1" applyFill="1" applyBorder="1" applyAlignment="1"/>
    <xf numFmtId="11" fontId="19" fillId="2" borderId="1" xfId="0" applyNumberFormat="1" applyFont="1" applyFill="1" applyBorder="1" applyAlignment="1"/>
    <xf numFmtId="2" fontId="19" fillId="2" borderId="1" xfId="0" applyNumberFormat="1" applyFont="1" applyFill="1" applyBorder="1" applyAlignment="1"/>
    <xf numFmtId="2" fontId="19" fillId="4" borderId="1" xfId="0" applyNumberFormat="1" applyFont="1" applyFill="1" applyBorder="1" applyAlignment="1"/>
    <xf numFmtId="11" fontId="19" fillId="5" borderId="1" xfId="0" applyNumberFormat="1" applyFont="1" applyFill="1" applyBorder="1" applyAlignment="1"/>
    <xf numFmtId="2" fontId="19" fillId="5" borderId="1" xfId="0" applyNumberFormat="1" applyFont="1" applyFill="1" applyBorder="1" applyAlignment="1"/>
    <xf numFmtId="11" fontId="19" fillId="6" borderId="1" xfId="0" applyNumberFormat="1" applyFont="1" applyFill="1" applyBorder="1" applyAlignment="1"/>
    <xf numFmtId="2" fontId="19" fillId="6" borderId="1" xfId="0" applyNumberFormat="1" applyFont="1" applyFill="1" applyBorder="1" applyAlignment="1"/>
    <xf numFmtId="0" fontId="7" fillId="5" borderId="1" xfId="0" applyFont="1" applyFill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wrapText="1"/>
    </xf>
    <xf numFmtId="0" fontId="22" fillId="0" borderId="0" xfId="3"/>
    <xf numFmtId="1" fontId="0" fillId="0" borderId="0" xfId="0" applyNumberFormat="1"/>
    <xf numFmtId="0" fontId="19" fillId="0" borderId="0" xfId="0" applyFont="1"/>
    <xf numFmtId="0" fontId="23" fillId="0" borderId="0" xfId="0" applyFont="1"/>
    <xf numFmtId="0" fontId="7" fillId="5" borderId="1" xfId="0" applyFont="1" applyFill="1" applyBorder="1" applyAlignment="1">
      <alignment horizontal="left" vertical="top"/>
    </xf>
    <xf numFmtId="166" fontId="0" fillId="0" borderId="1" xfId="0" applyNumberFormat="1" applyBorder="1" applyAlignment="1"/>
    <xf numFmtId="11" fontId="0" fillId="0" borderId="1" xfId="0" applyNumberFormat="1" applyBorder="1"/>
    <xf numFmtId="0" fontId="24" fillId="0" borderId="0" xfId="0" applyFont="1" applyAlignment="1">
      <alignment wrapText="1"/>
    </xf>
    <xf numFmtId="0" fontId="23" fillId="0" borderId="1" xfId="0" applyFont="1" applyBorder="1"/>
    <xf numFmtId="0" fontId="25" fillId="0" borderId="1" xfId="0" applyFont="1" applyBorder="1" applyAlignment="1">
      <alignment wrapText="1"/>
    </xf>
    <xf numFmtId="0" fontId="26" fillId="0" borderId="1" xfId="2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7" fillId="0" borderId="1" xfId="0" applyFont="1" applyBorder="1"/>
    <xf numFmtId="0" fontId="20" fillId="0" borderId="1" xfId="0" applyFont="1" applyBorder="1" applyAlignment="1"/>
    <xf numFmtId="0" fontId="21" fillId="0" borderId="1" xfId="2" applyFont="1" applyFill="1" applyBorder="1" applyAlignment="1"/>
    <xf numFmtId="0" fontId="25" fillId="0" borderId="5" xfId="0" applyFont="1" applyBorder="1" applyAlignment="1">
      <alignment wrapText="1"/>
    </xf>
    <xf numFmtId="0" fontId="14" fillId="0" borderId="1" xfId="0" applyFont="1" applyBorder="1" applyAlignment="1">
      <alignment horizontal="left" vertical="center" indent="10"/>
    </xf>
    <xf numFmtId="0" fontId="28" fillId="0" borderId="0" xfId="0" applyFont="1"/>
    <xf numFmtId="0" fontId="0" fillId="0" borderId="0" xfId="0" applyBorder="1" applyAlignment="1"/>
    <xf numFmtId="0" fontId="29" fillId="0" borderId="1" xfId="0" applyFont="1" applyFill="1" applyBorder="1" applyAlignment="1"/>
    <xf numFmtId="11" fontId="0" fillId="2" borderId="1" xfId="0" applyNumberFormat="1" applyFill="1" applyBorder="1"/>
    <xf numFmtId="11" fontId="0" fillId="2" borderId="2" xfId="0" applyNumberFormat="1" applyFill="1" applyBorder="1"/>
    <xf numFmtId="0" fontId="6" fillId="2" borderId="1" xfId="0" applyFont="1" applyFill="1" applyBorder="1"/>
    <xf numFmtId="0" fontId="7" fillId="4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1" fontId="0" fillId="0" borderId="5" xfId="0" applyNumberFormat="1" applyBorder="1" applyAlignment="1"/>
    <xf numFmtId="166" fontId="0" fillId="0" borderId="0" xfId="0" applyNumberFormat="1" applyBorder="1" applyAlignment="1"/>
    <xf numFmtId="11" fontId="0" fillId="0" borderId="0" xfId="0" applyNumberFormat="1"/>
    <xf numFmtId="167" fontId="0" fillId="0" borderId="1" xfId="4" applyNumberFormat="1" applyFont="1" applyBorder="1" applyAlignment="1"/>
    <xf numFmtId="0" fontId="31" fillId="0" borderId="0" xfId="0" applyFont="1" applyAlignment="1">
      <alignment vertical="center"/>
    </xf>
    <xf numFmtId="11" fontId="2" fillId="0" borderId="9" xfId="0" applyNumberFormat="1" applyFont="1" applyFill="1" applyBorder="1" applyAlignment="1"/>
    <xf numFmtId="11" fontId="2" fillId="0" borderId="1" xfId="0" applyNumberFormat="1" applyFont="1" applyFill="1" applyBorder="1" applyAlignment="1"/>
    <xf numFmtId="0" fontId="32" fillId="8" borderId="0" xfId="0" applyFont="1" applyFill="1"/>
    <xf numFmtId="11" fontId="2" fillId="8" borderId="0" xfId="0" applyNumberFormat="1" applyFont="1" applyFill="1"/>
    <xf numFmtId="0" fontId="7" fillId="6" borderId="0" xfId="0" applyFont="1" applyFill="1" applyBorder="1" applyAlignment="1">
      <alignment vertical="top"/>
    </xf>
    <xf numFmtId="166" fontId="2" fillId="8" borderId="0" xfId="0" applyNumberFormat="1" applyFont="1" applyFill="1"/>
    <xf numFmtId="1" fontId="2" fillId="8" borderId="0" xfId="0" applyNumberFormat="1" applyFont="1" applyFill="1"/>
    <xf numFmtId="1" fontId="2" fillId="0" borderId="5" xfId="0" applyNumberFormat="1" applyFont="1" applyBorder="1" applyAlignment="1"/>
    <xf numFmtId="166" fontId="2" fillId="0" borderId="1" xfId="0" applyNumberFormat="1" applyFont="1" applyBorder="1" applyAlignment="1"/>
  </cellXfs>
  <cellStyles count="5">
    <cellStyle name="Comma" xfId="1" builtinId="3"/>
    <cellStyle name="Hyperlink" xfId="3" builtinId="8"/>
    <cellStyle name="Normal" xfId="0" builtinId="0"/>
    <cellStyle name="Normal 3 2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'16DMOs sust. &amp; Table S3'!$B$180:$B$203</c:f>
              <c:numCache>
                <c:formatCode>General</c:formatCode>
                <c:ptCount val="24"/>
                <c:pt idx="0">
                  <c:v>2.5668353756924827</c:v>
                </c:pt>
                <c:pt idx="1">
                  <c:v>2.1390294797437357</c:v>
                </c:pt>
                <c:pt idx="2">
                  <c:v>1.3903691618334282</c:v>
                </c:pt>
                <c:pt idx="3">
                  <c:v>1.2299419508526479</c:v>
                </c:pt>
                <c:pt idx="4">
                  <c:v>1.2299419508526479</c:v>
                </c:pt>
                <c:pt idx="5">
                  <c:v>1.1764662138590547</c:v>
                </c:pt>
                <c:pt idx="6">
                  <c:v>2.5985846847876926</c:v>
                </c:pt>
                <c:pt idx="7">
                  <c:v>2.1654872373230774</c:v>
                </c:pt>
                <c:pt idx="8">
                  <c:v>1.4075667042600002</c:v>
                </c:pt>
                <c:pt idx="9">
                  <c:v>1.2451551614607692</c:v>
                </c:pt>
                <c:pt idx="10">
                  <c:v>1.2451551614607692</c:v>
                </c:pt>
                <c:pt idx="11">
                  <c:v>1.1910179805276924</c:v>
                </c:pt>
                <c:pt idx="12">
                  <c:v>0.56625048004747192</c:v>
                </c:pt>
                <c:pt idx="13">
                  <c:v>0.47187540003955986</c:v>
                </c:pt>
                <c:pt idx="14">
                  <c:v>0.30671901002571389</c:v>
                </c:pt>
                <c:pt idx="15">
                  <c:v>0.27132835502274688</c:v>
                </c:pt>
                <c:pt idx="16">
                  <c:v>0.27132835502274688</c:v>
                </c:pt>
                <c:pt idx="17">
                  <c:v>0.25953147002175792</c:v>
                </c:pt>
                <c:pt idx="18">
                  <c:v>0.59799978914268148</c:v>
                </c:pt>
                <c:pt idx="19">
                  <c:v>0.49833315761890123</c:v>
                </c:pt>
                <c:pt idx="20">
                  <c:v>0.32391655245228579</c:v>
                </c:pt>
                <c:pt idx="21">
                  <c:v>0.28654156563086813</c:v>
                </c:pt>
                <c:pt idx="22">
                  <c:v>0.28654156563086813</c:v>
                </c:pt>
                <c:pt idx="23">
                  <c:v>0.27408323669039564</c:v>
                </c:pt>
              </c:numCache>
            </c:numRef>
          </c:xVal>
          <c:yVal>
            <c:numRef>
              <c:f>'16DMOs sust. &amp; Table S3'!$C$180:$C$203</c:f>
              <c:numCache>
                <c:formatCode>General</c:formatCode>
                <c:ptCount val="24"/>
                <c:pt idx="0">
                  <c:v>1.6311859436205471</c:v>
                </c:pt>
                <c:pt idx="1">
                  <c:v>1.3593216196837892</c:v>
                </c:pt>
                <c:pt idx="2">
                  <c:v>0.8835590527944629</c:v>
                </c:pt>
                <c:pt idx="3">
                  <c:v>0.78160993131817869</c:v>
                </c:pt>
                <c:pt idx="4">
                  <c:v>0.78160993131817869</c:v>
                </c:pt>
                <c:pt idx="5">
                  <c:v>0.74762689082608402</c:v>
                </c:pt>
                <c:pt idx="6">
                  <c:v>1.7579461501786977</c:v>
                </c:pt>
                <c:pt idx="7">
                  <c:v>1.4649551251489148</c:v>
                </c:pt>
                <c:pt idx="8">
                  <c:v>0.95222083134679458</c:v>
                </c:pt>
                <c:pt idx="9">
                  <c:v>0.84234919696062605</c:v>
                </c:pt>
                <c:pt idx="10">
                  <c:v>0.84234919696062605</c:v>
                </c:pt>
                <c:pt idx="11">
                  <c:v>0.80572531883190313</c:v>
                </c:pt>
                <c:pt idx="12">
                  <c:v>1.5336492212146182</c:v>
                </c:pt>
                <c:pt idx="13">
                  <c:v>1.2780410176788486</c:v>
                </c:pt>
                <c:pt idx="14">
                  <c:v>0.83072666149125152</c:v>
                </c:pt>
                <c:pt idx="15">
                  <c:v>0.73487358516533785</c:v>
                </c:pt>
                <c:pt idx="16">
                  <c:v>0.73487358516533785</c:v>
                </c:pt>
                <c:pt idx="17">
                  <c:v>0.70292255972336659</c:v>
                </c:pt>
                <c:pt idx="18">
                  <c:v>1.4068890146564677</c:v>
                </c:pt>
                <c:pt idx="19">
                  <c:v>1.172407512213723</c:v>
                </c:pt>
                <c:pt idx="20">
                  <c:v>0.76206488293891994</c:v>
                </c:pt>
                <c:pt idx="21">
                  <c:v>0.67413431952289071</c:v>
                </c:pt>
                <c:pt idx="22">
                  <c:v>0.67413431952289071</c:v>
                </c:pt>
                <c:pt idx="23">
                  <c:v>0.6448241317175476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BB-49D4-9E58-B998DE08E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728464"/>
        <c:axId val="358728856"/>
      </c:scatterChart>
      <c:valAx>
        <c:axId val="35872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728856"/>
        <c:crosses val="autoZero"/>
        <c:crossBetween val="midCat"/>
      </c:valAx>
      <c:valAx>
        <c:axId val="35872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728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809221136514564"/>
          <c:y val="1.0884353741496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469044556126201"/>
          <c:y val="9.6418340785840662E-2"/>
          <c:w val="0.58511922668225325"/>
          <c:h val="0.59461298175715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7 best DMOs sustainability'!$J$3</c:f>
              <c:strCache>
                <c:ptCount val="1"/>
                <c:pt idx="0">
                  <c:v>Cumulative energy savings  (PJ)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percentage"/>
            <c:noEndCap val="0"/>
            <c:val val="50"/>
            <c:spPr>
              <a:noFill/>
              <a:ln w="381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 7 best DMOs sustainability'!$B$4:$B$7</c:f>
              <c:strCache>
                <c:ptCount val="4"/>
                <c:pt idx="0">
                  <c:v>Pasture-Grass</c:v>
                </c:pt>
                <c:pt idx="1">
                  <c:v>Cotton</c:v>
                </c:pt>
                <c:pt idx="2">
                  <c:v>Corn</c:v>
                </c:pt>
                <c:pt idx="3">
                  <c:v>Soybean</c:v>
                </c:pt>
              </c:strCache>
            </c:strRef>
          </c:cat>
          <c:val>
            <c:numRef>
              <c:f>'Fig. 7 best DMOs sustainability'!$J$4:$J$7</c:f>
              <c:numCache>
                <c:formatCode>0</c:formatCode>
                <c:ptCount val="4"/>
                <c:pt idx="0">
                  <c:v>394.62179874359185</c:v>
                </c:pt>
                <c:pt idx="1">
                  <c:v>67.924347312587798</c:v>
                </c:pt>
                <c:pt idx="2">
                  <c:v>34.935502824845479</c:v>
                </c:pt>
                <c:pt idx="3">
                  <c:v>62.488027352397921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F-40C9-A48F-FB4C91F54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7683936"/>
        <c:axId val="327684328"/>
      </c:barChart>
      <c:catAx>
        <c:axId val="327683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84328"/>
        <c:crosses val="autoZero"/>
        <c:auto val="1"/>
        <c:lblAlgn val="ctr"/>
        <c:lblOffset val="100"/>
        <c:noMultiLvlLbl val="0"/>
      </c:catAx>
      <c:valAx>
        <c:axId val="327684328"/>
        <c:scaling>
          <c:orientation val="minMax"/>
          <c:max val="800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839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7.3938020807905888E-2"/>
          <c:y val="3.05080185642494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652215504009438"/>
          <c:y val="0.11324615034877181"/>
          <c:w val="0.56248372489436582"/>
          <c:h val="0.6511993552099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'Fig. 7 best DMOs sustainability'!$K$3</c:f>
              <c:strCache>
                <c:ptCount val="1"/>
                <c:pt idx="0">
                  <c:v>Reduced global warming  (Mt CO2 eq)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percentage"/>
            <c:noEndCap val="0"/>
            <c:val val="50"/>
            <c:spPr>
              <a:noFill/>
              <a:ln w="381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 7 best DMOs sustainability'!$B$4:$B$7</c:f>
              <c:strCache>
                <c:ptCount val="4"/>
                <c:pt idx="0">
                  <c:v>Pasture-Grass</c:v>
                </c:pt>
                <c:pt idx="1">
                  <c:v>Cotton</c:v>
                </c:pt>
                <c:pt idx="2">
                  <c:v>Corn</c:v>
                </c:pt>
                <c:pt idx="3">
                  <c:v>Soybean</c:v>
                </c:pt>
              </c:strCache>
            </c:strRef>
          </c:cat>
          <c:val>
            <c:numRef>
              <c:f>'Fig. 7 best DMOs sustainability'!$K$4:$K$7</c:f>
              <c:numCache>
                <c:formatCode>0.0</c:formatCode>
                <c:ptCount val="4"/>
                <c:pt idx="0">
                  <c:v>19.001163012212903</c:v>
                </c:pt>
                <c:pt idx="1">
                  <c:v>3.2705785638143343</c:v>
                </c:pt>
                <c:pt idx="2">
                  <c:v>1.682155385743989</c:v>
                </c:pt>
                <c:pt idx="3">
                  <c:v>3.008818057732328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B-4AA0-9D5F-5305E4A07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7682760"/>
        <c:axId val="327683544"/>
      </c:barChart>
      <c:catAx>
        <c:axId val="327682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83544"/>
        <c:crosses val="autoZero"/>
        <c:auto val="1"/>
        <c:lblAlgn val="ctr"/>
        <c:lblOffset val="100"/>
        <c:noMultiLvlLbl val="0"/>
      </c:catAx>
      <c:valAx>
        <c:axId val="327683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827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451094100252091"/>
          <c:y val="2.8804962618756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847463054644077"/>
          <c:y val="0.13703129249261095"/>
          <c:w val="0.5789175566847059"/>
          <c:h val="0.597759826906582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'Fig. 7 best DMOs sustainability'!$L$3</c:f>
              <c:strCache>
                <c:ptCount val="1"/>
                <c:pt idx="0">
                  <c:v>Blue water use reduction (Gm3)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errBars>
            <c:errBarType val="both"/>
            <c:errValType val="percentage"/>
            <c:noEndCap val="0"/>
            <c:val val="50"/>
            <c:spPr>
              <a:noFill/>
              <a:ln w="381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 7 best DMOs sustainability'!$B$4:$B$7</c:f>
              <c:strCache>
                <c:ptCount val="4"/>
                <c:pt idx="0">
                  <c:v>Pasture-Grass</c:v>
                </c:pt>
                <c:pt idx="1">
                  <c:v>Cotton</c:v>
                </c:pt>
                <c:pt idx="2">
                  <c:v>Corn</c:v>
                </c:pt>
                <c:pt idx="3">
                  <c:v>Soybean</c:v>
                </c:pt>
              </c:strCache>
            </c:strRef>
          </c:cat>
          <c:val>
            <c:numRef>
              <c:f>'Fig. 7 best DMOs sustainability'!$L$4:$L$7</c:f>
              <c:numCache>
                <c:formatCode>0.0</c:formatCode>
                <c:ptCount val="4"/>
                <c:pt idx="0">
                  <c:v>72.804204919944411</c:v>
                </c:pt>
                <c:pt idx="1">
                  <c:v>12.531436723829547</c:v>
                </c:pt>
                <c:pt idx="2">
                  <c:v>6.4452889190086848</c:v>
                </c:pt>
                <c:pt idx="3">
                  <c:v>11.528484140743243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2-434B-8984-A5963BFCB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6619824"/>
        <c:axId val="356619432"/>
      </c:barChart>
      <c:catAx>
        <c:axId val="35661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619432"/>
        <c:crosses val="autoZero"/>
        <c:auto val="1"/>
        <c:lblAlgn val="ctr"/>
        <c:lblOffset val="100"/>
        <c:noMultiLvlLbl val="0"/>
      </c:catAx>
      <c:valAx>
        <c:axId val="35661943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61982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336122382341938"/>
          <c:y val="3.7116728376339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820595567601986"/>
          <c:y val="0.13994704913430223"/>
          <c:w val="0.61344437234370131"/>
          <c:h val="0.53994934884616752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'Fig. 7 best DMOs sustainability'!$M$3</c:f>
              <c:strCache>
                <c:ptCount val="1"/>
                <c:pt idx="0">
                  <c:v>Reduced ecotoxicity (MCTU)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percentage"/>
            <c:noEndCap val="0"/>
            <c:val val="50"/>
            <c:spPr>
              <a:noFill/>
              <a:ln w="381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 7 best DMOs sustainability'!$B$4:$B$7</c:f>
              <c:strCache>
                <c:ptCount val="4"/>
                <c:pt idx="0">
                  <c:v>Pasture-Grass</c:v>
                </c:pt>
                <c:pt idx="1">
                  <c:v>Cotton</c:v>
                </c:pt>
                <c:pt idx="2">
                  <c:v>Corn</c:v>
                </c:pt>
                <c:pt idx="3">
                  <c:v>Soybean</c:v>
                </c:pt>
              </c:strCache>
            </c:strRef>
          </c:cat>
          <c:val>
            <c:numRef>
              <c:f>'Fig. 7 best DMOs sustainability'!$M$4:$M$7</c:f>
              <c:numCache>
                <c:formatCode>0.0</c:formatCode>
                <c:ptCount val="4"/>
                <c:pt idx="0">
                  <c:v>58.177673148341491</c:v>
                </c:pt>
                <c:pt idx="1">
                  <c:v>10.013842340559075</c:v>
                </c:pt>
                <c:pt idx="2">
                  <c:v>5.1504155905422513</c:v>
                </c:pt>
                <c:pt idx="3">
                  <c:v>9.2123852320549613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3-4FBA-B8AD-E48461679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6622176"/>
        <c:axId val="325983104"/>
      </c:barChart>
      <c:catAx>
        <c:axId val="35662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83104"/>
        <c:crosses val="autoZero"/>
        <c:auto val="1"/>
        <c:lblAlgn val="ctr"/>
        <c:lblOffset val="100"/>
        <c:noMultiLvlLbl val="0"/>
      </c:catAx>
      <c:valAx>
        <c:axId val="325983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6221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448620512630527"/>
          <c:y val="0.16539793618177248"/>
          <c:w val="0.62005223840028112"/>
          <c:h val="0.61646048814655918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'Fig. 7 best DMOs sustainability'!$N$3</c:f>
              <c:strCache>
                <c:ptCount val="1"/>
                <c:pt idx="0">
                  <c:v>Reduced eutrophication (kt N eq)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percentage"/>
            <c:noEndCap val="0"/>
            <c:val val="50"/>
            <c:spPr>
              <a:noFill/>
              <a:ln w="381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 7 best DMOs sustainability'!$B$4:$B$7</c:f>
              <c:strCache>
                <c:ptCount val="4"/>
                <c:pt idx="0">
                  <c:v>Pasture-Grass</c:v>
                </c:pt>
                <c:pt idx="1">
                  <c:v>Cotton</c:v>
                </c:pt>
                <c:pt idx="2">
                  <c:v>Corn</c:v>
                </c:pt>
                <c:pt idx="3">
                  <c:v>Soybean</c:v>
                </c:pt>
              </c:strCache>
            </c:strRef>
          </c:cat>
          <c:val>
            <c:numRef>
              <c:f>'Fig. 7 best DMOs sustainability'!$N$4:$N$7</c:f>
              <c:numCache>
                <c:formatCode>0.0</c:formatCode>
                <c:ptCount val="4"/>
                <c:pt idx="0">
                  <c:v>69.380833606332303</c:v>
                </c:pt>
                <c:pt idx="1">
                  <c:v>11.942188327450845</c:v>
                </c:pt>
                <c:pt idx="2">
                  <c:v>6.1422210231702685</c:v>
                </c:pt>
                <c:pt idx="3">
                  <c:v>10.986396194858113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7-4AA6-AA21-807F6904E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5983496"/>
        <c:axId val="325979968"/>
      </c:barChart>
      <c:catAx>
        <c:axId val="325983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79968"/>
        <c:crosses val="autoZero"/>
        <c:auto val="1"/>
        <c:lblAlgn val="ctr"/>
        <c:lblOffset val="100"/>
        <c:noMultiLvlLbl val="0"/>
      </c:catAx>
      <c:valAx>
        <c:axId val="32597996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834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3017074032130761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631170802631323"/>
          <c:y val="0.1368030193611281"/>
          <c:w val="0.71763891085447451"/>
          <c:h val="0.5861873241644427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'Fig. 7 best DMOs sustainability'!$O$3</c:f>
              <c:strCache>
                <c:ptCount val="1"/>
                <c:pt idx="0">
                  <c:v>Reduced human Health, Cancer (CTU)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errBars>
            <c:errBarType val="both"/>
            <c:errValType val="percentage"/>
            <c:noEndCap val="0"/>
            <c:val val="50"/>
            <c:spPr>
              <a:noFill/>
              <a:ln w="381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 7 best DMOs sustainability'!$B$4:$B$7</c:f>
              <c:strCache>
                <c:ptCount val="4"/>
                <c:pt idx="0">
                  <c:v>Pasture-Grass</c:v>
                </c:pt>
                <c:pt idx="1">
                  <c:v>Cotton</c:v>
                </c:pt>
                <c:pt idx="2">
                  <c:v>Corn</c:v>
                </c:pt>
                <c:pt idx="3">
                  <c:v>Soybean</c:v>
                </c:pt>
              </c:strCache>
            </c:strRef>
          </c:cat>
          <c:val>
            <c:numRef>
              <c:f>'Fig. 7 best DMOs sustainability'!$O$4:$O$7</c:f>
              <c:numCache>
                <c:formatCode>0.0</c:formatCode>
                <c:ptCount val="4"/>
                <c:pt idx="0">
                  <c:v>0.66882589179855678</c:v>
                </c:pt>
                <c:pt idx="1">
                  <c:v>0.1151217756110189</c:v>
                </c:pt>
                <c:pt idx="2">
                  <c:v>5.9210537549245601E-2</c:v>
                </c:pt>
                <c:pt idx="3">
                  <c:v>0.10590801307419873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7-4C44-B061-05A6210BB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869584"/>
        <c:axId val="158875072"/>
      </c:barChart>
      <c:catAx>
        <c:axId val="158869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875072"/>
        <c:crosses val="autoZero"/>
        <c:auto val="1"/>
        <c:lblAlgn val="ctr"/>
        <c:lblOffset val="100"/>
        <c:noMultiLvlLbl val="0"/>
      </c:catAx>
      <c:valAx>
        <c:axId val="158875072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869584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image" Target="../media/image2.emf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672353</xdr:colOff>
      <xdr:row>176</xdr:row>
      <xdr:rowOff>135591</xdr:rowOff>
    </xdr:from>
    <xdr:to>
      <xdr:col>6</xdr:col>
      <xdr:colOff>268941</xdr:colOff>
      <xdr:row>191</xdr:row>
      <xdr:rowOff>21291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76200</xdr:colOff>
      <xdr:row>0</xdr:row>
      <xdr:rowOff>28575</xdr:rowOff>
    </xdr:from>
    <xdr:to>
      <xdr:col>33</xdr:col>
      <xdr:colOff>150743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1380" y="28575"/>
          <a:ext cx="1476623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340178</xdr:colOff>
      <xdr:row>0</xdr:row>
      <xdr:rowOff>326571</xdr:rowOff>
    </xdr:from>
    <xdr:to>
      <xdr:col>26</xdr:col>
      <xdr:colOff>163286</xdr:colOff>
      <xdr:row>2</xdr:row>
      <xdr:rowOff>408214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100851</xdr:colOff>
      <xdr:row>0</xdr:row>
      <xdr:rowOff>459442</xdr:rowOff>
    </xdr:from>
    <xdr:to>
      <xdr:col>20</xdr:col>
      <xdr:colOff>324970</xdr:colOff>
      <xdr:row>1</xdr:row>
      <xdr:rowOff>1311088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280148</xdr:colOff>
      <xdr:row>2</xdr:row>
      <xdr:rowOff>963706</xdr:rowOff>
    </xdr:from>
    <xdr:to>
      <xdr:col>21</xdr:col>
      <xdr:colOff>431669</xdr:colOff>
      <xdr:row>11</xdr:row>
      <xdr:rowOff>78441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122463</xdr:colOff>
      <xdr:row>0</xdr:row>
      <xdr:rowOff>82828</xdr:rowOff>
    </xdr:from>
    <xdr:to>
      <xdr:col>32</xdr:col>
      <xdr:colOff>530678</xdr:colOff>
      <xdr:row>2</xdr:row>
      <xdr:rowOff>503465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353786</xdr:colOff>
      <xdr:row>2</xdr:row>
      <xdr:rowOff>898071</xdr:rowOff>
    </xdr:from>
    <xdr:to>
      <xdr:col>33</xdr:col>
      <xdr:colOff>94739</xdr:colOff>
      <xdr:row>12</xdr:row>
      <xdr:rowOff>162951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108857</xdr:colOff>
      <xdr:row>2</xdr:row>
      <xdr:rowOff>870857</xdr:rowOff>
    </xdr:from>
    <xdr:to>
      <xdr:col>26</xdr:col>
      <xdr:colOff>449036</xdr:colOff>
      <xdr:row>14</xdr:row>
      <xdr:rowOff>13608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1124268</xdr:colOff>
      <xdr:row>44</xdr:row>
      <xdr:rowOff>45462</xdr:rowOff>
    </xdr:from>
    <xdr:to>
      <xdr:col>9</xdr:col>
      <xdr:colOff>220414</xdr:colOff>
      <xdr:row>71</xdr:row>
      <xdr:rowOff>68842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0706" y="14452025"/>
          <a:ext cx="7859146" cy="5166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3.epa.gov/climatechange/ghgemissions/sources/agricultur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3"/>
  <sheetViews>
    <sheetView topLeftCell="Q1" zoomScaleNormal="100" workbookViewId="0">
      <selection activeCell="U17" sqref="U17"/>
    </sheetView>
  </sheetViews>
  <sheetFormatPr defaultRowHeight="15" x14ac:dyDescent="0.25"/>
  <cols>
    <col min="1" max="1" width="19.5703125" customWidth="1"/>
    <col min="2" max="2" width="40.85546875" customWidth="1"/>
    <col min="3" max="3" width="20.28515625" customWidth="1"/>
    <col min="4" max="4" width="16.42578125" customWidth="1"/>
    <col min="5" max="5" width="18.5703125" customWidth="1"/>
    <col min="6" max="6" width="16.140625" bestFit="1" customWidth="1"/>
    <col min="7" max="7" width="17.5703125" bestFit="1" customWidth="1"/>
    <col min="8" max="8" width="17.5703125" customWidth="1"/>
    <col min="9" max="9" width="16.140625" customWidth="1"/>
    <col min="10" max="10" width="14.85546875" customWidth="1"/>
    <col min="11" max="11" width="14.85546875" style="1" customWidth="1"/>
    <col min="12" max="13" width="12.5703125" bestFit="1" customWidth="1"/>
    <col min="14" max="14" width="12.7109375" customWidth="1"/>
    <col min="15" max="15" width="11" customWidth="1"/>
    <col min="16" max="16" width="14.5703125" customWidth="1"/>
    <col min="17" max="17" width="16.140625" customWidth="1"/>
    <col min="18" max="18" width="16.140625" style="4" customWidth="1"/>
    <col min="19" max="20" width="16.140625" style="1" customWidth="1"/>
    <col min="21" max="21" width="14.7109375" customWidth="1"/>
    <col min="22" max="22" width="15" customWidth="1"/>
    <col min="23" max="23" width="14.7109375" customWidth="1"/>
    <col min="24" max="24" width="22" customWidth="1"/>
    <col min="25" max="25" width="21" customWidth="1"/>
    <col min="27" max="27" width="14.140625" customWidth="1"/>
    <col min="28" max="28" width="22" customWidth="1"/>
    <col min="29" max="30" width="16.85546875" bestFit="1" customWidth="1"/>
    <col min="31" max="31" width="20.28515625" bestFit="1" customWidth="1"/>
    <col min="32" max="32" width="11.5703125" bestFit="1" customWidth="1"/>
  </cols>
  <sheetData>
    <row r="1" spans="1:32" ht="18.75" x14ac:dyDescent="0.3">
      <c r="B1" t="s">
        <v>151</v>
      </c>
      <c r="C1" t="s">
        <v>0</v>
      </c>
      <c r="E1" t="s">
        <v>1</v>
      </c>
      <c r="L1" s="2" t="s">
        <v>2</v>
      </c>
      <c r="M1" s="2"/>
      <c r="N1" s="2"/>
      <c r="O1" s="3"/>
      <c r="P1" s="2"/>
      <c r="Q1" s="2"/>
      <c r="S1" s="2" t="s">
        <v>3</v>
      </c>
      <c r="T1" s="2" t="s">
        <v>4</v>
      </c>
      <c r="U1" s="2"/>
      <c r="V1" s="2" t="s">
        <v>5</v>
      </c>
      <c r="W1" s="2"/>
      <c r="X1" s="2"/>
      <c r="Y1" s="5"/>
      <c r="AB1" t="s">
        <v>6</v>
      </c>
      <c r="AE1" s="6" t="s">
        <v>7</v>
      </c>
    </row>
    <row r="2" spans="1:32" ht="15" customHeight="1" thickBot="1" x14ac:dyDescent="0.3"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L2" s="2">
        <v>1</v>
      </c>
      <c r="M2" s="2">
        <v>2</v>
      </c>
      <c r="N2" s="2">
        <v>3</v>
      </c>
      <c r="O2" s="3">
        <v>4</v>
      </c>
      <c r="P2" s="2">
        <v>5</v>
      </c>
      <c r="Q2" s="2">
        <v>6</v>
      </c>
      <c r="S2" s="2" t="s">
        <v>8</v>
      </c>
      <c r="T2" s="2"/>
      <c r="U2" s="7"/>
      <c r="V2" s="2" t="s">
        <v>9</v>
      </c>
      <c r="W2" s="2" t="s">
        <v>10</v>
      </c>
      <c r="X2" s="2" t="s">
        <v>11</v>
      </c>
      <c r="Y2" s="8" t="s">
        <v>12</v>
      </c>
      <c r="Z2" s="3"/>
      <c r="AA2" s="2" t="s">
        <v>13</v>
      </c>
      <c r="AB2" s="2" t="s">
        <v>14</v>
      </c>
      <c r="AC2" s="2" t="s">
        <v>15</v>
      </c>
      <c r="AD2" s="2" t="s">
        <v>16</v>
      </c>
      <c r="AE2" s="2" t="s">
        <v>17</v>
      </c>
      <c r="AF2" s="9" t="s">
        <v>18</v>
      </c>
    </row>
    <row r="3" spans="1:32" s="10" customFormat="1" ht="45.75" x14ac:dyDescent="0.3">
      <c r="A3" s="86" t="s">
        <v>84</v>
      </c>
      <c r="B3" s="87" t="s">
        <v>85</v>
      </c>
      <c r="C3" s="88" t="s">
        <v>19</v>
      </c>
      <c r="D3" s="11" t="s">
        <v>20</v>
      </c>
      <c r="E3" s="11" t="s">
        <v>21</v>
      </c>
      <c r="F3" s="11" t="s">
        <v>22</v>
      </c>
      <c r="G3" s="11" t="s">
        <v>23</v>
      </c>
      <c r="H3" s="12" t="s">
        <v>24</v>
      </c>
      <c r="I3" s="11" t="s">
        <v>25</v>
      </c>
      <c r="J3" s="13" t="s">
        <v>26</v>
      </c>
      <c r="K3" s="14"/>
      <c r="L3" s="11" t="s">
        <v>20</v>
      </c>
      <c r="M3" s="11" t="s">
        <v>21</v>
      </c>
      <c r="N3" s="11" t="s">
        <v>22</v>
      </c>
      <c r="O3" s="15" t="s">
        <v>23</v>
      </c>
      <c r="P3" s="12" t="s">
        <v>27</v>
      </c>
      <c r="Q3" s="11" t="s">
        <v>25</v>
      </c>
      <c r="R3" s="16"/>
      <c r="S3" s="17" t="s">
        <v>28</v>
      </c>
      <c r="T3" s="17" t="s">
        <v>29</v>
      </c>
      <c r="U3" s="17" t="s">
        <v>30</v>
      </c>
      <c r="V3" s="18">
        <v>1.85</v>
      </c>
      <c r="W3" s="18">
        <v>1.5384615384615385</v>
      </c>
      <c r="X3" s="18">
        <v>1</v>
      </c>
      <c r="Y3" s="19">
        <v>0.88461538461538458</v>
      </c>
      <c r="Z3" s="20" t="s">
        <v>31</v>
      </c>
      <c r="AA3" s="2" t="s">
        <v>32</v>
      </c>
      <c r="AB3" s="21">
        <v>274426200</v>
      </c>
      <c r="AC3" s="21">
        <v>6055659900</v>
      </c>
      <c r="AD3" s="21">
        <v>1732871700</v>
      </c>
      <c r="AE3" s="22">
        <f>SUM(AB3:AD3)</f>
        <v>8062957800</v>
      </c>
      <c r="AF3" s="18">
        <f>AE3/$AE$7</f>
        <v>0.44606092725150226</v>
      </c>
    </row>
    <row r="4" spans="1:32" s="43" customFormat="1" ht="15.75" x14ac:dyDescent="0.25">
      <c r="A4" s="89" t="s">
        <v>86</v>
      </c>
      <c r="B4" s="31" t="s">
        <v>87</v>
      </c>
      <c r="C4" s="84" t="s">
        <v>88</v>
      </c>
      <c r="D4" s="108">
        <v>5.4815465165989892</v>
      </c>
      <c r="E4" s="108">
        <v>0.31901596093448842</v>
      </c>
      <c r="F4" s="108">
        <v>1.2927642030177624E-3</v>
      </c>
      <c r="G4" s="108">
        <v>5.0217783625709008E-4</v>
      </c>
      <c r="H4" s="108">
        <v>1.301242388524991E-3</v>
      </c>
      <c r="I4" s="108">
        <v>1.3723857542781672E-11</v>
      </c>
      <c r="J4" s="109">
        <v>0.13164292129337576</v>
      </c>
      <c r="K4" s="32"/>
      <c r="L4" s="33">
        <v>6.9867136520999997</v>
      </c>
      <c r="M4" s="33">
        <v>0.34484938691963773</v>
      </c>
      <c r="N4" s="33">
        <v>1.0015454804000001</v>
      </c>
      <c r="O4" s="34">
        <v>1.1132644280371137E-3</v>
      </c>
      <c r="P4" s="33">
        <v>1.2409423695788936E-3</v>
      </c>
      <c r="Q4" s="33">
        <v>1.5772082438055091E-11</v>
      </c>
      <c r="R4" s="35"/>
      <c r="S4" s="30">
        <v>50</v>
      </c>
      <c r="T4" s="30">
        <v>0.25</v>
      </c>
      <c r="U4" s="30"/>
      <c r="V4" s="36">
        <f>V3*$X$4</f>
        <v>0.39090500000000006</v>
      </c>
      <c r="W4" s="36">
        <f>W3*$X$4</f>
        <v>0.3250769230769231</v>
      </c>
      <c r="X4" s="37">
        <f>211.3/1000</f>
        <v>0.21130000000000002</v>
      </c>
      <c r="Y4" s="38">
        <f>Y3*$X$4</f>
        <v>0.18691923076923078</v>
      </c>
      <c r="Z4" s="39"/>
      <c r="AA4" s="30" t="s">
        <v>33</v>
      </c>
      <c r="AB4" s="40"/>
      <c r="AC4" s="40">
        <v>40582800</v>
      </c>
      <c r="AD4" s="40">
        <v>1962067500</v>
      </c>
      <c r="AE4" s="41">
        <f t="shared" ref="AE4:AE5" si="0">SUM(AB4:AD4)</f>
        <v>2002650300</v>
      </c>
      <c r="AF4" s="42">
        <f t="shared" ref="AF4:AF7" si="1">AE4/$AE$7</f>
        <v>0.11079111064905972</v>
      </c>
    </row>
    <row r="5" spans="1:32" s="43" customFormat="1" ht="21" thickBot="1" x14ac:dyDescent="0.4">
      <c r="A5" s="89" t="s">
        <v>89</v>
      </c>
      <c r="B5" s="23" t="s">
        <v>90</v>
      </c>
      <c r="C5" s="85" t="s">
        <v>91</v>
      </c>
      <c r="D5" s="110">
        <v>5.4054521709494949</v>
      </c>
      <c r="E5" s="110">
        <v>0.31683163822086019</v>
      </c>
      <c r="F5" s="110">
        <v>1.4375425234902075E-3</v>
      </c>
      <c r="G5" s="110">
        <v>4.9028758698700095E-4</v>
      </c>
      <c r="H5" s="110">
        <v>1.317337517644802E-3</v>
      </c>
      <c r="I5" s="110">
        <v>1.3792619122717971E-11</v>
      </c>
      <c r="J5" s="111">
        <v>0.14187295298309741</v>
      </c>
      <c r="K5" s="44"/>
      <c r="L5" s="30"/>
      <c r="M5" s="45"/>
      <c r="N5" s="45"/>
      <c r="O5" s="46" t="s">
        <v>34</v>
      </c>
      <c r="P5" s="45"/>
      <c r="Q5" s="45"/>
      <c r="R5" s="47"/>
      <c r="S5" s="48"/>
      <c r="T5" s="48"/>
      <c r="U5" s="49"/>
      <c r="V5" s="49"/>
      <c r="W5" s="49"/>
      <c r="X5" s="49"/>
      <c r="AA5" s="30" t="s">
        <v>35</v>
      </c>
      <c r="AB5" s="40">
        <v>5426100</v>
      </c>
      <c r="AC5" s="40">
        <v>203607900</v>
      </c>
      <c r="AD5" s="40">
        <v>2228888700</v>
      </c>
      <c r="AE5" s="41">
        <f t="shared" si="0"/>
        <v>2437922700</v>
      </c>
      <c r="AF5" s="42">
        <f t="shared" si="1"/>
        <v>0.13487135702601419</v>
      </c>
    </row>
    <row r="6" spans="1:32" s="43" customFormat="1" ht="23.25" x14ac:dyDescent="0.35">
      <c r="A6" s="89" t="s">
        <v>92</v>
      </c>
      <c r="B6" s="50" t="s">
        <v>93</v>
      </c>
      <c r="C6" s="75" t="s">
        <v>94</v>
      </c>
      <c r="D6" s="112">
        <v>1.5612412689689046</v>
      </c>
      <c r="E6" s="112">
        <v>8.3611195065171146E-2</v>
      </c>
      <c r="F6" s="112">
        <v>5.9417860527192503E-4</v>
      </c>
      <c r="G6" s="112">
        <v>3.1340653882242186E-4</v>
      </c>
      <c r="H6" s="112">
        <v>2.8705741479880171E-4</v>
      </c>
      <c r="I6" s="112">
        <v>6.5767049484454361E-12</v>
      </c>
      <c r="J6" s="113">
        <v>0.11354130444126727</v>
      </c>
      <c r="K6" s="44"/>
      <c r="L6" s="148" t="s">
        <v>36</v>
      </c>
      <c r="M6" s="45"/>
      <c r="N6" s="45"/>
      <c r="O6" s="51"/>
      <c r="P6" s="45"/>
      <c r="Q6" s="52"/>
      <c r="R6" s="53"/>
      <c r="S6" s="54" t="s">
        <v>37</v>
      </c>
      <c r="T6" s="55"/>
      <c r="U6" s="56"/>
      <c r="V6" s="56"/>
      <c r="W6" s="56"/>
      <c r="X6" s="56"/>
      <c r="Y6" s="56"/>
      <c r="Z6" s="57"/>
      <c r="AA6" s="30" t="s">
        <v>38</v>
      </c>
      <c r="AB6" s="40">
        <v>280800</v>
      </c>
      <c r="AC6" s="40">
        <v>715558500</v>
      </c>
      <c r="AD6" s="40">
        <v>4856541300</v>
      </c>
      <c r="AE6" s="41">
        <f>SUM(AB6:AD6)</f>
        <v>5572380600</v>
      </c>
      <c r="AF6" s="42">
        <f t="shared" si="1"/>
        <v>0.30827660507342386</v>
      </c>
    </row>
    <row r="7" spans="1:32" s="43" customFormat="1" ht="16.5" thickBot="1" x14ac:dyDescent="0.3">
      <c r="A7" s="90" t="s">
        <v>95</v>
      </c>
      <c r="B7" s="83" t="s">
        <v>96</v>
      </c>
      <c r="C7" s="80" t="s">
        <v>97</v>
      </c>
      <c r="D7" s="114">
        <v>1.485146923319409</v>
      </c>
      <c r="E7" s="114">
        <v>8.1426872351542945E-2</v>
      </c>
      <c r="F7" s="114">
        <v>7.3895692574437095E-4</v>
      </c>
      <c r="G7" s="114">
        <v>3.0151628955233284E-4</v>
      </c>
      <c r="H7" s="114">
        <v>3.0315254391861257E-4</v>
      </c>
      <c r="I7" s="114">
        <v>6.6454665283817401E-12</v>
      </c>
      <c r="J7" s="115">
        <v>0.1237713361309889</v>
      </c>
      <c r="K7" s="44"/>
      <c r="L7" s="30" t="s">
        <v>20</v>
      </c>
      <c r="M7" s="30" t="s">
        <v>21</v>
      </c>
      <c r="N7" s="30" t="s">
        <v>22</v>
      </c>
      <c r="O7" s="39" t="s">
        <v>23</v>
      </c>
      <c r="P7" s="59" t="s">
        <v>27</v>
      </c>
      <c r="Q7" s="30" t="s">
        <v>25</v>
      </c>
      <c r="R7" s="47" t="s">
        <v>39</v>
      </c>
      <c r="S7" s="60" t="s">
        <v>40</v>
      </c>
      <c r="T7" s="30" t="s">
        <v>41</v>
      </c>
      <c r="U7" s="30" t="s">
        <v>42</v>
      </c>
      <c r="V7" s="30" t="s">
        <v>43</v>
      </c>
      <c r="W7" s="59" t="s">
        <v>24</v>
      </c>
      <c r="X7" s="30" t="s">
        <v>44</v>
      </c>
      <c r="Y7" s="30" t="s">
        <v>45</v>
      </c>
      <c r="Z7" s="61" t="s">
        <v>39</v>
      </c>
      <c r="AD7" s="62" t="s">
        <v>46</v>
      </c>
      <c r="AE7" s="63">
        <f>SUM(AE3:AE6)</f>
        <v>18075911400</v>
      </c>
      <c r="AF7" s="64">
        <f t="shared" si="1"/>
        <v>1</v>
      </c>
    </row>
    <row r="8" spans="1:32" s="103" customFormat="1" ht="15.75" x14ac:dyDescent="0.25">
      <c r="A8" s="91" t="s">
        <v>98</v>
      </c>
      <c r="B8" s="97"/>
      <c r="C8" s="98"/>
      <c r="D8" s="116"/>
      <c r="E8" s="116"/>
      <c r="F8" s="117"/>
      <c r="G8" s="117"/>
      <c r="H8" s="117"/>
      <c r="I8" s="117"/>
      <c r="J8" s="117"/>
      <c r="K8" s="65"/>
      <c r="L8" s="99"/>
      <c r="M8" s="99"/>
      <c r="N8" s="99"/>
      <c r="O8" s="99"/>
      <c r="P8" s="45"/>
      <c r="Q8" s="45"/>
      <c r="R8" s="66"/>
      <c r="S8" s="100"/>
      <c r="T8" s="45"/>
      <c r="U8" s="101"/>
      <c r="V8" s="101"/>
      <c r="W8" s="101"/>
      <c r="X8" s="101"/>
      <c r="Y8" s="101"/>
      <c r="Z8" s="102"/>
    </row>
    <row r="9" spans="1:32" s="43" customFormat="1" ht="15.75" x14ac:dyDescent="0.25">
      <c r="A9" s="92">
        <v>1.8461538461538463</v>
      </c>
      <c r="B9" s="93" t="s">
        <v>47</v>
      </c>
      <c r="C9" s="31" t="s">
        <v>48</v>
      </c>
      <c r="D9" s="118">
        <f>A9*$D$4</f>
        <v>10.119778184490443</v>
      </c>
      <c r="E9" s="118">
        <f>A9*$E$4</f>
        <v>0.58895254326367097</v>
      </c>
      <c r="F9" s="118">
        <f>A9*$F$4</f>
        <v>2.3866416055712538E-3</v>
      </c>
      <c r="G9" s="118">
        <f>A9*$G$4</f>
        <v>9.2709754385924322E-4</v>
      </c>
      <c r="H9" s="118">
        <f>$H$4*A9</f>
        <v>2.4022936403538296E-3</v>
      </c>
      <c r="I9" s="118">
        <f>A9*$I$4</f>
        <v>2.533635238667386E-11</v>
      </c>
      <c r="J9" s="119">
        <f>A9*$J$4</f>
        <v>0.24303308546469374</v>
      </c>
      <c r="K9" s="31" t="s">
        <v>48</v>
      </c>
      <c r="L9" s="68">
        <f>$L$4*A9-D9</f>
        <v>2.7787700963095574</v>
      </c>
      <c r="M9" s="68">
        <f>$M$4*A9-E9</f>
        <v>4.7692478741814148E-2</v>
      </c>
      <c r="N9" s="68">
        <f>$N$4*A9-F9</f>
        <v>1.8466203991328904</v>
      </c>
      <c r="O9" s="69">
        <f>$O$4*A9-G9</f>
        <v>1.1281598617477358E-3</v>
      </c>
      <c r="P9" s="68">
        <f>$P$4*A9-H9</f>
        <v>-1.1132311190048755E-4</v>
      </c>
      <c r="Q9" s="68">
        <f>$Q$4*A9-I9</f>
        <v>3.7813382681970792E-12</v>
      </c>
      <c r="R9" s="70" t="s">
        <v>48</v>
      </c>
      <c r="S9" s="71">
        <f>L9*$S$4*$T$4*$V$4*$AE$3</f>
        <v>109478349621.30269</v>
      </c>
      <c r="T9" s="72">
        <f>M9*$S$4*$T$4*$V$4*$AE$3</f>
        <v>1878994548.3209269</v>
      </c>
      <c r="U9" s="72">
        <f t="shared" ref="U9:X9" si="2">N9*$S$4*$T$4*$V$4*$AE$3</f>
        <v>72753393288.128555</v>
      </c>
      <c r="V9" s="72">
        <f t="shared" si="2"/>
        <v>44447390.569363639</v>
      </c>
      <c r="W9" s="72">
        <f t="shared" si="2"/>
        <v>-4385922.599987302</v>
      </c>
      <c r="X9" s="72">
        <f t="shared" si="2"/>
        <v>0.14897766228011614</v>
      </c>
      <c r="Y9" s="67" t="s">
        <v>47</v>
      </c>
      <c r="Z9" s="70" t="s">
        <v>48</v>
      </c>
    </row>
    <row r="10" spans="1:32" s="43" customFormat="1" ht="15.75" x14ac:dyDescent="0.25">
      <c r="A10" s="92">
        <v>1.5384615384615385</v>
      </c>
      <c r="B10" s="93" t="s">
        <v>49</v>
      </c>
      <c r="C10" s="31" t="s">
        <v>50</v>
      </c>
      <c r="D10" s="118">
        <f>A10*$D$4</f>
        <v>8.4331484870753677</v>
      </c>
      <c r="E10" s="118">
        <f t="shared" ref="E10:E12" si="3">A10*$E$4</f>
        <v>0.49079378605305912</v>
      </c>
      <c r="F10" s="118">
        <f t="shared" ref="F10:F11" si="4">A10*$F$4</f>
        <v>1.9888680046427115E-3</v>
      </c>
      <c r="G10" s="118">
        <f t="shared" ref="G10:G11" si="5">A10*$G$4</f>
        <v>7.7258128654936935E-4</v>
      </c>
      <c r="H10" s="118">
        <f t="shared" ref="H10:H12" si="6">$H$4*A10</f>
        <v>2.0019113669615249E-3</v>
      </c>
      <c r="I10" s="118">
        <f t="shared" ref="I10:I12" si="7">A10*$I$4</f>
        <v>2.1113626988894882E-11</v>
      </c>
      <c r="J10" s="119">
        <f>A10*$J$4</f>
        <v>0.2025275712205781</v>
      </c>
      <c r="K10" s="31" t="s">
        <v>50</v>
      </c>
      <c r="L10" s="68">
        <f>$L$4*A10-D10</f>
        <v>2.3156417469246318</v>
      </c>
      <c r="M10" s="68">
        <f t="shared" ref="M10:M24" si="8">$M$4*A10-E10</f>
        <v>3.9743732284845068E-2</v>
      </c>
      <c r="N10" s="68">
        <f t="shared" ref="N10:N24" si="9">$N$4*A10-F10</f>
        <v>1.5388503326107421</v>
      </c>
      <c r="O10" s="69">
        <f t="shared" ref="O10:O24" si="10">$O$4*A10-G10</f>
        <v>9.4013321812311322E-4</v>
      </c>
      <c r="P10" s="68">
        <f>$P$4*A10-H10</f>
        <v>-9.2769259917073032E-5</v>
      </c>
      <c r="Q10" s="68">
        <f>$Q$4*A10-I10</f>
        <v>3.1511152234975654E-12</v>
      </c>
      <c r="R10" s="70" t="s">
        <v>50</v>
      </c>
      <c r="S10" s="71">
        <f>L10*$S$4*$T$4*$W$4*$AE$4</f>
        <v>18843980404.939648</v>
      </c>
      <c r="T10" s="72">
        <f t="shared" ref="T10:X10" si="11">M10*$S$4*$T$4*$W$4*$AE$4</f>
        <v>323422270.90586448</v>
      </c>
      <c r="U10" s="72">
        <f t="shared" si="11"/>
        <v>12522690762.663767</v>
      </c>
      <c r="V10" s="72">
        <f t="shared" si="11"/>
        <v>7650515.009013352</v>
      </c>
      <c r="W10" s="72">
        <f t="shared" si="11"/>
        <v>-754927.70778543688</v>
      </c>
      <c r="X10" s="72">
        <f t="shared" si="11"/>
        <v>2.5642806623328591E-2</v>
      </c>
      <c r="Y10" s="67" t="s">
        <v>49</v>
      </c>
      <c r="Z10" s="70" t="s">
        <v>50</v>
      </c>
    </row>
    <row r="11" spans="1:32" s="43" customFormat="1" ht="15.75" x14ac:dyDescent="0.25">
      <c r="A11" s="92">
        <v>1</v>
      </c>
      <c r="B11" s="93" t="s">
        <v>99</v>
      </c>
      <c r="C11" s="31" t="s">
        <v>52</v>
      </c>
      <c r="D11" s="118">
        <f t="shared" ref="D11:D12" si="12">A11*$D$4</f>
        <v>5.4815465165989892</v>
      </c>
      <c r="E11" s="118">
        <f t="shared" si="3"/>
        <v>0.31901596093448842</v>
      </c>
      <c r="F11" s="118">
        <f t="shared" si="4"/>
        <v>1.2927642030177624E-3</v>
      </c>
      <c r="G11" s="118">
        <f t="shared" si="5"/>
        <v>5.0217783625709008E-4</v>
      </c>
      <c r="H11" s="118">
        <f t="shared" si="6"/>
        <v>1.301242388524991E-3</v>
      </c>
      <c r="I11" s="118">
        <f t="shared" si="7"/>
        <v>1.3723857542781672E-11</v>
      </c>
      <c r="J11" s="119">
        <f>A11*$J$4</f>
        <v>0.13164292129337576</v>
      </c>
      <c r="K11" s="31" t="s">
        <v>52</v>
      </c>
      <c r="L11" s="68">
        <f>$L$4*A11-D11</f>
        <v>1.5051671355010106</v>
      </c>
      <c r="M11" s="68">
        <f t="shared" si="8"/>
        <v>2.5833425985149316E-2</v>
      </c>
      <c r="N11" s="68">
        <f t="shared" si="9"/>
        <v>1.0002527161969823</v>
      </c>
      <c r="O11" s="69">
        <f t="shared" si="10"/>
        <v>6.1108659178002358E-4</v>
      </c>
      <c r="P11" s="68">
        <f t="shared" ref="P11:P24" si="13">$P$4*A11-H11</f>
        <v>-6.0300018946097406E-5</v>
      </c>
      <c r="Q11" s="68">
        <f>$Q$4*A11-I11</f>
        <v>2.0482248952734188E-12</v>
      </c>
      <c r="R11" s="70" t="s">
        <v>52</v>
      </c>
      <c r="S11" s="71">
        <f>L11*$S$4*$T$4*$X$4*$AE$5</f>
        <v>9692017026.5088539</v>
      </c>
      <c r="T11" s="72">
        <f t="shared" ref="T11:W11" si="14">M11*$S$4*$T$4*$X$4*$AE$5</f>
        <v>166345649.32736358</v>
      </c>
      <c r="U11" s="72">
        <f t="shared" si="14"/>
        <v>6440790612.2438536</v>
      </c>
      <c r="V11" s="72">
        <f t="shared" si="14"/>
        <v>3934886.3740848517</v>
      </c>
      <c r="W11" s="72">
        <f t="shared" si="14"/>
        <v>-388281.67087892827</v>
      </c>
      <c r="X11" s="72">
        <f>Q11*$S$4*$T$4*$X$4*$AE$5</f>
        <v>1.3188854640054001E-2</v>
      </c>
      <c r="Y11" s="67" t="s">
        <v>51</v>
      </c>
      <c r="Z11" s="70" t="s">
        <v>52</v>
      </c>
    </row>
    <row r="12" spans="1:32" s="43" customFormat="1" ht="15.75" x14ac:dyDescent="0.25">
      <c r="A12" s="92">
        <v>0.88461538461538458</v>
      </c>
      <c r="B12" s="93" t="s">
        <v>53</v>
      </c>
      <c r="C12" s="31" t="s">
        <v>54</v>
      </c>
      <c r="D12" s="118">
        <f t="shared" si="12"/>
        <v>4.8490603800683365</v>
      </c>
      <c r="E12" s="118">
        <f t="shared" si="3"/>
        <v>0.28220642698050896</v>
      </c>
      <c r="F12" s="118">
        <f>A12*$F$4</f>
        <v>1.143599102669559E-3</v>
      </c>
      <c r="G12" s="118">
        <f>A12*$G$4</f>
        <v>4.4423423976588738E-4</v>
      </c>
      <c r="H12" s="118">
        <f t="shared" si="6"/>
        <v>1.1510990360028767E-3</v>
      </c>
      <c r="I12" s="118">
        <f t="shared" si="7"/>
        <v>1.2140335518614555E-11</v>
      </c>
      <c r="J12" s="119">
        <f t="shared" ref="J12" si="15">A12*$J$4</f>
        <v>0.1164533534518324</v>
      </c>
      <c r="K12" s="31" t="s">
        <v>54</v>
      </c>
      <c r="L12" s="68">
        <f t="shared" ref="L12:L24" si="16">$L$4*A12-D12</f>
        <v>1.3314940044816632</v>
      </c>
      <c r="M12" s="68">
        <f t="shared" si="8"/>
        <v>2.2852646063785953E-2</v>
      </c>
      <c r="N12" s="68">
        <f t="shared" si="9"/>
        <v>0.88483894125117668</v>
      </c>
      <c r="O12" s="69">
        <f t="shared" si="10"/>
        <v>5.4057660042078999E-4</v>
      </c>
      <c r="P12" s="68">
        <f t="shared" si="13"/>
        <v>-5.3342324452317069E-5</v>
      </c>
      <c r="Q12" s="68">
        <f t="shared" ref="Q12:Q23" si="17">$Q$4*A12-I12</f>
        <v>1.8118912535111016E-12</v>
      </c>
      <c r="R12" s="70" t="s">
        <v>54</v>
      </c>
      <c r="S12" s="71">
        <f>L12*$S$4*$T$4*$Y$4*$AE$6</f>
        <v>17335803869.457268</v>
      </c>
      <c r="T12" s="72">
        <f t="shared" ref="T12:X12" si="18">M12*$S$4*$T$4*$Y$4*$AE$6</f>
        <v>297537194.10410893</v>
      </c>
      <c r="U12" s="72">
        <f t="shared" si="18"/>
        <v>11520438161.912781</v>
      </c>
      <c r="V12" s="72">
        <f t="shared" si="18"/>
        <v>7038206.6233643675</v>
      </c>
      <c r="W12" s="72">
        <f t="shared" si="18"/>
        <v>-694507.12623096781</v>
      </c>
      <c r="X12" s="72">
        <f t="shared" si="18"/>
        <v>2.359048654964192E-2</v>
      </c>
      <c r="Y12" s="67" t="s">
        <v>53</v>
      </c>
      <c r="Z12" s="70" t="s">
        <v>54</v>
      </c>
    </row>
    <row r="13" spans="1:32" s="78" customFormat="1" ht="15.75" x14ac:dyDescent="0.25">
      <c r="A13" s="104">
        <v>1.8461538461538463</v>
      </c>
      <c r="B13" s="105" t="s">
        <v>55</v>
      </c>
      <c r="C13" s="73" t="s">
        <v>56</v>
      </c>
      <c r="D13" s="74">
        <f>$A$13*D5</f>
        <v>9.9792963155990684</v>
      </c>
      <c r="E13" s="74">
        <f t="shared" ref="E13:I13" si="19">$A$13*E5</f>
        <v>0.58491994748466503</v>
      </c>
      <c r="F13" s="74">
        <f t="shared" si="19"/>
        <v>2.6539246587511524E-3</v>
      </c>
      <c r="G13" s="74">
        <f t="shared" si="19"/>
        <v>9.0514631443754025E-4</v>
      </c>
      <c r="H13" s="74">
        <f t="shared" si="19"/>
        <v>2.4320077248827115E-3</v>
      </c>
      <c r="I13" s="74">
        <f t="shared" si="19"/>
        <v>2.546329684194087E-11</v>
      </c>
      <c r="J13" s="120">
        <f>A13*$J$5</f>
        <v>0.26191929781494905</v>
      </c>
      <c r="K13" s="106" t="s">
        <v>56</v>
      </c>
      <c r="L13" s="76">
        <f t="shared" si="16"/>
        <v>2.9192519652009317</v>
      </c>
      <c r="M13" s="76">
        <f t="shared" si="8"/>
        <v>5.1725074520820091E-2</v>
      </c>
      <c r="N13" s="76">
        <f t="shared" si="9"/>
        <v>1.8463531160797106</v>
      </c>
      <c r="O13" s="77">
        <f t="shared" si="10"/>
        <v>1.1501110911694389E-3</v>
      </c>
      <c r="P13" s="76">
        <f t="shared" si="13"/>
        <v>-1.410371964293694E-4</v>
      </c>
      <c r="Q13" s="76">
        <f t="shared" si="17"/>
        <v>3.6543938129300688E-12</v>
      </c>
      <c r="R13" s="107" t="s">
        <v>56</v>
      </c>
      <c r="S13" s="71">
        <f>L13*$S$4*$T$4*$V$4*$AE$3</f>
        <v>115013072763.15938</v>
      </c>
      <c r="T13" s="72">
        <f>M13*$S$4*$T$4*$V$4*$AE$3</f>
        <v>2037871287.0485125</v>
      </c>
      <c r="U13" s="72">
        <f t="shared" ref="U13:X13" si="20">N13*$S$4*$T$4*$V$4*$AE$3</f>
        <v>72742862835.25563</v>
      </c>
      <c r="V13" s="72">
        <f t="shared" si="20"/>
        <v>45312227.99237977</v>
      </c>
      <c r="W13" s="72">
        <f t="shared" si="20"/>
        <v>-5556602.0092159361</v>
      </c>
      <c r="X13" s="72">
        <f t="shared" si="20"/>
        <v>0.14397628794020048</v>
      </c>
      <c r="Y13" s="106" t="s">
        <v>55</v>
      </c>
      <c r="Z13" s="107" t="s">
        <v>56</v>
      </c>
    </row>
    <row r="14" spans="1:32" s="78" customFormat="1" ht="15.75" x14ac:dyDescent="0.25">
      <c r="A14" s="104">
        <v>1.5384615384615385</v>
      </c>
      <c r="B14" s="105" t="s">
        <v>57</v>
      </c>
      <c r="C14" s="73" t="s">
        <v>58</v>
      </c>
      <c r="D14" s="74">
        <f t="shared" ref="D14:I14" si="21">$A$14*D5</f>
        <v>8.3160802629992236</v>
      </c>
      <c r="E14" s="74">
        <f t="shared" si="21"/>
        <v>0.48743328957055415</v>
      </c>
      <c r="F14" s="74">
        <f t="shared" si="21"/>
        <v>2.2116038822926273E-3</v>
      </c>
      <c r="G14" s="74">
        <f t="shared" si="21"/>
        <v>7.5428859536461686E-4</v>
      </c>
      <c r="H14" s="74">
        <f t="shared" si="21"/>
        <v>2.0266731040689263E-3</v>
      </c>
      <c r="I14" s="74">
        <f t="shared" si="21"/>
        <v>2.1219414034950727E-11</v>
      </c>
      <c r="J14" s="120">
        <f t="shared" ref="J14:J15" si="22">A14*$J$5</f>
        <v>0.21826608151245755</v>
      </c>
      <c r="K14" s="106" t="s">
        <v>58</v>
      </c>
      <c r="L14" s="76">
        <f t="shared" si="16"/>
        <v>2.4327099710007758</v>
      </c>
      <c r="M14" s="76">
        <f t="shared" si="8"/>
        <v>4.3104228767350039E-2</v>
      </c>
      <c r="N14" s="76">
        <f t="shared" si="9"/>
        <v>1.5386275967330922</v>
      </c>
      <c r="O14" s="77">
        <f t="shared" si="10"/>
        <v>9.5842590930786571E-4</v>
      </c>
      <c r="P14" s="76">
        <f t="shared" si="13"/>
        <v>-1.175309970244745E-4</v>
      </c>
      <c r="Q14" s="76">
        <f t="shared" si="17"/>
        <v>3.0453281774417213E-12</v>
      </c>
      <c r="R14" s="107" t="s">
        <v>58</v>
      </c>
      <c r="S14" s="71">
        <f>L14*$S$4*$T$4*$W$4*$AE$4</f>
        <v>19796645610.367786</v>
      </c>
      <c r="T14" s="72">
        <f t="shared" ref="T14:X14" si="23">M14*$S$4*$T$4*$W$4*$AE$4</f>
        <v>350768957.82377541</v>
      </c>
      <c r="U14" s="72">
        <f t="shared" si="23"/>
        <v>12520878206.589634</v>
      </c>
      <c r="V14" s="72">
        <f t="shared" si="23"/>
        <v>7799375.3043059586</v>
      </c>
      <c r="W14" s="72">
        <f t="shared" si="23"/>
        <v>-956431.109364648</v>
      </c>
      <c r="X14" s="72">
        <f t="shared" si="23"/>
        <v>2.4781944175318121E-2</v>
      </c>
      <c r="Y14" s="106" t="s">
        <v>57</v>
      </c>
      <c r="Z14" s="107" t="s">
        <v>58</v>
      </c>
    </row>
    <row r="15" spans="1:32" s="78" customFormat="1" ht="15.75" x14ac:dyDescent="0.25">
      <c r="A15" s="104">
        <v>1</v>
      </c>
      <c r="B15" s="105" t="s">
        <v>59</v>
      </c>
      <c r="C15" s="73" t="s">
        <v>60</v>
      </c>
      <c r="D15" s="74">
        <f t="shared" ref="D15:I15" si="24">$A$15*D5</f>
        <v>5.4054521709494949</v>
      </c>
      <c r="E15" s="74">
        <f t="shared" si="24"/>
        <v>0.31683163822086019</v>
      </c>
      <c r="F15" s="74">
        <f t="shared" si="24"/>
        <v>1.4375425234902075E-3</v>
      </c>
      <c r="G15" s="74">
        <f t="shared" si="24"/>
        <v>4.9028758698700095E-4</v>
      </c>
      <c r="H15" s="74">
        <f t="shared" si="24"/>
        <v>1.317337517644802E-3</v>
      </c>
      <c r="I15" s="74">
        <f t="shared" si="24"/>
        <v>1.3792619122717971E-11</v>
      </c>
      <c r="J15" s="120">
        <f t="shared" si="22"/>
        <v>0.14187295298309741</v>
      </c>
      <c r="K15" s="106" t="s">
        <v>60</v>
      </c>
      <c r="L15" s="76">
        <f t="shared" si="16"/>
        <v>1.5812614811505048</v>
      </c>
      <c r="M15" s="76">
        <f t="shared" si="8"/>
        <v>2.8017748698777545E-2</v>
      </c>
      <c r="N15" s="76">
        <f t="shared" si="9"/>
        <v>1.0001079378765099</v>
      </c>
      <c r="O15" s="77">
        <f t="shared" si="10"/>
        <v>6.2297684105011271E-4</v>
      </c>
      <c r="P15" s="76">
        <f t="shared" si="13"/>
        <v>-7.6395148065908428E-5</v>
      </c>
      <c r="Q15" s="76">
        <f t="shared" si="17"/>
        <v>1.9794633153371205E-12</v>
      </c>
      <c r="R15" s="107" t="s">
        <v>60</v>
      </c>
      <c r="S15" s="71">
        <f>L15*$S$4*$T$4*$X$4*$AE$5</f>
        <v>10182000946.740051</v>
      </c>
      <c r="T15" s="72">
        <f t="shared" ref="T15:W15" si="25">M15*$S$4*$T$4*$X$4*$AE$5</f>
        <v>180410860.04884803</v>
      </c>
      <c r="U15" s="72">
        <f t="shared" si="25"/>
        <v>6439858360.9914894</v>
      </c>
      <c r="V15" s="72">
        <f t="shared" si="25"/>
        <v>4011449.6311857179</v>
      </c>
      <c r="W15" s="72">
        <f t="shared" si="25"/>
        <v>-491920.83612096135</v>
      </c>
      <c r="X15" s="72">
        <f>Q15*$S$4*$T$4*$X$4*$AE$5</f>
        <v>1.2746087595920774E-2</v>
      </c>
      <c r="Y15" s="106" t="s">
        <v>59</v>
      </c>
      <c r="Z15" s="107" t="s">
        <v>60</v>
      </c>
    </row>
    <row r="16" spans="1:32" s="78" customFormat="1" ht="15.75" x14ac:dyDescent="0.25">
      <c r="A16" s="104">
        <v>0.88461538461538458</v>
      </c>
      <c r="B16" s="105" t="s">
        <v>61</v>
      </c>
      <c r="C16" s="73" t="s">
        <v>62</v>
      </c>
      <c r="D16" s="74">
        <f t="shared" ref="D16:H16" si="26">$A$16*D5</f>
        <v>4.7817461512245529</v>
      </c>
      <c r="E16" s="74">
        <f t="shared" si="26"/>
        <v>0.28027414150306862</v>
      </c>
      <c r="F16" s="74">
        <f t="shared" si="26"/>
        <v>1.2716722323182605E-3</v>
      </c>
      <c r="G16" s="74">
        <f t="shared" si="26"/>
        <v>4.3371594233465469E-4</v>
      </c>
      <c r="H16" s="74">
        <f t="shared" si="26"/>
        <v>1.1653370348396325E-3</v>
      </c>
      <c r="I16" s="74">
        <f>$A$16*I5</f>
        <v>1.2201163070096666E-11</v>
      </c>
      <c r="J16" s="120">
        <f>A16*$J$5</f>
        <v>0.1255029968696631</v>
      </c>
      <c r="K16" s="106" t="s">
        <v>62</v>
      </c>
      <c r="L16" s="76">
        <f t="shared" si="16"/>
        <v>1.3988082333254468</v>
      </c>
      <c r="M16" s="76">
        <f t="shared" si="8"/>
        <v>2.4784931541226296E-2</v>
      </c>
      <c r="N16" s="76">
        <f t="shared" si="9"/>
        <v>0.88471086812152799</v>
      </c>
      <c r="O16" s="77">
        <f t="shared" si="10"/>
        <v>5.5109489785202278E-4</v>
      </c>
      <c r="P16" s="76">
        <f t="shared" si="13"/>
        <v>-6.758032328907284E-5</v>
      </c>
      <c r="Q16" s="76">
        <f t="shared" si="17"/>
        <v>1.7510637020289906E-12</v>
      </c>
      <c r="R16" s="107" t="s">
        <v>62</v>
      </c>
      <c r="S16" s="71">
        <f>L16*$S$4*$T$4*$Y$4*$AE$6</f>
        <v>18212222587.778027</v>
      </c>
      <c r="T16" s="72">
        <f t="shared" ref="T16:X16" si="27">M16*$S$4*$T$4*$Y$4*$AE$6</f>
        <v>322695191.01882035</v>
      </c>
      <c r="U16" s="72">
        <f t="shared" si="27"/>
        <v>11518770673.625891</v>
      </c>
      <c r="V16" s="72">
        <f t="shared" si="27"/>
        <v>7175152.89626888</v>
      </c>
      <c r="W16" s="72">
        <f t="shared" si="27"/>
        <v>-879883.21842272056</v>
      </c>
      <c r="X16" s="72">
        <f t="shared" si="27"/>
        <v>2.2798523162045826E-2</v>
      </c>
      <c r="Y16" s="106" t="s">
        <v>61</v>
      </c>
      <c r="Z16" s="107" t="s">
        <v>62</v>
      </c>
    </row>
    <row r="17" spans="1:26" s="43" customFormat="1" ht="15.75" x14ac:dyDescent="0.25">
      <c r="A17" s="92">
        <v>1.8461538461538463</v>
      </c>
      <c r="B17" s="94" t="s">
        <v>63</v>
      </c>
      <c r="C17" s="50" t="s">
        <v>64</v>
      </c>
      <c r="D17" s="121">
        <f t="shared" ref="D17:I17" si="28">$A$17*D6</f>
        <v>2.8822915734810546</v>
      </c>
      <c r="E17" s="121">
        <f t="shared" si="28"/>
        <v>0.1543591293510852</v>
      </c>
      <c r="F17" s="121">
        <f t="shared" si="28"/>
        <v>1.0969451174250924E-3</v>
      </c>
      <c r="G17" s="121">
        <f t="shared" si="28"/>
        <v>5.7859668705677889E-4</v>
      </c>
      <c r="H17" s="121">
        <f t="shared" si="28"/>
        <v>5.2995215039778785E-4</v>
      </c>
      <c r="I17" s="121">
        <f t="shared" si="28"/>
        <v>1.2141609135591575E-11</v>
      </c>
      <c r="J17" s="122">
        <f>A17*$J$6</f>
        <v>0.20961471589157035</v>
      </c>
      <c r="K17" s="50" t="s">
        <v>64</v>
      </c>
      <c r="L17" s="68">
        <f>$L$4*A17-D17</f>
        <v>10.016256707318945</v>
      </c>
      <c r="M17" s="68">
        <f t="shared" si="8"/>
        <v>0.48228589265439992</v>
      </c>
      <c r="N17" s="68">
        <f t="shared" si="9"/>
        <v>1.8479100956210366</v>
      </c>
      <c r="O17" s="69">
        <f t="shared" si="10"/>
        <v>1.4766607185502001E-3</v>
      </c>
      <c r="P17" s="68">
        <f t="shared" si="13"/>
        <v>1.7610183780555544E-3</v>
      </c>
      <c r="Q17" s="68">
        <f t="shared" si="17"/>
        <v>1.6976081519279362E-11</v>
      </c>
      <c r="R17" s="75" t="s">
        <v>64</v>
      </c>
      <c r="S17" s="160">
        <f>L17*$S$4*$T$4*$V$4*$AE$3</f>
        <v>394621798743.59186</v>
      </c>
      <c r="T17" s="161">
        <f>M17*$S$4*$T$4*$V$4*$AE$3</f>
        <v>19001163012.212902</v>
      </c>
      <c r="U17" s="161">
        <f t="shared" ref="U17:W17" si="29">N17*$S$4*$T$4*$V$4*$AE$3</f>
        <v>72804204919.944412</v>
      </c>
      <c r="V17" s="161">
        <f t="shared" si="29"/>
        <v>58177673.148341492</v>
      </c>
      <c r="W17" s="161">
        <f t="shared" si="29"/>
        <v>69380833.606332302</v>
      </c>
      <c r="X17" s="161">
        <f>Q17*$S$4*$T$4*$V$4*$AE$3</f>
        <v>0.66882589179855678</v>
      </c>
      <c r="Y17" s="50" t="s">
        <v>63</v>
      </c>
      <c r="Z17" s="75" t="s">
        <v>64</v>
      </c>
    </row>
    <row r="18" spans="1:26" s="43" customFormat="1" ht="15.75" x14ac:dyDescent="0.25">
      <c r="A18" s="92">
        <v>1.5384615384615385</v>
      </c>
      <c r="B18" s="94" t="s">
        <v>65</v>
      </c>
      <c r="C18" s="50" t="s">
        <v>66</v>
      </c>
      <c r="D18" s="121">
        <f t="shared" ref="D18:I18" si="30">$A$18*D6</f>
        <v>2.4019096445675459</v>
      </c>
      <c r="E18" s="121">
        <f t="shared" si="30"/>
        <v>0.12863260779257099</v>
      </c>
      <c r="F18" s="121">
        <f t="shared" si="30"/>
        <v>9.1412093118757706E-4</v>
      </c>
      <c r="G18" s="121">
        <f t="shared" si="30"/>
        <v>4.8216390588064906E-4</v>
      </c>
      <c r="H18" s="121">
        <f t="shared" si="30"/>
        <v>4.4162679199815649E-4</v>
      </c>
      <c r="I18" s="121">
        <f t="shared" si="30"/>
        <v>1.011800761299298E-11</v>
      </c>
      <c r="J18" s="122">
        <f t="shared" ref="J18:J20" si="31">A18*$J$6</f>
        <v>0.17467892990964196</v>
      </c>
      <c r="K18" s="50" t="s">
        <v>66</v>
      </c>
      <c r="L18" s="68">
        <f t="shared" si="16"/>
        <v>8.3468805894324536</v>
      </c>
      <c r="M18" s="68">
        <f t="shared" si="8"/>
        <v>0.40190491054533317</v>
      </c>
      <c r="N18" s="68">
        <f t="shared" si="9"/>
        <v>1.5399250796841972</v>
      </c>
      <c r="O18" s="69">
        <f t="shared" si="10"/>
        <v>1.2305505987918336E-3</v>
      </c>
      <c r="P18" s="68">
        <f t="shared" si="13"/>
        <v>1.4675153150462954E-3</v>
      </c>
      <c r="Q18" s="68">
        <f t="shared" si="17"/>
        <v>1.4146734599399468E-11</v>
      </c>
      <c r="R18" s="75" t="s">
        <v>66</v>
      </c>
      <c r="S18" s="71">
        <f>L18*$S$4*$T$4*$W$4*$AE$4</f>
        <v>67924347312.587799</v>
      </c>
      <c r="T18" s="72">
        <f t="shared" ref="T18:X18" si="32">M18*$S$4*$T$4*$W$4*$AE$4</f>
        <v>3270578563.8143344</v>
      </c>
      <c r="U18" s="72">
        <f t="shared" si="32"/>
        <v>12531436723.829546</v>
      </c>
      <c r="V18" s="72">
        <f t="shared" si="32"/>
        <v>10013842.340559075</v>
      </c>
      <c r="W18" s="72">
        <f t="shared" si="32"/>
        <v>11942188.327450845</v>
      </c>
      <c r="X18" s="72">
        <f t="shared" si="32"/>
        <v>0.1151217756110189</v>
      </c>
      <c r="Y18" s="50" t="s">
        <v>65</v>
      </c>
      <c r="Z18" s="75" t="s">
        <v>66</v>
      </c>
    </row>
    <row r="19" spans="1:26" s="43" customFormat="1" ht="15.75" x14ac:dyDescent="0.25">
      <c r="A19" s="92">
        <v>1</v>
      </c>
      <c r="B19" s="94" t="s">
        <v>67</v>
      </c>
      <c r="C19" s="50" t="s">
        <v>68</v>
      </c>
      <c r="D19" s="121">
        <f t="shared" ref="D19:I19" si="33">$A$19*D6</f>
        <v>1.5612412689689046</v>
      </c>
      <c r="E19" s="121">
        <f t="shared" si="33"/>
        <v>8.3611195065171146E-2</v>
      </c>
      <c r="F19" s="121">
        <f t="shared" si="33"/>
        <v>5.9417860527192503E-4</v>
      </c>
      <c r="G19" s="121">
        <f t="shared" si="33"/>
        <v>3.1340653882242186E-4</v>
      </c>
      <c r="H19" s="121">
        <f t="shared" si="33"/>
        <v>2.8705741479880171E-4</v>
      </c>
      <c r="I19" s="121">
        <f t="shared" si="33"/>
        <v>6.5767049484454361E-12</v>
      </c>
      <c r="J19" s="122">
        <f t="shared" si="31"/>
        <v>0.11354130444126727</v>
      </c>
      <c r="K19" s="50" t="s">
        <v>68</v>
      </c>
      <c r="L19" s="68">
        <f t="shared" si="16"/>
        <v>5.4254723831310949</v>
      </c>
      <c r="M19" s="68">
        <f t="shared" si="8"/>
        <v>0.26123819185446662</v>
      </c>
      <c r="N19" s="68">
        <f t="shared" si="9"/>
        <v>1.0009513017947282</v>
      </c>
      <c r="O19" s="69">
        <f t="shared" si="10"/>
        <v>7.9985788921469185E-4</v>
      </c>
      <c r="P19" s="68">
        <f t="shared" si="13"/>
        <v>9.5388495478009191E-4</v>
      </c>
      <c r="Q19" s="68">
        <f t="shared" si="17"/>
        <v>9.1953774896096552E-12</v>
      </c>
      <c r="R19" s="75" t="s">
        <v>68</v>
      </c>
      <c r="S19" s="71">
        <f>L19*$S$4*$T$4*$X$4*$AE$5</f>
        <v>34935502824.845482</v>
      </c>
      <c r="T19" s="72">
        <f t="shared" ref="T19:W19" si="34">M19*$S$4*$T$4*$X$4*$AE$5</f>
        <v>1682155385.743989</v>
      </c>
      <c r="U19" s="72">
        <f t="shared" si="34"/>
        <v>6445288919.0086851</v>
      </c>
      <c r="V19" s="72">
        <f t="shared" si="34"/>
        <v>5150415.5905422512</v>
      </c>
      <c r="W19" s="72">
        <f t="shared" si="34"/>
        <v>6142221.0231702682</v>
      </c>
      <c r="X19" s="72">
        <f>Q19*$S$4*$T$4*$X$4*$AE$5</f>
        <v>5.9210537549245601E-2</v>
      </c>
      <c r="Y19" s="50" t="s">
        <v>67</v>
      </c>
      <c r="Z19" s="75" t="s">
        <v>68</v>
      </c>
    </row>
    <row r="20" spans="1:26" s="78" customFormat="1" ht="15.75" x14ac:dyDescent="0.25">
      <c r="A20" s="92">
        <v>0.88461538461538458</v>
      </c>
      <c r="B20" s="94" t="s">
        <v>69</v>
      </c>
      <c r="C20" s="50" t="s">
        <v>70</v>
      </c>
      <c r="D20" s="121">
        <f t="shared" ref="D20:I20" si="35">$A$20*D6</f>
        <v>1.3810980456263386</v>
      </c>
      <c r="E20" s="121">
        <f t="shared" si="35"/>
        <v>7.3963749480728314E-2</v>
      </c>
      <c r="F20" s="121">
        <f t="shared" si="35"/>
        <v>5.2561953543285675E-4</v>
      </c>
      <c r="G20" s="121">
        <f t="shared" si="35"/>
        <v>2.7724424588137315E-4</v>
      </c>
      <c r="H20" s="121">
        <f t="shared" si="35"/>
        <v>2.5393540539893995E-4</v>
      </c>
      <c r="I20" s="121">
        <f t="shared" si="35"/>
        <v>5.8178543774709626E-12</v>
      </c>
      <c r="J20" s="122">
        <f t="shared" si="31"/>
        <v>0.10044038469804412</v>
      </c>
      <c r="K20" s="50" t="s">
        <v>70</v>
      </c>
      <c r="L20" s="76">
        <f t="shared" si="16"/>
        <v>4.7994563389236609</v>
      </c>
      <c r="M20" s="76">
        <f t="shared" si="8"/>
        <v>0.2310953235635666</v>
      </c>
      <c r="N20" s="76">
        <f t="shared" si="9"/>
        <v>0.88545692081841343</v>
      </c>
      <c r="O20" s="77">
        <f t="shared" si="10"/>
        <v>7.0756659430530426E-4</v>
      </c>
      <c r="P20" s="76">
        <f t="shared" si="13"/>
        <v>8.438213061516197E-4</v>
      </c>
      <c r="Q20" s="76">
        <f t="shared" si="17"/>
        <v>8.1343723946546934E-12</v>
      </c>
      <c r="R20" s="75" t="s">
        <v>70</v>
      </c>
      <c r="S20" s="71">
        <f>L20*$S$4*$T$4*$Y$4*$AE$6</f>
        <v>62488027352.397919</v>
      </c>
      <c r="T20" s="72">
        <f t="shared" ref="T20:X20" si="36">M20*$S$4*$T$4*$Y$4*$AE$6</f>
        <v>3008818057.7323279</v>
      </c>
      <c r="U20" s="72">
        <f t="shared" si="36"/>
        <v>11528484140.743244</v>
      </c>
      <c r="V20" s="72">
        <f t="shared" si="36"/>
        <v>9212385.2320549618</v>
      </c>
      <c r="W20" s="72">
        <f t="shared" si="36"/>
        <v>10986396.194858113</v>
      </c>
      <c r="X20" s="72">
        <f t="shared" si="36"/>
        <v>0.10590801307419873</v>
      </c>
      <c r="Y20" s="50" t="s">
        <v>69</v>
      </c>
      <c r="Z20" s="75" t="s">
        <v>70</v>
      </c>
    </row>
    <row r="21" spans="1:26" s="43" customFormat="1" ht="15.75" x14ac:dyDescent="0.25">
      <c r="A21" s="92">
        <v>1.8461538461538463</v>
      </c>
      <c r="B21" s="95" t="s">
        <v>71</v>
      </c>
      <c r="C21" s="58" t="s">
        <v>72</v>
      </c>
      <c r="D21" s="123">
        <f t="shared" ref="D21:I21" si="37">$A$21*D7</f>
        <v>2.7418097045896781</v>
      </c>
      <c r="E21" s="123">
        <f t="shared" si="37"/>
        <v>0.15032653357207929</v>
      </c>
      <c r="F21" s="123">
        <f t="shared" si="37"/>
        <v>1.3642281706049927E-3</v>
      </c>
      <c r="G21" s="123">
        <f t="shared" si="37"/>
        <v>5.5664545763507603E-4</v>
      </c>
      <c r="H21" s="123">
        <f t="shared" si="37"/>
        <v>5.5966623492666938E-4</v>
      </c>
      <c r="I21" s="123">
        <f t="shared" si="37"/>
        <v>1.2268553590858598E-11</v>
      </c>
      <c r="J21" s="124">
        <f>A21*$J$7</f>
        <v>0.22850092824182566</v>
      </c>
      <c r="K21" s="58" t="s">
        <v>72</v>
      </c>
      <c r="L21" s="68">
        <f t="shared" si="16"/>
        <v>10.156738576210323</v>
      </c>
      <c r="M21" s="68">
        <f t="shared" si="8"/>
        <v>0.48631848843340586</v>
      </c>
      <c r="N21" s="68">
        <f t="shared" si="9"/>
        <v>1.8476428125678568</v>
      </c>
      <c r="O21" s="69">
        <f t="shared" si="10"/>
        <v>1.498611947971903E-3</v>
      </c>
      <c r="P21" s="68">
        <f t="shared" si="13"/>
        <v>1.7313042935266727E-3</v>
      </c>
      <c r="Q21" s="68">
        <f t="shared" si="17"/>
        <v>1.6849137064012339E-11</v>
      </c>
      <c r="R21" s="79" t="s">
        <v>72</v>
      </c>
      <c r="S21" s="71">
        <f>L21*$S$4*$T$4*$V$4*$AE$3</f>
        <v>400156521885.44867</v>
      </c>
      <c r="T21" s="72">
        <f>M21*$S$4*$T$4*$V$4*$AE$3</f>
        <v>19160039750.940491</v>
      </c>
      <c r="U21" s="72">
        <f t="shared" ref="U21" si="38">N21*$S$4*$T$4*$V$4*$AE$3</f>
        <v>72793674467.071503</v>
      </c>
      <c r="V21" s="72">
        <f>O21*$S$4*$T$4*$V$4*$AE$3</f>
        <v>59042510.571357608</v>
      </c>
      <c r="W21" s="72">
        <f t="shared" ref="W21:X21" si="39">P21*$S$4*$T$4*$V$4*$AE$3</f>
        <v>68210154.197103664</v>
      </c>
      <c r="X21" s="72">
        <f t="shared" si="39"/>
        <v>0.66382451745864068</v>
      </c>
      <c r="Y21" s="58" t="s">
        <v>71</v>
      </c>
      <c r="Z21" s="79" t="s">
        <v>72</v>
      </c>
    </row>
    <row r="22" spans="1:26" s="43" customFormat="1" ht="15.75" x14ac:dyDescent="0.25">
      <c r="A22" s="92">
        <v>1.5384615384615385</v>
      </c>
      <c r="B22" s="95" t="s">
        <v>73</v>
      </c>
      <c r="C22" s="58" t="s">
        <v>74</v>
      </c>
      <c r="D22" s="123">
        <f t="shared" ref="D22:I22" si="40">$A$22*D7</f>
        <v>2.2848414204913987</v>
      </c>
      <c r="E22" s="123">
        <f t="shared" si="40"/>
        <v>0.12527211131006608</v>
      </c>
      <c r="F22" s="123">
        <f t="shared" si="40"/>
        <v>1.1368568088374938E-3</v>
      </c>
      <c r="G22" s="123">
        <f t="shared" si="40"/>
        <v>4.6387121469589673E-4</v>
      </c>
      <c r="H22" s="123">
        <f t="shared" si="40"/>
        <v>4.6638852910555785E-4</v>
      </c>
      <c r="I22" s="123">
        <f t="shared" si="40"/>
        <v>1.0223794659048832E-11</v>
      </c>
      <c r="J22" s="124">
        <f>A22*$J$7</f>
        <v>0.19041744020152138</v>
      </c>
      <c r="K22" s="58" t="s">
        <v>74</v>
      </c>
      <c r="L22" s="68">
        <f t="shared" si="16"/>
        <v>8.4639488135086012</v>
      </c>
      <c r="M22" s="68">
        <f t="shared" si="8"/>
        <v>0.40526540702783809</v>
      </c>
      <c r="N22" s="68">
        <f t="shared" si="9"/>
        <v>1.5397023438065474</v>
      </c>
      <c r="O22" s="69">
        <f t="shared" si="10"/>
        <v>1.2488432899765858E-3</v>
      </c>
      <c r="P22" s="68">
        <f t="shared" si="13"/>
        <v>1.442753577938894E-3</v>
      </c>
      <c r="Q22" s="68">
        <f t="shared" si="17"/>
        <v>1.4040947553343616E-11</v>
      </c>
      <c r="R22" s="79" t="s">
        <v>74</v>
      </c>
      <c r="S22" s="71">
        <f>L22*$S$4*$T$4*$W$4*$AE$4</f>
        <v>68877012518.015976</v>
      </c>
      <c r="T22" s="72">
        <f t="shared" ref="T22:X22" si="41">M22*$S$4*$T$4*$W$4*$AE$4</f>
        <v>3297925250.7322445</v>
      </c>
      <c r="U22" s="72">
        <f t="shared" si="41"/>
        <v>12529624167.755409</v>
      </c>
      <c r="V22" s="72">
        <f t="shared" si="41"/>
        <v>10162702.635851679</v>
      </c>
      <c r="W22" s="72">
        <f t="shared" si="41"/>
        <v>11740684.925871633</v>
      </c>
      <c r="X22" s="72">
        <f t="shared" si="41"/>
        <v>0.11426091316300835</v>
      </c>
      <c r="Y22" s="58" t="s">
        <v>73</v>
      </c>
      <c r="Z22" s="79" t="s">
        <v>74</v>
      </c>
    </row>
    <row r="23" spans="1:26" s="43" customFormat="1" ht="15.75" x14ac:dyDescent="0.25">
      <c r="A23" s="92">
        <v>1</v>
      </c>
      <c r="B23" s="95" t="s">
        <v>75</v>
      </c>
      <c r="C23" s="58" t="s">
        <v>76</v>
      </c>
      <c r="D23" s="123">
        <f t="shared" ref="D23:I23" si="42">$A$23*D7</f>
        <v>1.485146923319409</v>
      </c>
      <c r="E23" s="123">
        <f t="shared" si="42"/>
        <v>8.1426872351542945E-2</v>
      </c>
      <c r="F23" s="123">
        <f t="shared" si="42"/>
        <v>7.3895692574437095E-4</v>
      </c>
      <c r="G23" s="123">
        <f t="shared" si="42"/>
        <v>3.0151628955233284E-4</v>
      </c>
      <c r="H23" s="123">
        <f t="shared" si="42"/>
        <v>3.0315254391861257E-4</v>
      </c>
      <c r="I23" s="123">
        <f t="shared" si="42"/>
        <v>6.6454665283817401E-12</v>
      </c>
      <c r="J23" s="124">
        <f t="shared" ref="J23" si="43">A23*$J$7</f>
        <v>0.1237713361309889</v>
      </c>
      <c r="K23" s="58" t="s">
        <v>76</v>
      </c>
      <c r="L23" s="68">
        <f t="shared" si="16"/>
        <v>5.5015667287805909</v>
      </c>
      <c r="M23" s="68">
        <f t="shared" si="8"/>
        <v>0.26342251456809479</v>
      </c>
      <c r="N23" s="68">
        <f t="shared" si="9"/>
        <v>1.0008065234742558</v>
      </c>
      <c r="O23" s="69">
        <f t="shared" si="10"/>
        <v>8.1174813848478087E-4</v>
      </c>
      <c r="P23" s="68">
        <f t="shared" si="13"/>
        <v>9.377898256602811E-4</v>
      </c>
      <c r="Q23" s="68">
        <f t="shared" si="17"/>
        <v>9.1266159096733504E-12</v>
      </c>
      <c r="R23" s="79" t="s">
        <v>76</v>
      </c>
      <c r="S23" s="71">
        <f>L23*$S$4*$T$4*$X$4*$AE$5</f>
        <v>35425486745.076698</v>
      </c>
      <c r="T23" s="72">
        <f t="shared" ref="T23:W23" si="44">M23*$S$4*$T$4*$X$4*$AE$5</f>
        <v>1696220596.4654729</v>
      </c>
      <c r="U23" s="72">
        <f t="shared" si="44"/>
        <v>6444356667.7563219</v>
      </c>
      <c r="V23" s="72">
        <f t="shared" si="44"/>
        <v>5226978.8476431165</v>
      </c>
      <c r="W23" s="72">
        <f t="shared" si="44"/>
        <v>6038581.8579282369</v>
      </c>
      <c r="X23" s="72">
        <f>Q23*$S$4*$T$4*$X$4*$AE$5</f>
        <v>5.8767770505112338E-2</v>
      </c>
      <c r="Y23" s="58" t="s">
        <v>75</v>
      </c>
      <c r="Z23" s="79" t="s">
        <v>76</v>
      </c>
    </row>
    <row r="24" spans="1:26" s="43" customFormat="1" ht="16.5" thickBot="1" x14ac:dyDescent="0.3">
      <c r="A24" s="96">
        <v>0.88461538461538458</v>
      </c>
      <c r="B24" s="95" t="s">
        <v>77</v>
      </c>
      <c r="C24" s="58" t="s">
        <v>78</v>
      </c>
      <c r="D24" s="123">
        <f t="shared" ref="D24:I24" si="45">$A$24*D7</f>
        <v>1.3137838167825542</v>
      </c>
      <c r="E24" s="123">
        <f t="shared" si="45"/>
        <v>7.2031464003287984E-2</v>
      </c>
      <c r="F24" s="123">
        <f t="shared" si="45"/>
        <v>6.5369266508155893E-4</v>
      </c>
      <c r="G24" s="123">
        <f t="shared" si="45"/>
        <v>2.6672594845014057E-4</v>
      </c>
      <c r="H24" s="123">
        <f t="shared" si="45"/>
        <v>2.6817340423569572E-4</v>
      </c>
      <c r="I24" s="123">
        <f t="shared" si="45"/>
        <v>5.8786819289530776E-12</v>
      </c>
      <c r="J24" s="124">
        <f>A24*$J$7</f>
        <v>0.10949002811587479</v>
      </c>
      <c r="K24" s="58" t="s">
        <v>78</v>
      </c>
      <c r="L24" s="68">
        <f t="shared" si="16"/>
        <v>4.8667705677674453</v>
      </c>
      <c r="M24" s="68">
        <f t="shared" si="8"/>
        <v>0.23302760904100694</v>
      </c>
      <c r="N24" s="68">
        <f t="shared" si="9"/>
        <v>0.88532884768876474</v>
      </c>
      <c r="O24" s="69">
        <f t="shared" si="10"/>
        <v>7.1808489173653684E-4</v>
      </c>
      <c r="P24" s="68">
        <f t="shared" si="13"/>
        <v>8.2958330731486393E-4</v>
      </c>
      <c r="Q24" s="68">
        <f>$Q$4*A24-I24</f>
        <v>8.0735448431725792E-12</v>
      </c>
      <c r="R24" s="80" t="s">
        <v>78</v>
      </c>
      <c r="S24" s="81">
        <f>L24*$S$4*$T$4*$Y$4*$AE$6</f>
        <v>63364446070.718697</v>
      </c>
      <c r="T24" s="82">
        <f>M24*$S$4*$T$4*$Y$4*$AE$6</f>
        <v>3033976054.6470389</v>
      </c>
      <c r="U24" s="82">
        <f t="shared" ref="U24:X24" si="46">N24*$S$4*$T$4*$Y$4*$AE$6</f>
        <v>11526816652.456356</v>
      </c>
      <c r="V24" s="82">
        <f t="shared" si="46"/>
        <v>9349331.5049594678</v>
      </c>
      <c r="W24" s="82">
        <f>P24*$S$4*$T$4*$Y$4*$AE$6</f>
        <v>10801020.102666361</v>
      </c>
      <c r="X24" s="82">
        <f t="shared" si="46"/>
        <v>0.1051160496866026</v>
      </c>
      <c r="Y24" s="83" t="s">
        <v>77</v>
      </c>
      <c r="Z24" s="80" t="s">
        <v>78</v>
      </c>
    </row>
    <row r="25" spans="1:26" ht="15.75" x14ac:dyDescent="0.25">
      <c r="B25" s="24"/>
      <c r="C25" s="24" t="s">
        <v>153</v>
      </c>
      <c r="D25" s="157">
        <f>MIN(D9:D24)</f>
        <v>1.3137838167825542</v>
      </c>
      <c r="E25" s="157">
        <f t="shared" ref="E25:J25" si="47">MIN(E9:E24)</f>
        <v>7.2031464003287984E-2</v>
      </c>
      <c r="F25" s="157">
        <f t="shared" si="47"/>
        <v>5.2561953543285675E-4</v>
      </c>
      <c r="G25" s="157">
        <f t="shared" si="47"/>
        <v>2.6672594845014057E-4</v>
      </c>
      <c r="H25" s="157">
        <f t="shared" si="47"/>
        <v>2.5393540539893995E-4</v>
      </c>
      <c r="I25" s="157">
        <f t="shared" si="47"/>
        <v>5.8178543774709626E-12</v>
      </c>
      <c r="J25" s="127">
        <f t="shared" si="47"/>
        <v>0.10044038469804412</v>
      </c>
      <c r="R25" s="24"/>
      <c r="S25" s="157"/>
      <c r="T25" s="157"/>
      <c r="U25" s="157"/>
      <c r="V25" s="157"/>
      <c r="W25" s="157"/>
      <c r="X25" s="157"/>
    </row>
    <row r="26" spans="1:26" ht="15.75" x14ac:dyDescent="0.25">
      <c r="B26" s="24"/>
      <c r="C26" s="24" t="s">
        <v>154</v>
      </c>
      <c r="D26" s="157">
        <f>MAX(D9:D24)</f>
        <v>10.119778184490443</v>
      </c>
      <c r="E26" s="157">
        <f t="shared" ref="E26:J26" si="48">MAX(E9:E24)</f>
        <v>0.58895254326367097</v>
      </c>
      <c r="F26" s="157">
        <f t="shared" si="48"/>
        <v>2.6539246587511524E-3</v>
      </c>
      <c r="G26" s="157">
        <f t="shared" si="48"/>
        <v>9.2709754385924322E-4</v>
      </c>
      <c r="H26" s="157">
        <f t="shared" si="48"/>
        <v>2.4320077248827115E-3</v>
      </c>
      <c r="I26" s="157">
        <f t="shared" si="48"/>
        <v>2.546329684194087E-11</v>
      </c>
      <c r="J26" s="127">
        <f t="shared" si="48"/>
        <v>0.26191929781494905</v>
      </c>
      <c r="R26" s="164" t="s">
        <v>156</v>
      </c>
    </row>
    <row r="27" spans="1:26" ht="17.25" x14ac:dyDescent="0.25">
      <c r="B27" s="24"/>
      <c r="C27" s="24"/>
      <c r="L27" s="159" t="s">
        <v>155</v>
      </c>
      <c r="M27" s="2"/>
      <c r="N27" s="2"/>
      <c r="O27" s="3"/>
      <c r="P27" s="2"/>
      <c r="Q27" s="2"/>
      <c r="R27" s="24" t="s">
        <v>153</v>
      </c>
      <c r="S27" s="157">
        <f>MIN(S17:S20)</f>
        <v>34935502824.845482</v>
      </c>
      <c r="T27" s="157">
        <f>MIN(T17:T20)</f>
        <v>1682155385.743989</v>
      </c>
      <c r="U27" s="157">
        <f>MIN(U17:U20)</f>
        <v>6445288919.0086851</v>
      </c>
      <c r="V27" s="157">
        <f>MIN(V17:V20)</f>
        <v>5150415.5905422512</v>
      </c>
      <c r="W27" s="157">
        <f>MIN(W17:W20)</f>
        <v>6142221.0231702682</v>
      </c>
      <c r="X27" s="157">
        <f>MIN(X17:X20)</f>
        <v>5.9210537549245601E-2</v>
      </c>
    </row>
    <row r="28" spans="1:26" ht="15.75" x14ac:dyDescent="0.25">
      <c r="B28" s="24"/>
      <c r="C28" s="24"/>
      <c r="L28" s="2">
        <v>1</v>
      </c>
      <c r="M28" s="2">
        <v>2</v>
      </c>
      <c r="N28" s="2">
        <v>3</v>
      </c>
      <c r="O28" s="3">
        <v>4</v>
      </c>
      <c r="P28" s="2">
        <v>5</v>
      </c>
      <c r="Q28" s="2">
        <v>6</v>
      </c>
      <c r="R28" s="162" t="s">
        <v>154</v>
      </c>
      <c r="S28" s="163">
        <f>MAX(S17:S20)</f>
        <v>394621798743.59186</v>
      </c>
      <c r="T28" s="163">
        <f>MAX(T17:T20)</f>
        <v>19001163012.212902</v>
      </c>
      <c r="U28" s="163">
        <f>MAX(U17:U20)</f>
        <v>72804204919.944412</v>
      </c>
      <c r="V28" s="163">
        <f>MAX(V17:V20)</f>
        <v>58177673.148341492</v>
      </c>
      <c r="W28" s="163">
        <f>MAX(W17:W20)</f>
        <v>69380833.606332302</v>
      </c>
      <c r="X28" s="163">
        <f>MAX(X17:X20)</f>
        <v>0.66882589179855678</v>
      </c>
    </row>
    <row r="29" spans="1:26" ht="45" x14ac:dyDescent="0.25">
      <c r="B29" s="24"/>
      <c r="C29" s="25"/>
      <c r="L29" s="11" t="s">
        <v>20</v>
      </c>
      <c r="M29" s="11" t="s">
        <v>21</v>
      </c>
      <c r="N29" s="11" t="s">
        <v>22</v>
      </c>
      <c r="O29" s="15" t="s">
        <v>23</v>
      </c>
      <c r="P29" s="12" t="s">
        <v>27</v>
      </c>
      <c r="Q29" s="11" t="s">
        <v>25</v>
      </c>
    </row>
    <row r="30" spans="1:26" ht="16.5" customHeight="1" x14ac:dyDescent="0.25">
      <c r="B30" s="26"/>
      <c r="C30" s="25"/>
      <c r="L30" s="33">
        <v>6.9867136520999997</v>
      </c>
      <c r="M30" s="33">
        <v>0.34484938691963773</v>
      </c>
      <c r="N30" s="33">
        <v>1.0015454804000001</v>
      </c>
      <c r="O30" s="34">
        <v>1.1132644280371137E-3</v>
      </c>
      <c r="P30" s="33">
        <v>1.2409423695788936E-3</v>
      </c>
      <c r="Q30" s="33">
        <v>1.5772082438055091E-11</v>
      </c>
    </row>
    <row r="31" spans="1:26" ht="15.75" x14ac:dyDescent="0.25">
      <c r="B31" s="26"/>
      <c r="C31" s="24"/>
      <c r="L31" s="149">
        <f>$L$4*A9</f>
        <v>12.8985482808</v>
      </c>
      <c r="M31" s="149">
        <f>$M$4*A9</f>
        <v>0.63664502200548512</v>
      </c>
      <c r="N31" s="149">
        <f>$N$4*A9</f>
        <v>1.8490070407384618</v>
      </c>
      <c r="O31" s="149">
        <f>$O$4*A9</f>
        <v>2.055257405606979E-3</v>
      </c>
      <c r="P31" s="149">
        <f>$P$4*A9</f>
        <v>2.2909705284533421E-3</v>
      </c>
      <c r="Q31" s="150">
        <f>$Q$4*A9</f>
        <v>2.9117690654870939E-11</v>
      </c>
      <c r="R31" s="151" t="s">
        <v>48</v>
      </c>
    </row>
    <row r="32" spans="1:26" ht="15.75" x14ac:dyDescent="0.25">
      <c r="B32" s="27"/>
      <c r="C32" s="28"/>
      <c r="L32" s="149">
        <f>$L$4*A10</f>
        <v>10.748790233999999</v>
      </c>
      <c r="M32" s="149">
        <f t="shared" ref="M32:M46" si="49">$M$4*A10</f>
        <v>0.53053751833790419</v>
      </c>
      <c r="N32" s="149">
        <f t="shared" ref="N32:N46" si="50">$N$4*A10</f>
        <v>1.5408392006153848</v>
      </c>
      <c r="O32" s="149">
        <f t="shared" ref="O32:O46" si="51">$O$4*A10</f>
        <v>1.7127145046724826E-3</v>
      </c>
      <c r="P32" s="149">
        <f t="shared" ref="P32:P46" si="52">$P$4*A10</f>
        <v>1.9091421070444518E-3</v>
      </c>
      <c r="Q32" s="150">
        <f t="shared" ref="Q32:Q46" si="53">$Q$4*A10</f>
        <v>2.4264742212392448E-11</v>
      </c>
      <c r="R32" s="151" t="s">
        <v>50</v>
      </c>
    </row>
    <row r="33" spans="2:18" ht="15.75" x14ac:dyDescent="0.25">
      <c r="B33" s="27"/>
      <c r="L33" s="149">
        <f t="shared" ref="L33:L46" si="54">$L$4*A11</f>
        <v>6.9867136520999997</v>
      </c>
      <c r="M33" s="149">
        <f t="shared" si="49"/>
        <v>0.34484938691963773</v>
      </c>
      <c r="N33" s="149">
        <f t="shared" si="50"/>
        <v>1.0015454804000001</v>
      </c>
      <c r="O33" s="149">
        <f t="shared" si="51"/>
        <v>1.1132644280371137E-3</v>
      </c>
      <c r="P33" s="149">
        <f t="shared" si="52"/>
        <v>1.2409423695788936E-3</v>
      </c>
      <c r="Q33" s="150">
        <f t="shared" si="53"/>
        <v>1.5772082438055091E-11</v>
      </c>
      <c r="R33" s="151" t="s">
        <v>52</v>
      </c>
    </row>
    <row r="34" spans="2:18" ht="15.75" x14ac:dyDescent="0.25">
      <c r="B34" s="27"/>
      <c r="L34" s="149">
        <f t="shared" si="54"/>
        <v>6.1805543845499997</v>
      </c>
      <c r="M34" s="149">
        <f t="shared" si="49"/>
        <v>0.30505907304429492</v>
      </c>
      <c r="N34" s="149">
        <f t="shared" si="50"/>
        <v>0.88598254035384627</v>
      </c>
      <c r="O34" s="149">
        <f t="shared" si="51"/>
        <v>9.8481084018667742E-4</v>
      </c>
      <c r="P34" s="149">
        <f t="shared" si="52"/>
        <v>1.0977567115505597E-3</v>
      </c>
      <c r="Q34" s="150">
        <f t="shared" si="53"/>
        <v>1.3952226772125657E-11</v>
      </c>
      <c r="R34" s="151" t="s">
        <v>54</v>
      </c>
    </row>
    <row r="35" spans="2:18" ht="15.75" x14ac:dyDescent="0.25">
      <c r="B35" s="27"/>
      <c r="L35" s="149">
        <f t="shared" si="54"/>
        <v>12.8985482808</v>
      </c>
      <c r="M35" s="149">
        <f t="shared" si="49"/>
        <v>0.63664502200548512</v>
      </c>
      <c r="N35" s="149">
        <f t="shared" si="50"/>
        <v>1.8490070407384618</v>
      </c>
      <c r="O35" s="149">
        <f t="shared" si="51"/>
        <v>2.055257405606979E-3</v>
      </c>
      <c r="P35" s="149">
        <f t="shared" si="52"/>
        <v>2.2909705284533421E-3</v>
      </c>
      <c r="Q35" s="150">
        <f t="shared" si="53"/>
        <v>2.9117690654870939E-11</v>
      </c>
      <c r="R35" s="152" t="s">
        <v>56</v>
      </c>
    </row>
    <row r="36" spans="2:18" ht="15.75" x14ac:dyDescent="0.25">
      <c r="B36" s="29"/>
      <c r="L36" s="149">
        <f t="shared" si="54"/>
        <v>10.748790233999999</v>
      </c>
      <c r="M36" s="149">
        <f t="shared" si="49"/>
        <v>0.53053751833790419</v>
      </c>
      <c r="N36" s="149">
        <f t="shared" si="50"/>
        <v>1.5408392006153848</v>
      </c>
      <c r="O36" s="149">
        <f t="shared" si="51"/>
        <v>1.7127145046724826E-3</v>
      </c>
      <c r="P36" s="149">
        <f t="shared" si="52"/>
        <v>1.9091421070444518E-3</v>
      </c>
      <c r="Q36" s="150">
        <f t="shared" si="53"/>
        <v>2.4264742212392448E-11</v>
      </c>
      <c r="R36" s="152" t="s">
        <v>58</v>
      </c>
    </row>
    <row r="37" spans="2:18" ht="15.75" x14ac:dyDescent="0.25">
      <c r="L37" s="149">
        <f t="shared" si="54"/>
        <v>6.9867136520999997</v>
      </c>
      <c r="M37" s="149">
        <f t="shared" si="49"/>
        <v>0.34484938691963773</v>
      </c>
      <c r="N37" s="149">
        <f t="shared" si="50"/>
        <v>1.0015454804000001</v>
      </c>
      <c r="O37" s="149">
        <f t="shared" si="51"/>
        <v>1.1132644280371137E-3</v>
      </c>
      <c r="P37" s="149">
        <f t="shared" si="52"/>
        <v>1.2409423695788936E-3</v>
      </c>
      <c r="Q37" s="150">
        <f t="shared" si="53"/>
        <v>1.5772082438055091E-11</v>
      </c>
      <c r="R37" s="152" t="s">
        <v>60</v>
      </c>
    </row>
    <row r="38" spans="2:18" ht="15.75" x14ac:dyDescent="0.25">
      <c r="L38" s="149">
        <f t="shared" si="54"/>
        <v>6.1805543845499997</v>
      </c>
      <c r="M38" s="149">
        <f t="shared" si="49"/>
        <v>0.30505907304429492</v>
      </c>
      <c r="N38" s="149">
        <f t="shared" si="50"/>
        <v>0.88598254035384627</v>
      </c>
      <c r="O38" s="149">
        <f t="shared" si="51"/>
        <v>9.8481084018667742E-4</v>
      </c>
      <c r="P38" s="149">
        <f t="shared" si="52"/>
        <v>1.0977567115505597E-3</v>
      </c>
      <c r="Q38" s="150">
        <f t="shared" si="53"/>
        <v>1.3952226772125657E-11</v>
      </c>
      <c r="R38" s="152" t="s">
        <v>62</v>
      </c>
    </row>
    <row r="39" spans="2:18" ht="15.75" x14ac:dyDescent="0.25">
      <c r="L39" s="149">
        <f t="shared" si="54"/>
        <v>12.8985482808</v>
      </c>
      <c r="M39" s="149">
        <f t="shared" si="49"/>
        <v>0.63664502200548512</v>
      </c>
      <c r="N39" s="149">
        <f t="shared" si="50"/>
        <v>1.8490070407384618</v>
      </c>
      <c r="O39" s="149">
        <f t="shared" si="51"/>
        <v>2.055257405606979E-3</v>
      </c>
      <c r="P39" s="149">
        <f t="shared" si="52"/>
        <v>2.2909705284533421E-3</v>
      </c>
      <c r="Q39" s="150">
        <f t="shared" si="53"/>
        <v>2.9117690654870939E-11</v>
      </c>
      <c r="R39" s="153" t="s">
        <v>64</v>
      </c>
    </row>
    <row r="40" spans="2:18" ht="15.75" x14ac:dyDescent="0.25">
      <c r="L40" s="149">
        <f t="shared" si="54"/>
        <v>10.748790233999999</v>
      </c>
      <c r="M40" s="149">
        <f t="shared" si="49"/>
        <v>0.53053751833790419</v>
      </c>
      <c r="N40" s="149">
        <f t="shared" si="50"/>
        <v>1.5408392006153848</v>
      </c>
      <c r="O40" s="149">
        <f t="shared" si="51"/>
        <v>1.7127145046724826E-3</v>
      </c>
      <c r="P40" s="149">
        <f t="shared" si="52"/>
        <v>1.9091421070444518E-3</v>
      </c>
      <c r="Q40" s="150">
        <f t="shared" si="53"/>
        <v>2.4264742212392448E-11</v>
      </c>
      <c r="R40" s="153" t="s">
        <v>66</v>
      </c>
    </row>
    <row r="41" spans="2:18" ht="15.75" x14ac:dyDescent="0.25">
      <c r="L41" s="149">
        <f t="shared" si="54"/>
        <v>6.9867136520999997</v>
      </c>
      <c r="M41" s="149">
        <f t="shared" si="49"/>
        <v>0.34484938691963773</v>
      </c>
      <c r="N41" s="149">
        <f t="shared" si="50"/>
        <v>1.0015454804000001</v>
      </c>
      <c r="O41" s="149">
        <f t="shared" si="51"/>
        <v>1.1132644280371137E-3</v>
      </c>
      <c r="P41" s="149">
        <f t="shared" si="52"/>
        <v>1.2409423695788936E-3</v>
      </c>
      <c r="Q41" s="150">
        <f t="shared" si="53"/>
        <v>1.5772082438055091E-11</v>
      </c>
      <c r="R41" s="153" t="s">
        <v>68</v>
      </c>
    </row>
    <row r="42" spans="2:18" ht="15.75" x14ac:dyDescent="0.25">
      <c r="L42" s="149">
        <f t="shared" si="54"/>
        <v>6.1805543845499997</v>
      </c>
      <c r="M42" s="149">
        <f t="shared" si="49"/>
        <v>0.30505907304429492</v>
      </c>
      <c r="N42" s="149">
        <f t="shared" si="50"/>
        <v>0.88598254035384627</v>
      </c>
      <c r="O42" s="149">
        <f t="shared" si="51"/>
        <v>9.8481084018667742E-4</v>
      </c>
      <c r="P42" s="149">
        <f t="shared" si="52"/>
        <v>1.0977567115505597E-3</v>
      </c>
      <c r="Q42" s="150">
        <f t="shared" si="53"/>
        <v>1.3952226772125657E-11</v>
      </c>
      <c r="R42" s="153" t="s">
        <v>70</v>
      </c>
    </row>
    <row r="43" spans="2:18" ht="15.75" x14ac:dyDescent="0.25">
      <c r="L43" s="149">
        <f t="shared" si="54"/>
        <v>12.8985482808</v>
      </c>
      <c r="M43" s="149">
        <f t="shared" si="49"/>
        <v>0.63664502200548512</v>
      </c>
      <c r="N43" s="149">
        <f t="shared" si="50"/>
        <v>1.8490070407384618</v>
      </c>
      <c r="O43" s="149">
        <f t="shared" si="51"/>
        <v>2.055257405606979E-3</v>
      </c>
      <c r="P43" s="149">
        <f t="shared" si="52"/>
        <v>2.2909705284533421E-3</v>
      </c>
      <c r="Q43" s="150">
        <f t="shared" si="53"/>
        <v>2.9117690654870939E-11</v>
      </c>
      <c r="R43" s="154" t="s">
        <v>72</v>
      </c>
    </row>
    <row r="44" spans="2:18" ht="15.75" x14ac:dyDescent="0.25">
      <c r="L44" s="149">
        <f t="shared" si="54"/>
        <v>10.748790233999999</v>
      </c>
      <c r="M44" s="149">
        <f t="shared" si="49"/>
        <v>0.53053751833790419</v>
      </c>
      <c r="N44" s="149">
        <f t="shared" si="50"/>
        <v>1.5408392006153848</v>
      </c>
      <c r="O44" s="149">
        <f t="shared" si="51"/>
        <v>1.7127145046724826E-3</v>
      </c>
      <c r="P44" s="149">
        <f t="shared" si="52"/>
        <v>1.9091421070444518E-3</v>
      </c>
      <c r="Q44" s="150">
        <f t="shared" si="53"/>
        <v>2.4264742212392448E-11</v>
      </c>
      <c r="R44" s="154" t="s">
        <v>74</v>
      </c>
    </row>
    <row r="45" spans="2:18" ht="15.75" x14ac:dyDescent="0.25">
      <c r="L45" s="149">
        <f t="shared" si="54"/>
        <v>6.9867136520999997</v>
      </c>
      <c r="M45" s="149">
        <f t="shared" si="49"/>
        <v>0.34484938691963773</v>
      </c>
      <c r="N45" s="149">
        <f t="shared" si="50"/>
        <v>1.0015454804000001</v>
      </c>
      <c r="O45" s="149">
        <f t="shared" si="51"/>
        <v>1.1132644280371137E-3</v>
      </c>
      <c r="P45" s="149">
        <f t="shared" si="52"/>
        <v>1.2409423695788936E-3</v>
      </c>
      <c r="Q45" s="150">
        <f t="shared" si="53"/>
        <v>1.5772082438055091E-11</v>
      </c>
      <c r="R45" s="154" t="s">
        <v>76</v>
      </c>
    </row>
    <row r="46" spans="2:18" ht="15.75" x14ac:dyDescent="0.25">
      <c r="L46" s="149">
        <f t="shared" si="54"/>
        <v>6.1805543845499997</v>
      </c>
      <c r="M46" s="149">
        <f t="shared" si="49"/>
        <v>0.30505907304429492</v>
      </c>
      <c r="N46" s="149">
        <f t="shared" si="50"/>
        <v>0.88598254035384627</v>
      </c>
      <c r="O46" s="149">
        <f t="shared" si="51"/>
        <v>9.8481084018667742E-4</v>
      </c>
      <c r="P46" s="149">
        <f t="shared" si="52"/>
        <v>1.0977567115505597E-3</v>
      </c>
      <c r="Q46" s="150">
        <f t="shared" si="53"/>
        <v>1.3952226772125657E-11</v>
      </c>
      <c r="R46" s="154" t="s">
        <v>78</v>
      </c>
    </row>
    <row r="49" spans="12:18" ht="17.25" x14ac:dyDescent="0.25">
      <c r="L49" s="159" t="s">
        <v>155</v>
      </c>
    </row>
    <row r="51" spans="12:18" ht="45" x14ac:dyDescent="0.25">
      <c r="L51" s="11" t="s">
        <v>20</v>
      </c>
      <c r="M51" s="11" t="s">
        <v>21</v>
      </c>
      <c r="N51" s="11" t="s">
        <v>22</v>
      </c>
      <c r="O51" s="11" t="s">
        <v>23</v>
      </c>
      <c r="P51" s="11" t="s">
        <v>27</v>
      </c>
      <c r="Q51" s="11" t="s">
        <v>25</v>
      </c>
      <c r="R51" s="16"/>
    </row>
    <row r="52" spans="12:18" x14ac:dyDescent="0.25">
      <c r="L52" s="135">
        <v>12.8985482808</v>
      </c>
      <c r="M52" s="135">
        <v>0.63664502200548512</v>
      </c>
      <c r="N52" s="135">
        <v>1.8490070407384618</v>
      </c>
      <c r="O52" s="135">
        <v>2.055257405606979E-3</v>
      </c>
      <c r="P52" s="135">
        <v>2.2909705284533421E-3</v>
      </c>
      <c r="Q52" s="135">
        <v>2.9117690654870939E-11</v>
      </c>
    </row>
    <row r="53" spans="12:18" x14ac:dyDescent="0.25">
      <c r="L53" s="135">
        <v>10.748790233999999</v>
      </c>
      <c r="M53" s="135">
        <v>0.53053751833790419</v>
      </c>
      <c r="N53" s="135">
        <v>1.5408392006153848</v>
      </c>
      <c r="O53" s="135">
        <v>1.7127145046724826E-3</v>
      </c>
      <c r="P53" s="135">
        <v>1.9091421070444518E-3</v>
      </c>
      <c r="Q53" s="135">
        <v>2.4264742212392448E-11</v>
      </c>
    </row>
    <row r="54" spans="12:18" x14ac:dyDescent="0.25">
      <c r="L54" s="135">
        <v>6.9867136520999997</v>
      </c>
      <c r="M54" s="135">
        <v>0.34484938691963773</v>
      </c>
      <c r="N54" s="135">
        <v>1.0015454804000001</v>
      </c>
      <c r="O54" s="135">
        <v>1.1132644280371137E-3</v>
      </c>
      <c r="P54" s="135">
        <v>1.2409423695788936E-3</v>
      </c>
      <c r="Q54" s="135">
        <v>1.5772082438055091E-11</v>
      </c>
    </row>
    <row r="55" spans="12:18" x14ac:dyDescent="0.25">
      <c r="L55" s="135">
        <v>6.1805543845499997</v>
      </c>
      <c r="M55" s="135">
        <v>0.30505907304429492</v>
      </c>
      <c r="N55" s="135">
        <v>0.88598254035384627</v>
      </c>
      <c r="O55" s="135">
        <v>9.8481084018667742E-4</v>
      </c>
      <c r="P55" s="135">
        <v>1.0977567115505597E-3</v>
      </c>
      <c r="Q55" s="135">
        <v>1.3952226772125657E-11</v>
      </c>
    </row>
    <row r="56" spans="12:18" x14ac:dyDescent="0.25">
      <c r="L56" s="135">
        <v>12.8985482808</v>
      </c>
      <c r="M56" s="135">
        <v>0.63664502200548512</v>
      </c>
      <c r="N56" s="135">
        <v>1.8490070407384618</v>
      </c>
      <c r="O56" s="135">
        <v>2.055257405606979E-3</v>
      </c>
      <c r="P56" s="135">
        <v>2.2909705284533421E-3</v>
      </c>
      <c r="Q56" s="135">
        <v>2.9117690654870939E-11</v>
      </c>
    </row>
    <row r="57" spans="12:18" x14ac:dyDescent="0.25">
      <c r="L57" s="135">
        <v>10.748790233999999</v>
      </c>
      <c r="M57" s="135">
        <v>0.53053751833790419</v>
      </c>
      <c r="N57" s="135">
        <v>1.5408392006153848</v>
      </c>
      <c r="O57" s="135">
        <v>1.7127145046724826E-3</v>
      </c>
      <c r="P57" s="135">
        <v>1.9091421070444518E-3</v>
      </c>
      <c r="Q57" s="135">
        <v>2.4264742212392448E-11</v>
      </c>
    </row>
    <row r="58" spans="12:18" x14ac:dyDescent="0.25">
      <c r="L58" s="135">
        <v>6.9867136520999997</v>
      </c>
      <c r="M58" s="135">
        <v>0.34484938691963773</v>
      </c>
      <c r="N58" s="135">
        <v>1.0015454804000001</v>
      </c>
      <c r="O58" s="135">
        <v>1.1132644280371137E-3</v>
      </c>
      <c r="P58" s="135">
        <v>1.2409423695788936E-3</v>
      </c>
      <c r="Q58" s="135">
        <v>1.5772082438055091E-11</v>
      </c>
    </row>
    <row r="59" spans="12:18" x14ac:dyDescent="0.25">
      <c r="L59" s="135">
        <v>6.1805543845499997</v>
      </c>
      <c r="M59" s="135">
        <v>0.30505907304429492</v>
      </c>
      <c r="N59" s="135">
        <v>0.88598254035384627</v>
      </c>
      <c r="O59" s="135">
        <v>9.8481084018667742E-4</v>
      </c>
      <c r="P59" s="135">
        <v>1.0977567115505597E-3</v>
      </c>
      <c r="Q59" s="135">
        <v>1.3952226772125657E-11</v>
      </c>
    </row>
    <row r="60" spans="12:18" x14ac:dyDescent="0.25">
      <c r="L60" s="135">
        <v>12.8985482808</v>
      </c>
      <c r="M60" s="135">
        <v>0.63664502200548512</v>
      </c>
      <c r="N60" s="135">
        <v>1.8490070407384618</v>
      </c>
      <c r="O60" s="135">
        <v>2.055257405606979E-3</v>
      </c>
      <c r="P60" s="135">
        <v>2.2909705284533421E-3</v>
      </c>
      <c r="Q60" s="135">
        <v>2.9117690654870939E-11</v>
      </c>
    </row>
    <row r="61" spans="12:18" x14ac:dyDescent="0.25">
      <c r="L61" s="135">
        <v>10.748790233999999</v>
      </c>
      <c r="M61" s="135">
        <v>0.53053751833790419</v>
      </c>
      <c r="N61" s="135">
        <v>1.5408392006153848</v>
      </c>
      <c r="O61" s="135">
        <v>1.7127145046724826E-3</v>
      </c>
      <c r="P61" s="135">
        <v>1.9091421070444518E-3</v>
      </c>
      <c r="Q61" s="135">
        <v>2.4264742212392448E-11</v>
      </c>
    </row>
    <row r="62" spans="12:18" x14ac:dyDescent="0.25">
      <c r="L62" s="135">
        <v>6.9867136520999997</v>
      </c>
      <c r="M62" s="135">
        <v>0.34484938691963773</v>
      </c>
      <c r="N62" s="135">
        <v>1.0015454804000001</v>
      </c>
      <c r="O62" s="135">
        <v>1.1132644280371137E-3</v>
      </c>
      <c r="P62" s="135">
        <v>1.2409423695788936E-3</v>
      </c>
      <c r="Q62" s="135">
        <v>1.5772082438055091E-11</v>
      </c>
    </row>
    <row r="63" spans="12:18" x14ac:dyDescent="0.25">
      <c r="L63" s="135">
        <v>6.1805543845499997</v>
      </c>
      <c r="M63" s="135">
        <v>0.30505907304429492</v>
      </c>
      <c r="N63" s="135">
        <v>0.88598254035384627</v>
      </c>
      <c r="O63" s="135">
        <v>9.8481084018667742E-4</v>
      </c>
      <c r="P63" s="135">
        <v>1.0977567115505597E-3</v>
      </c>
      <c r="Q63" s="135">
        <v>1.3952226772125657E-11</v>
      </c>
    </row>
    <row r="64" spans="12:18" x14ac:dyDescent="0.25">
      <c r="L64" s="135">
        <v>12.8985482808</v>
      </c>
      <c r="M64" s="135">
        <v>0.63664502200548512</v>
      </c>
      <c r="N64" s="135">
        <v>1.8490070407384618</v>
      </c>
      <c r="O64" s="135">
        <v>2.055257405606979E-3</v>
      </c>
      <c r="P64" s="135">
        <v>2.2909705284533421E-3</v>
      </c>
      <c r="Q64" s="135">
        <v>2.9117690654870939E-11</v>
      </c>
    </row>
    <row r="65" spans="12:17" x14ac:dyDescent="0.25">
      <c r="L65" s="135">
        <v>10.748790233999999</v>
      </c>
      <c r="M65" s="135">
        <v>0.53053751833790419</v>
      </c>
      <c r="N65" s="135">
        <v>1.5408392006153848</v>
      </c>
      <c r="O65" s="135">
        <v>1.7127145046724826E-3</v>
      </c>
      <c r="P65" s="135">
        <v>1.9091421070444518E-3</v>
      </c>
      <c r="Q65" s="135">
        <v>2.4264742212392448E-11</v>
      </c>
    </row>
    <row r="66" spans="12:17" x14ac:dyDescent="0.25">
      <c r="L66" s="135">
        <v>6.9867136520999997</v>
      </c>
      <c r="M66" s="135">
        <v>0.34484938691963773</v>
      </c>
      <c r="N66" s="135">
        <v>1.0015454804000001</v>
      </c>
      <c r="O66" s="135">
        <v>1.1132644280371137E-3</v>
      </c>
      <c r="P66" s="135">
        <v>1.2409423695788936E-3</v>
      </c>
      <c r="Q66" s="135">
        <v>1.5772082438055091E-11</v>
      </c>
    </row>
    <row r="67" spans="12:17" x14ac:dyDescent="0.25">
      <c r="L67" s="135">
        <v>6.1805543845499997</v>
      </c>
      <c r="M67" s="135">
        <v>0.30505907304429492</v>
      </c>
      <c r="N67" s="135">
        <v>0.88598254035384627</v>
      </c>
      <c r="O67" s="135">
        <v>9.8481084018667742E-4</v>
      </c>
      <c r="P67" s="135">
        <v>1.0977567115505597E-3</v>
      </c>
      <c r="Q67" s="135">
        <v>1.3952226772125657E-11</v>
      </c>
    </row>
    <row r="175" spans="2:2" x14ac:dyDescent="0.25">
      <c r="B175" t="s">
        <v>79</v>
      </c>
    </row>
    <row r="178" spans="2:4" x14ac:dyDescent="0.25">
      <c r="B178" t="s">
        <v>80</v>
      </c>
      <c r="C178" t="s">
        <v>81</v>
      </c>
    </row>
    <row r="179" spans="2:4" x14ac:dyDescent="0.25">
      <c r="B179" t="s">
        <v>82</v>
      </c>
      <c r="C179" t="s">
        <v>83</v>
      </c>
    </row>
    <row r="180" spans="2:4" x14ac:dyDescent="0.25">
      <c r="B180">
        <v>2.5668353756924827</v>
      </c>
      <c r="C180">
        <v>1.6311859436205471</v>
      </c>
      <c r="D180">
        <f>B180+B180^2/(2*9.81)</f>
        <v>2.9026480080016759</v>
      </c>
    </row>
    <row r="181" spans="2:4" x14ac:dyDescent="0.25">
      <c r="B181">
        <v>2.1390294797437357</v>
      </c>
      <c r="C181">
        <v>1.3593216196837892</v>
      </c>
      <c r="D181">
        <f t="shared" ref="D181:D203" si="55">B181+B181^2/(2*9.81)</f>
        <v>2.3722326966251197</v>
      </c>
    </row>
    <row r="182" spans="2:4" x14ac:dyDescent="0.25">
      <c r="B182">
        <v>1.3903691618334282</v>
      </c>
      <c r="C182">
        <v>0.8835590527944629</v>
      </c>
      <c r="D182">
        <f t="shared" si="55"/>
        <v>1.4888975209658131</v>
      </c>
    </row>
    <row r="183" spans="2:4" x14ac:dyDescent="0.25">
      <c r="B183">
        <v>1.2299419508526479</v>
      </c>
      <c r="C183">
        <v>0.78160993131817869</v>
      </c>
      <c r="D183">
        <f t="shared" si="55"/>
        <v>1.3070447644340555</v>
      </c>
    </row>
    <row r="184" spans="2:4" x14ac:dyDescent="0.25">
      <c r="B184">
        <v>1.2299419508526479</v>
      </c>
      <c r="C184">
        <v>0.78160993131817869</v>
      </c>
      <c r="D184">
        <f t="shared" si="55"/>
        <v>1.3070447644340555</v>
      </c>
    </row>
    <row r="185" spans="2:4" x14ac:dyDescent="0.25">
      <c r="B185">
        <v>1.1764662138590547</v>
      </c>
      <c r="C185">
        <v>0.74762689082608402</v>
      </c>
      <c r="D185">
        <f t="shared" si="55"/>
        <v>1.2470101869656733</v>
      </c>
    </row>
    <row r="186" spans="2:4" x14ac:dyDescent="0.25">
      <c r="B186">
        <v>2.5985846847876926</v>
      </c>
      <c r="C186">
        <v>1.7579461501786977</v>
      </c>
      <c r="D186">
        <f t="shared" si="55"/>
        <v>2.9427560591002893</v>
      </c>
    </row>
    <row r="187" spans="2:4" x14ac:dyDescent="0.25">
      <c r="B187">
        <v>2.1654872373230774</v>
      </c>
      <c r="C187">
        <v>1.4649551251489148</v>
      </c>
      <c r="D187">
        <f t="shared" si="55"/>
        <v>2.4044951361512696</v>
      </c>
    </row>
    <row r="188" spans="2:4" x14ac:dyDescent="0.25">
      <c r="B188">
        <v>1.4075667042600002</v>
      </c>
      <c r="C188">
        <v>0.95222083134679458</v>
      </c>
      <c r="D188">
        <f t="shared" si="55"/>
        <v>1.5085475415149114</v>
      </c>
    </row>
    <row r="189" spans="2:4" x14ac:dyDescent="0.25">
      <c r="B189">
        <v>1.2451551614607692</v>
      </c>
      <c r="C189">
        <v>0.84234919696062605</v>
      </c>
      <c r="D189">
        <f t="shared" si="55"/>
        <v>1.3241771480108402</v>
      </c>
    </row>
    <row r="190" spans="2:4" x14ac:dyDescent="0.25">
      <c r="B190">
        <v>1.2451551614607692</v>
      </c>
      <c r="C190">
        <v>0.84234919696062605</v>
      </c>
      <c r="D190">
        <f t="shared" si="55"/>
        <v>1.3241771480108402</v>
      </c>
    </row>
    <row r="191" spans="2:4" x14ac:dyDescent="0.25">
      <c r="B191">
        <v>1.1910179805276924</v>
      </c>
      <c r="C191">
        <v>0.80572531883190313</v>
      </c>
      <c r="D191">
        <f t="shared" si="55"/>
        <v>1.2633178699232206</v>
      </c>
    </row>
    <row r="192" spans="2:4" x14ac:dyDescent="0.25">
      <c r="B192">
        <v>0.56625048004747192</v>
      </c>
      <c r="C192">
        <v>1.5336492212146182</v>
      </c>
      <c r="D192">
        <f t="shared" si="55"/>
        <v>0.58259296761903112</v>
      </c>
    </row>
    <row r="193" spans="2:4" x14ac:dyDescent="0.25">
      <c r="B193">
        <v>0.47187540003955986</v>
      </c>
      <c r="C193">
        <v>1.2780410176788486</v>
      </c>
      <c r="D193">
        <f t="shared" si="55"/>
        <v>0.48322434974203154</v>
      </c>
    </row>
    <row r="194" spans="2:4" x14ac:dyDescent="0.25">
      <c r="B194">
        <v>0.30671901002571389</v>
      </c>
      <c r="C194">
        <v>0.83072666149125152</v>
      </c>
      <c r="D194">
        <f t="shared" si="55"/>
        <v>0.3115139412750082</v>
      </c>
    </row>
    <row r="195" spans="2:4" x14ac:dyDescent="0.25">
      <c r="B195">
        <v>0.27132835502274688</v>
      </c>
      <c r="C195">
        <v>0.73487358516533785</v>
      </c>
      <c r="D195">
        <f t="shared" si="55"/>
        <v>0.27508060151812658</v>
      </c>
    </row>
    <row r="196" spans="2:4" x14ac:dyDescent="0.25">
      <c r="B196">
        <v>0.27132835502274688</v>
      </c>
      <c r="C196">
        <v>0.73487358516533785</v>
      </c>
      <c r="D196">
        <f t="shared" si="55"/>
        <v>0.27508060151812658</v>
      </c>
    </row>
    <row r="197" spans="2:4" x14ac:dyDescent="0.25">
      <c r="B197">
        <v>0.25953147002175792</v>
      </c>
      <c r="C197">
        <v>0.70292255972336659</v>
      </c>
      <c r="D197">
        <f t="shared" si="55"/>
        <v>0.26296452730675562</v>
      </c>
    </row>
    <row r="198" spans="2:4" x14ac:dyDescent="0.25">
      <c r="B198">
        <v>0.59799978914268148</v>
      </c>
      <c r="C198">
        <v>1.4068890146564677</v>
      </c>
      <c r="D198">
        <f t="shared" si="55"/>
        <v>0.61622627985698786</v>
      </c>
    </row>
    <row r="199" spans="2:4" x14ac:dyDescent="0.25">
      <c r="B199">
        <v>0.49833315761890123</v>
      </c>
      <c r="C199">
        <v>1.172407512213723</v>
      </c>
      <c r="D199">
        <f t="shared" si="55"/>
        <v>0.51099044283716955</v>
      </c>
    </row>
    <row r="200" spans="2:4" x14ac:dyDescent="0.25">
      <c r="B200">
        <v>0.32391655245228579</v>
      </c>
      <c r="C200">
        <v>0.76206488293891994</v>
      </c>
      <c r="D200">
        <f t="shared" si="55"/>
        <v>0.32926425545700416</v>
      </c>
    </row>
    <row r="201" spans="2:4" x14ac:dyDescent="0.25">
      <c r="B201">
        <v>0.28654156563086813</v>
      </c>
      <c r="C201">
        <v>0.67413431952289071</v>
      </c>
      <c r="D201">
        <f t="shared" si="55"/>
        <v>0.29072638055615807</v>
      </c>
    </row>
    <row r="202" spans="2:4" x14ac:dyDescent="0.25">
      <c r="B202">
        <v>0.28654156563086813</v>
      </c>
      <c r="C202">
        <v>0.67413431952289071</v>
      </c>
      <c r="D202">
        <f t="shared" si="55"/>
        <v>0.29072638055615807</v>
      </c>
    </row>
    <row r="203" spans="2:4" x14ac:dyDescent="0.25">
      <c r="B203">
        <v>0.27408323669039564</v>
      </c>
      <c r="C203">
        <v>0.6448241317175476</v>
      </c>
      <c r="D203">
        <f t="shared" si="55"/>
        <v>0.27791206546892183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7"/>
  <sheetViews>
    <sheetView showGridLines="0" tabSelected="1" topLeftCell="I3" zoomScale="85" zoomScaleNormal="85" workbookViewId="0">
      <selection activeCell="K28" sqref="K28"/>
    </sheetView>
  </sheetViews>
  <sheetFormatPr defaultRowHeight="15" x14ac:dyDescent="0.25"/>
  <cols>
    <col min="1" max="1" width="65.42578125" customWidth="1"/>
    <col min="2" max="2" width="21.42578125" customWidth="1"/>
    <col min="3" max="3" width="20.28515625" bestFit="1" customWidth="1"/>
    <col min="4" max="4" width="17.85546875" bestFit="1" customWidth="1"/>
    <col min="5" max="5" width="19" bestFit="1" customWidth="1"/>
    <col min="6" max="6" width="12" customWidth="1"/>
    <col min="7" max="7" width="15.140625" customWidth="1"/>
    <col min="8" max="8" width="19.28515625" customWidth="1"/>
    <col min="9" max="13" width="27.7109375" customWidth="1"/>
    <col min="14" max="14" width="11.5703125" customWidth="1"/>
    <col min="15" max="19" width="13.140625" customWidth="1"/>
    <col min="28" max="28" width="9.140625" customWidth="1"/>
    <col min="31" max="31" width="11.28515625" customWidth="1"/>
  </cols>
  <sheetData>
    <row r="1" spans="1:22" ht="106.5" customHeight="1" x14ac:dyDescent="0.4">
      <c r="A1" s="136" t="s">
        <v>147</v>
      </c>
      <c r="J1" s="146" t="s">
        <v>100</v>
      </c>
      <c r="K1" s="131" t="s">
        <v>143</v>
      </c>
    </row>
    <row r="2" spans="1:22" ht="108" x14ac:dyDescent="0.45">
      <c r="A2" s="141" t="s">
        <v>140</v>
      </c>
      <c r="B2" s="2" t="s">
        <v>138</v>
      </c>
      <c r="C2" s="145" t="s">
        <v>139</v>
      </c>
      <c r="D2" s="9"/>
      <c r="E2" s="2"/>
      <c r="F2" s="2"/>
      <c r="G2" s="2"/>
      <c r="H2" s="2"/>
      <c r="I2" s="2"/>
      <c r="J2" s="8" t="s">
        <v>142</v>
      </c>
      <c r="K2" s="11" t="s">
        <v>101</v>
      </c>
      <c r="L2" s="2" t="s">
        <v>102</v>
      </c>
      <c r="M2" s="2" t="s">
        <v>103</v>
      </c>
      <c r="N2" s="11" t="s">
        <v>104</v>
      </c>
      <c r="O2" s="2"/>
      <c r="P2" s="29"/>
      <c r="Q2" s="29"/>
      <c r="R2" s="29"/>
      <c r="S2" s="29"/>
      <c r="T2" s="29"/>
      <c r="U2" s="29"/>
      <c r="V2" s="29"/>
    </row>
    <row r="3" spans="1:22" s="132" customFormat="1" ht="93.75" x14ac:dyDescent="0.3">
      <c r="A3" s="137" t="s">
        <v>141</v>
      </c>
      <c r="B3" s="137" t="s">
        <v>138</v>
      </c>
      <c r="C3" s="138" t="s">
        <v>40</v>
      </c>
      <c r="D3" s="138" t="s">
        <v>41</v>
      </c>
      <c r="E3" s="138" t="s">
        <v>106</v>
      </c>
      <c r="F3" s="138" t="s">
        <v>43</v>
      </c>
      <c r="G3" s="139" t="s">
        <v>24</v>
      </c>
      <c r="H3" s="138" t="s">
        <v>107</v>
      </c>
      <c r="I3" s="137" t="s">
        <v>138</v>
      </c>
      <c r="J3" s="144" t="s">
        <v>108</v>
      </c>
      <c r="K3" s="138" t="s">
        <v>109</v>
      </c>
      <c r="L3" s="138" t="s">
        <v>110</v>
      </c>
      <c r="M3" s="138" t="s">
        <v>111</v>
      </c>
      <c r="N3" s="139" t="s">
        <v>112</v>
      </c>
      <c r="O3" s="138" t="s">
        <v>113</v>
      </c>
      <c r="P3" s="140"/>
      <c r="Q3" s="140"/>
      <c r="R3" s="140"/>
      <c r="S3" s="140"/>
    </row>
    <row r="4" spans="1:22" s="43" customFormat="1" ht="15.75" x14ac:dyDescent="0.25">
      <c r="A4" s="133" t="s">
        <v>114</v>
      </c>
      <c r="B4" s="133" t="s">
        <v>152</v>
      </c>
      <c r="C4" s="71">
        <v>394621798743.59186</v>
      </c>
      <c r="D4" s="72">
        <v>19001163012.212902</v>
      </c>
      <c r="E4" s="72">
        <v>72804204919.944412</v>
      </c>
      <c r="F4" s="72">
        <v>58177673.148341492</v>
      </c>
      <c r="G4" s="72">
        <v>69380833.606332302</v>
      </c>
      <c r="H4" s="72">
        <v>0.66882589179855678</v>
      </c>
      <c r="I4" s="133" t="s">
        <v>152</v>
      </c>
      <c r="J4" s="167">
        <f>C4/10^9</f>
        <v>394.62179874359185</v>
      </c>
      <c r="K4" s="168">
        <f>D4/(1000*10^6)</f>
        <v>19.001163012212903</v>
      </c>
      <c r="L4" s="168">
        <f>E4/10^9</f>
        <v>72.804204919944411</v>
      </c>
      <c r="M4" s="168">
        <f>F4/10^6</f>
        <v>58.177673148341491</v>
      </c>
      <c r="N4" s="168">
        <f>G4/(10^6)</f>
        <v>69.380833606332303</v>
      </c>
      <c r="O4" s="168">
        <f>H4</f>
        <v>0.66882589179855678</v>
      </c>
    </row>
    <row r="5" spans="1:22" s="43" customFormat="1" ht="15.75" x14ac:dyDescent="0.25">
      <c r="A5" s="133" t="s">
        <v>116</v>
      </c>
      <c r="B5" s="133" t="s">
        <v>33</v>
      </c>
      <c r="C5" s="71">
        <v>67924347312.587799</v>
      </c>
      <c r="D5" s="72">
        <v>3270578563.8143344</v>
      </c>
      <c r="E5" s="72">
        <v>12531436723.829546</v>
      </c>
      <c r="F5" s="72">
        <v>10013842.340559075</v>
      </c>
      <c r="G5" s="72">
        <v>11942188.327450845</v>
      </c>
      <c r="H5" s="72">
        <v>0.1151217756110189</v>
      </c>
      <c r="I5" s="133" t="s">
        <v>33</v>
      </c>
      <c r="J5" s="155">
        <f t="shared" ref="J5:J7" si="0">C5/10^9</f>
        <v>67.924347312587798</v>
      </c>
      <c r="K5" s="134">
        <f t="shared" ref="K5:K7" si="1">D5/(1000*10^6)</f>
        <v>3.2705785638143343</v>
      </c>
      <c r="L5" s="134">
        <f t="shared" ref="L5:L7" si="2">E5/10^9</f>
        <v>12.531436723829547</v>
      </c>
      <c r="M5" s="134">
        <f t="shared" ref="M5:M7" si="3">F5/10^6</f>
        <v>10.013842340559075</v>
      </c>
      <c r="N5" s="134">
        <f t="shared" ref="N5:N7" si="4">G5/(10^6)</f>
        <v>11.942188327450845</v>
      </c>
      <c r="O5" s="134">
        <f t="shared" ref="O5:O7" si="5">H5</f>
        <v>0.1151217756110189</v>
      </c>
    </row>
    <row r="6" spans="1:22" s="43" customFormat="1" ht="15.75" x14ac:dyDescent="0.25">
      <c r="A6" s="133" t="s">
        <v>117</v>
      </c>
      <c r="B6" s="133" t="s">
        <v>35</v>
      </c>
      <c r="C6" s="71">
        <v>34935502824.845482</v>
      </c>
      <c r="D6" s="72">
        <v>1682155385.743989</v>
      </c>
      <c r="E6" s="72">
        <v>6445288919.0086851</v>
      </c>
      <c r="F6" s="72">
        <v>5150415.5905422512</v>
      </c>
      <c r="G6" s="72">
        <v>6142221.0231702682</v>
      </c>
      <c r="H6" s="72">
        <v>5.9210537549245601E-2</v>
      </c>
      <c r="I6" s="133" t="s">
        <v>35</v>
      </c>
      <c r="J6" s="155">
        <f t="shared" si="0"/>
        <v>34.935502824845479</v>
      </c>
      <c r="K6" s="134">
        <f t="shared" si="1"/>
        <v>1.682155385743989</v>
      </c>
      <c r="L6" s="134">
        <f t="shared" si="2"/>
        <v>6.4452889190086848</v>
      </c>
      <c r="M6" s="134">
        <f t="shared" si="3"/>
        <v>5.1504155905422513</v>
      </c>
      <c r="N6" s="134">
        <f t="shared" si="4"/>
        <v>6.1422210231702685</v>
      </c>
      <c r="O6" s="134">
        <f t="shared" si="5"/>
        <v>5.9210537549245601E-2</v>
      </c>
    </row>
    <row r="7" spans="1:22" s="43" customFormat="1" ht="15.75" x14ac:dyDescent="0.25">
      <c r="A7" s="133" t="s">
        <v>118</v>
      </c>
      <c r="B7" s="133" t="s">
        <v>119</v>
      </c>
      <c r="C7" s="71">
        <v>62488027352.397919</v>
      </c>
      <c r="D7" s="72">
        <v>3008818057.7323279</v>
      </c>
      <c r="E7" s="72">
        <v>11528484140.743244</v>
      </c>
      <c r="F7" s="72">
        <v>9212385.2320549618</v>
      </c>
      <c r="G7" s="72">
        <v>10986396.194858113</v>
      </c>
      <c r="H7" s="72">
        <v>0.10590801307419873</v>
      </c>
      <c r="I7" s="133" t="s">
        <v>119</v>
      </c>
      <c r="J7" s="155">
        <f t="shared" si="0"/>
        <v>62.488027352397921</v>
      </c>
      <c r="K7" s="134">
        <f t="shared" si="1"/>
        <v>3.008818057732328</v>
      </c>
      <c r="L7" s="134">
        <f t="shared" si="2"/>
        <v>11.528484140743243</v>
      </c>
      <c r="M7" s="134">
        <f t="shared" si="3"/>
        <v>9.2123852320549613</v>
      </c>
      <c r="N7" s="134">
        <f t="shared" si="4"/>
        <v>10.986396194858113</v>
      </c>
      <c r="O7" s="134">
        <f t="shared" si="5"/>
        <v>0.10590801307419873</v>
      </c>
    </row>
    <row r="8" spans="1:22" ht="15.75" x14ac:dyDescent="0.25">
      <c r="A8" s="2"/>
      <c r="B8" s="125" t="s">
        <v>120</v>
      </c>
      <c r="C8" s="135">
        <f>SUM(C4:C7)</f>
        <v>559969676233.4231</v>
      </c>
      <c r="D8" s="135">
        <f t="shared" ref="D8:H8" si="6">SUM(D4:D7)</f>
        <v>26962715019.503551</v>
      </c>
      <c r="E8" s="135">
        <f t="shared" si="6"/>
        <v>103309414703.52588</v>
      </c>
      <c r="F8" s="135">
        <f t="shared" si="6"/>
        <v>82554316.311497793</v>
      </c>
      <c r="G8" s="135">
        <f t="shared" si="6"/>
        <v>98451639.151811525</v>
      </c>
      <c r="H8" s="135">
        <f t="shared" si="6"/>
        <v>0.94906621803302005</v>
      </c>
      <c r="I8" s="125" t="s">
        <v>120</v>
      </c>
      <c r="J8" s="130">
        <f>SUM(J4:J7)</f>
        <v>559.969676233423</v>
      </c>
      <c r="K8" s="127">
        <f t="shared" ref="K8:O8" si="7">SUM(K4:K7)</f>
        <v>26.962715019503555</v>
      </c>
      <c r="L8" s="127">
        <f t="shared" si="7"/>
        <v>103.30941470352589</v>
      </c>
      <c r="M8" s="127">
        <f t="shared" si="7"/>
        <v>82.554316311497772</v>
      </c>
      <c r="N8" s="127">
        <f t="shared" si="7"/>
        <v>98.451639151811534</v>
      </c>
      <c r="O8" s="127">
        <f t="shared" si="7"/>
        <v>0.94906621803302005</v>
      </c>
    </row>
    <row r="9" spans="1:22" ht="15.75" x14ac:dyDescent="0.25">
      <c r="A9" s="126" t="s">
        <v>148</v>
      </c>
      <c r="I9" s="24"/>
      <c r="K9" s="157"/>
      <c r="L9" s="157"/>
      <c r="M9" s="157"/>
      <c r="N9" s="157"/>
      <c r="O9" s="157"/>
      <c r="P9" s="157"/>
    </row>
    <row r="10" spans="1:22" ht="15.75" x14ac:dyDescent="0.25">
      <c r="C10" t="s">
        <v>150</v>
      </c>
      <c r="D10" t="s">
        <v>121</v>
      </c>
      <c r="I10" s="162" t="s">
        <v>154</v>
      </c>
      <c r="J10" s="166">
        <f>MAX(J4:J7)</f>
        <v>394.62179874359185</v>
      </c>
      <c r="K10" s="166">
        <f>MAX(K4:K7)</f>
        <v>19.001163012212903</v>
      </c>
      <c r="L10" s="166">
        <f t="shared" ref="L10:O10" si="8">MAX(L4:L7)</f>
        <v>72.804204919944411</v>
      </c>
      <c r="M10" s="166">
        <f t="shared" si="8"/>
        <v>58.177673148341491</v>
      </c>
      <c r="N10" s="166">
        <f t="shared" si="8"/>
        <v>69.380833606332303</v>
      </c>
      <c r="O10" s="165">
        <f t="shared" si="8"/>
        <v>0.66882589179855678</v>
      </c>
      <c r="P10" s="163"/>
    </row>
    <row r="11" spans="1:22" s="147" customFormat="1" x14ac:dyDescent="0.25">
      <c r="A11" s="30" t="s">
        <v>105</v>
      </c>
      <c r="B11" s="30" t="s">
        <v>149</v>
      </c>
      <c r="C11" s="142" t="s">
        <v>122</v>
      </c>
      <c r="D11" s="142" t="s">
        <v>123</v>
      </c>
      <c r="E11" s="142" t="s">
        <v>124</v>
      </c>
      <c r="F11" s="142" t="s">
        <v>125</v>
      </c>
      <c r="G11" s="143" t="s">
        <v>80</v>
      </c>
      <c r="H11" s="142" t="s">
        <v>126</v>
      </c>
      <c r="J11" s="156"/>
    </row>
    <row r="12" spans="1:22" s="147" customFormat="1" ht="15.75" x14ac:dyDescent="0.25">
      <c r="A12" s="133" t="s">
        <v>114</v>
      </c>
      <c r="B12" s="133" t="s">
        <v>115</v>
      </c>
      <c r="C12" s="158">
        <f>C4/$C$8</f>
        <v>0.70471994376190816</v>
      </c>
      <c r="D12" s="158">
        <f>D4/$D$8</f>
        <v>0.70471994376190827</v>
      </c>
      <c r="E12" s="158">
        <f>E4/$E$8</f>
        <v>0.70471994376190827</v>
      </c>
      <c r="F12" s="158">
        <f>F4/$F$8</f>
        <v>0.70471994376190805</v>
      </c>
      <c r="G12" s="158">
        <f>G4/$G$8</f>
        <v>0.70471994376190827</v>
      </c>
      <c r="H12" s="158">
        <f>H4/$H$8</f>
        <v>0.70471994376190816</v>
      </c>
      <c r="J12" s="156"/>
    </row>
    <row r="13" spans="1:22" s="147" customFormat="1" ht="15.75" x14ac:dyDescent="0.25">
      <c r="A13" s="133" t="s">
        <v>116</v>
      </c>
      <c r="B13" s="133" t="s">
        <v>33</v>
      </c>
      <c r="C13" s="158">
        <f>C5/$C$8</f>
        <v>0.12130004569081981</v>
      </c>
      <c r="D13" s="158">
        <f t="shared" ref="D13:D15" si="9">D5/$D$8</f>
        <v>0.12130004569081981</v>
      </c>
      <c r="E13" s="158">
        <f t="shared" ref="E13:E15" si="10">E5/$E$8</f>
        <v>0.12130004569081985</v>
      </c>
      <c r="F13" s="158">
        <f t="shared" ref="F13:F15" si="11">F5/$F$8</f>
        <v>0.12130004569081983</v>
      </c>
      <c r="G13" s="158">
        <f t="shared" ref="G13:G15" si="12">G5/$G$8</f>
        <v>0.12130004569081984</v>
      </c>
      <c r="H13" s="158">
        <f t="shared" ref="H13:H15" si="13">H5/$H$8</f>
        <v>0.12130004569081983</v>
      </c>
      <c r="J13" s="156"/>
    </row>
    <row r="14" spans="1:22" s="147" customFormat="1" ht="15.75" x14ac:dyDescent="0.25">
      <c r="A14" s="133" t="s">
        <v>117</v>
      </c>
      <c r="B14" s="133" t="s">
        <v>35</v>
      </c>
      <c r="C14" s="158">
        <f t="shared" ref="C14:C15" si="14">C6/$C$8</f>
        <v>6.2388204768221475E-2</v>
      </c>
      <c r="D14" s="158">
        <f t="shared" si="9"/>
        <v>6.2388204768221503E-2</v>
      </c>
      <c r="E14" s="158">
        <f t="shared" si="10"/>
        <v>6.2388204768221496E-2</v>
      </c>
      <c r="F14" s="158">
        <f t="shared" si="11"/>
        <v>6.2388204768221482E-2</v>
      </c>
      <c r="G14" s="158">
        <f t="shared" si="12"/>
        <v>6.2388204768221475E-2</v>
      </c>
      <c r="H14" s="158">
        <f t="shared" si="13"/>
        <v>6.2388204768221496E-2</v>
      </c>
      <c r="J14" s="156"/>
    </row>
    <row r="15" spans="1:22" s="147" customFormat="1" ht="15.75" x14ac:dyDescent="0.25">
      <c r="A15" s="133" t="s">
        <v>118</v>
      </c>
      <c r="B15" s="133" t="s">
        <v>119</v>
      </c>
      <c r="C15" s="158">
        <f t="shared" si="14"/>
        <v>0.11159180577905047</v>
      </c>
      <c r="D15" s="158">
        <f t="shared" si="9"/>
        <v>0.11159180577905049</v>
      </c>
      <c r="E15" s="158">
        <f t="shared" si="10"/>
        <v>0.11159180577905051</v>
      </c>
      <c r="F15" s="158">
        <f t="shared" si="11"/>
        <v>0.11159180577905049</v>
      </c>
      <c r="G15" s="158">
        <f t="shared" si="12"/>
        <v>0.11159180577905048</v>
      </c>
      <c r="H15" s="158">
        <f t="shared" si="13"/>
        <v>0.11159180577905045</v>
      </c>
      <c r="J15" s="156"/>
    </row>
    <row r="16" spans="1:22" s="147" customFormat="1" ht="15.75" x14ac:dyDescent="0.25">
      <c r="A16" s="30"/>
      <c r="B16" s="133" t="s">
        <v>128</v>
      </c>
      <c r="C16" s="158">
        <f>SUM(C12:C15)</f>
        <v>1</v>
      </c>
      <c r="D16" s="158">
        <f t="shared" ref="D16:H16" si="15">SUM(D12:D15)</f>
        <v>1</v>
      </c>
      <c r="E16" s="158">
        <f t="shared" si="15"/>
        <v>1.0000000000000002</v>
      </c>
      <c r="F16" s="158">
        <f t="shared" si="15"/>
        <v>0.99999999999999989</v>
      </c>
      <c r="G16" s="158">
        <f t="shared" si="15"/>
        <v>1</v>
      </c>
      <c r="H16" s="158">
        <f t="shared" si="15"/>
        <v>1</v>
      </c>
    </row>
    <row r="23" spans="5:7" x14ac:dyDescent="0.25">
      <c r="F23" s="30" t="s">
        <v>127</v>
      </c>
      <c r="G23" s="30"/>
    </row>
    <row r="24" spans="5:7" x14ac:dyDescent="0.25">
      <c r="F24" s="30" t="s">
        <v>129</v>
      </c>
      <c r="G24" s="30"/>
    </row>
    <row r="25" spans="5:7" x14ac:dyDescent="0.25">
      <c r="E25" t="s">
        <v>131</v>
      </c>
    </row>
    <row r="26" spans="5:7" x14ac:dyDescent="0.25">
      <c r="F26" s="129" t="s">
        <v>130</v>
      </c>
    </row>
    <row r="27" spans="5:7" x14ac:dyDescent="0.25">
      <c r="G27" t="s">
        <v>132</v>
      </c>
    </row>
    <row r="28" spans="5:7" ht="90" x14ac:dyDescent="0.25">
      <c r="F28" s="128" t="s">
        <v>133</v>
      </c>
      <c r="G28">
        <v>6673</v>
      </c>
    </row>
    <row r="29" spans="5:7" ht="45" x14ac:dyDescent="0.25">
      <c r="F29" s="128" t="s">
        <v>134</v>
      </c>
      <c r="G29">
        <f>G28*0.09</f>
        <v>600.56999999999994</v>
      </c>
    </row>
    <row r="30" spans="5:7" ht="60" x14ac:dyDescent="0.25">
      <c r="F30" s="128" t="s">
        <v>135</v>
      </c>
      <c r="G30" s="127">
        <f>SUM(K4:K7)</f>
        <v>26.962715019503555</v>
      </c>
    </row>
    <row r="31" spans="5:7" ht="45" x14ac:dyDescent="0.25">
      <c r="F31" s="128" t="s">
        <v>136</v>
      </c>
      <c r="G31" s="130">
        <f>G30/50</f>
        <v>0.53925430039007116</v>
      </c>
    </row>
    <row r="32" spans="5:7" ht="45" x14ac:dyDescent="0.25">
      <c r="F32" s="128" t="s">
        <v>137</v>
      </c>
      <c r="G32" s="130">
        <f>G30*100/G29</f>
        <v>4.4895207918316862</v>
      </c>
    </row>
    <row r="54" spans="2:2" x14ac:dyDescent="0.25">
      <c r="B54" t="s">
        <v>146</v>
      </c>
    </row>
    <row r="56" spans="2:2" x14ac:dyDescent="0.25">
      <c r="B56" t="s">
        <v>144</v>
      </c>
    </row>
    <row r="57" spans="2:2" x14ac:dyDescent="0.25">
      <c r="B57" t="s">
        <v>145</v>
      </c>
    </row>
  </sheetData>
  <hyperlinks>
    <hyperlink ref="F26" r:id="rId1" xr:uid="{00000000-0004-0000-01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16DMOs sust. &amp; Table S3</vt:lpstr>
      <vt:lpstr>Fig. 7 best DMOs sustainability</vt:lpstr>
      <vt:lpstr>'16DMOs sust. &amp; Table S3'!_Toc511725132</vt:lpstr>
      <vt:lpstr>'16DMOs sust. &amp; Table S3'!_Toc524689090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Ghimire, Santosh</dc:creator>
  <cp:lastModifiedBy>Ghimire, Santosh</cp:lastModifiedBy>
  <dcterms:created xsi:type="dcterms:W3CDTF">2017-09-27T20:48:45Z</dcterms:created>
  <dcterms:modified xsi:type="dcterms:W3CDTF">2018-12-26T20:47:06Z</dcterms:modified>
</cp:coreProperties>
</file>