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AA.AD.EPA.GOV\ORD\ATH\USERS\N-Z\sghimire\Net MyDocuments\Research Contractor SR Ghimire\Journals for submissions\PLOS2018\PLOS submission DATA\Crop data\"/>
    </mc:Choice>
  </mc:AlternateContent>
  <xr:revisionPtr revIDLastSave="0" documentId="10_ncr:100000_{01DBB1B6-0A73-4DF8-8063-43A78CBAF016}" xr6:coauthVersionLast="31" xr6:coauthVersionMax="31" xr10:uidLastSave="{00000000-0000-0000-0000-000000000000}"/>
  <bookViews>
    <workbookView xWindow="0" yWindow="0" windowWidth="23040" windowHeight="9090" xr2:uid="{00000000-000D-0000-FFFF-FFFF00000000}"/>
  </bookViews>
  <sheets>
    <sheet name="Water needs entire AP basins " sheetId="2" r:id="rId1"/>
    <sheet name="Fig 3. Crop area &amp; water needs" sheetId="4" r:id="rId2"/>
    <sheet name="Table 4" sheetId="7" r:id="rId3"/>
  </sheets>
  <externalReferences>
    <externalReference r:id="rId4"/>
  </externalReference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7" l="1"/>
  <c r="O8" i="7"/>
  <c r="N8" i="7"/>
  <c r="M8" i="7"/>
  <c r="K8" i="7"/>
  <c r="L8" i="7" s="1"/>
  <c r="P7" i="7"/>
  <c r="O7" i="7"/>
  <c r="N7" i="7"/>
  <c r="M7" i="7"/>
  <c r="K7" i="7"/>
  <c r="L7" i="7" s="1"/>
  <c r="C7" i="7"/>
  <c r="P6" i="7"/>
  <c r="O6" i="7"/>
  <c r="N6" i="7"/>
  <c r="M6" i="7"/>
  <c r="K6" i="7"/>
  <c r="L6" i="7" s="1"/>
  <c r="P5" i="7"/>
  <c r="O5" i="7"/>
  <c r="N5" i="7"/>
  <c r="M5" i="7"/>
  <c r="K5" i="7"/>
  <c r="L5" i="7" s="1"/>
  <c r="C5" i="7"/>
  <c r="P4" i="7"/>
  <c r="O4" i="7"/>
  <c r="N4" i="7"/>
  <c r="M4" i="7"/>
  <c r="K4" i="7"/>
  <c r="L4" i="7" s="1"/>
  <c r="E14" i="4" l="1"/>
  <c r="D56" i="4"/>
  <c r="F7" i="4" s="1"/>
  <c r="D58" i="4" l="1"/>
  <c r="H31" i="4" l="1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26" i="4"/>
  <c r="H27" i="4"/>
  <c r="H28" i="4"/>
  <c r="H29" i="4"/>
  <c r="H24" i="4"/>
  <c r="F24" i="4"/>
  <c r="G12" i="4"/>
  <c r="H12" i="4" s="1"/>
  <c r="F50" i="4" l="1"/>
  <c r="F48" i="4"/>
  <c r="F46" i="4"/>
  <c r="F44" i="4"/>
  <c r="F42" i="4"/>
  <c r="F40" i="4"/>
  <c r="F38" i="4"/>
  <c r="F36" i="4"/>
  <c r="F34" i="4"/>
  <c r="F32" i="4"/>
  <c r="F49" i="4"/>
  <c r="F47" i="4"/>
  <c r="F45" i="4"/>
  <c r="F43" i="4"/>
  <c r="F41" i="4"/>
  <c r="F39" i="4"/>
  <c r="F37" i="4"/>
  <c r="F35" i="4"/>
  <c r="F33" i="4"/>
  <c r="F31" i="4"/>
  <c r="F28" i="4"/>
  <c r="F29" i="4"/>
  <c r="F27" i="4"/>
  <c r="F26" i="4"/>
  <c r="P7" i="2" l="1"/>
  <c r="Q7" i="2" s="1"/>
  <c r="A115" i="2" l="1"/>
  <c r="B115" i="2" s="1"/>
  <c r="G50" i="2"/>
  <c r="H50" i="2" s="1"/>
  <c r="H9" i="4" l="1"/>
  <c r="D89" i="4" l="1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H30" i="4"/>
  <c r="H25" i="4"/>
  <c r="H23" i="4"/>
  <c r="H22" i="4"/>
  <c r="H21" i="4"/>
  <c r="H20" i="4"/>
  <c r="H19" i="4"/>
  <c r="H18" i="4"/>
  <c r="H17" i="4"/>
  <c r="H11" i="4"/>
  <c r="H16" i="4"/>
  <c r="H10" i="4"/>
  <c r="I9" i="4"/>
  <c r="H8" i="4"/>
  <c r="H7" i="4"/>
  <c r="L9" i="4" l="1"/>
  <c r="I34" i="4"/>
  <c r="L34" i="4" s="1"/>
  <c r="I36" i="4"/>
  <c r="L36" i="4" s="1"/>
  <c r="I40" i="4"/>
  <c r="L40" i="4" s="1"/>
  <c r="I44" i="4"/>
  <c r="L44" i="4" s="1"/>
  <c r="I48" i="4"/>
  <c r="L48" i="4" s="1"/>
  <c r="I46" i="4"/>
  <c r="L46" i="4" s="1"/>
  <c r="I50" i="4"/>
  <c r="L50" i="4" s="1"/>
  <c r="I38" i="4"/>
  <c r="L38" i="4" s="1"/>
  <c r="I42" i="4"/>
  <c r="L42" i="4" s="1"/>
  <c r="I12" i="4"/>
  <c r="I28" i="4"/>
  <c r="L28" i="4" s="1"/>
  <c r="I31" i="4"/>
  <c r="L31" i="4" s="1"/>
  <c r="I32" i="4"/>
  <c r="L32" i="4" s="1"/>
  <c r="I24" i="4"/>
  <c r="L24" i="4" s="1"/>
  <c r="I35" i="4"/>
  <c r="L35" i="4" s="1"/>
  <c r="I45" i="4"/>
  <c r="L45" i="4" s="1"/>
  <c r="I27" i="4"/>
  <c r="L27" i="4" s="1"/>
  <c r="I41" i="4"/>
  <c r="L41" i="4" s="1"/>
  <c r="I26" i="4"/>
  <c r="L26" i="4" s="1"/>
  <c r="I49" i="4"/>
  <c r="L49" i="4" s="1"/>
  <c r="I39" i="4"/>
  <c r="L39" i="4" s="1"/>
  <c r="I37" i="4"/>
  <c r="L37" i="4" s="1"/>
  <c r="I47" i="4"/>
  <c r="L47" i="4" s="1"/>
  <c r="I29" i="4"/>
  <c r="L29" i="4" s="1"/>
  <c r="I33" i="4"/>
  <c r="L33" i="4" s="1"/>
  <c r="I43" i="4"/>
  <c r="L43" i="4" s="1"/>
  <c r="F56" i="4"/>
  <c r="F8" i="4"/>
  <c r="F30" i="4"/>
  <c r="I20" i="4"/>
  <c r="L20" i="4" s="1"/>
  <c r="I7" i="4"/>
  <c r="L7" i="4" s="1"/>
  <c r="I21" i="4"/>
  <c r="L21" i="4" s="1"/>
  <c r="I10" i="4"/>
  <c r="L10" i="4" s="1"/>
  <c r="I16" i="4"/>
  <c r="L16" i="4" s="1"/>
  <c r="F22" i="4"/>
  <c r="F10" i="4"/>
  <c r="F20" i="4"/>
  <c r="F11" i="4"/>
  <c r="F18" i="4"/>
  <c r="I19" i="4"/>
  <c r="L19" i="4" s="1"/>
  <c r="I30" i="4"/>
  <c r="L30" i="4" s="1"/>
  <c r="I25" i="4"/>
  <c r="L25" i="4" s="1"/>
  <c r="I8" i="4"/>
  <c r="L8" i="4" s="1"/>
  <c r="I17" i="4"/>
  <c r="L17" i="4" s="1"/>
  <c r="I22" i="4"/>
  <c r="L22" i="4" s="1"/>
  <c r="I11" i="4"/>
  <c r="L11" i="4" s="1"/>
  <c r="I23" i="4"/>
  <c r="L23" i="4" s="1"/>
  <c r="I18" i="4"/>
  <c r="L18" i="4" s="1"/>
  <c r="F9" i="4"/>
  <c r="F16" i="4"/>
  <c r="F17" i="4"/>
  <c r="F19" i="4"/>
  <c r="F21" i="4"/>
  <c r="F23" i="4"/>
  <c r="F25" i="4"/>
  <c r="F13" i="4" l="1"/>
  <c r="H7" i="2"/>
  <c r="F48" i="2"/>
  <c r="D79" i="2" l="1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E41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K9" i="2"/>
  <c r="H9" i="2"/>
  <c r="H8" i="2"/>
  <c r="K7" i="2" l="1"/>
  <c r="K50" i="2"/>
  <c r="E17" i="2"/>
  <c r="E22" i="2"/>
  <c r="E40" i="2"/>
  <c r="E13" i="2"/>
  <c r="E35" i="2"/>
  <c r="E14" i="2"/>
  <c r="E19" i="2"/>
  <c r="E10" i="2"/>
  <c r="E24" i="2"/>
  <c r="E15" i="2"/>
  <c r="E7" i="2"/>
  <c r="E30" i="2"/>
  <c r="E20" i="2"/>
  <c r="E12" i="2"/>
  <c r="E26" i="2"/>
  <c r="E9" i="2"/>
  <c r="E23" i="2"/>
  <c r="K17" i="2"/>
  <c r="L17" i="2" s="1"/>
  <c r="K40" i="2"/>
  <c r="L40" i="2" s="1"/>
  <c r="K14" i="2"/>
  <c r="L14" i="2" s="1"/>
  <c r="K24" i="2"/>
  <c r="L24" i="2" s="1"/>
  <c r="K12" i="2"/>
  <c r="L7" i="2"/>
  <c r="K10" i="2"/>
  <c r="L10" i="2" s="1"/>
  <c r="K31" i="2"/>
  <c r="L31" i="2" s="1"/>
  <c r="E8" i="2"/>
  <c r="E11" i="2"/>
  <c r="K13" i="2"/>
  <c r="E16" i="2"/>
  <c r="E27" i="2"/>
  <c r="E32" i="2"/>
  <c r="E37" i="2"/>
  <c r="E42" i="2"/>
  <c r="E18" i="2"/>
  <c r="E21" i="2"/>
  <c r="K45" i="2"/>
  <c r="L45" i="2" s="1"/>
  <c r="K23" i="2"/>
  <c r="L23" i="2" s="1"/>
  <c r="K8" i="2"/>
  <c r="K11" i="2"/>
  <c r="L11" i="2" s="1"/>
  <c r="K16" i="2"/>
  <c r="L16" i="2" s="1"/>
  <c r="E25" i="2"/>
  <c r="K33" i="2"/>
  <c r="L33" i="2" s="1"/>
  <c r="E43" i="2"/>
  <c r="K20" i="2"/>
  <c r="L20" i="2" s="1"/>
  <c r="E29" i="2"/>
  <c r="E34" i="2"/>
  <c r="K26" i="2"/>
  <c r="L26" i="2" s="1"/>
  <c r="K15" i="2"/>
  <c r="L15" i="2" s="1"/>
  <c r="K29" i="2"/>
  <c r="L29" i="2" s="1"/>
  <c r="K36" i="2"/>
  <c r="L36" i="2" s="1"/>
  <c r="K34" i="2"/>
  <c r="L34" i="2" s="1"/>
  <c r="K41" i="2"/>
  <c r="L41" i="2" s="1"/>
  <c r="K18" i="2"/>
  <c r="L18" i="2" s="1"/>
  <c r="K25" i="2"/>
  <c r="L25" i="2" s="1"/>
  <c r="K39" i="2"/>
  <c r="L39" i="2" s="1"/>
  <c r="K21" i="2"/>
  <c r="L21" i="2" s="1"/>
  <c r="K44" i="2"/>
  <c r="L44" i="2" s="1"/>
  <c r="K22" i="2"/>
  <c r="L22" i="2" s="1"/>
  <c r="K46" i="2"/>
  <c r="L46" i="2" s="1"/>
  <c r="K38" i="2"/>
  <c r="L38" i="2" s="1"/>
  <c r="K30" i="2"/>
  <c r="L30" i="2" s="1"/>
  <c r="K19" i="2"/>
  <c r="L19" i="2" s="1"/>
  <c r="K43" i="2"/>
  <c r="L43" i="2" s="1"/>
  <c r="K35" i="2"/>
  <c r="L35" i="2" s="1"/>
  <c r="K27" i="2"/>
  <c r="L27" i="2" s="1"/>
  <c r="L9" i="2"/>
  <c r="K28" i="2"/>
  <c r="L28" i="2" s="1"/>
  <c r="K32" i="2"/>
  <c r="L32" i="2" s="1"/>
  <c r="K37" i="2"/>
  <c r="L37" i="2" s="1"/>
  <c r="K42" i="2"/>
  <c r="L42" i="2" s="1"/>
  <c r="E28" i="2"/>
  <c r="E36" i="2"/>
  <c r="E44" i="2"/>
  <c r="E45" i="2"/>
  <c r="E38" i="2"/>
  <c r="E46" i="2"/>
  <c r="E31" i="2"/>
  <c r="E39" i="2"/>
  <c r="E48" i="2"/>
  <c r="E33" i="2"/>
  <c r="L8" i="2" l="1"/>
  <c r="P8" i="2"/>
  <c r="Q8" i="2" s="1"/>
  <c r="L13" i="2"/>
  <c r="P12" i="2"/>
  <c r="Q12" i="2" s="1"/>
  <c r="P10" i="2"/>
  <c r="Q10" i="2" s="1"/>
  <c r="L50" i="2"/>
  <c r="L12" i="2"/>
  <c r="P9" i="2"/>
  <c r="Q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Ghimire, Santosh</author>
  </authors>
  <commentList>
    <comment ref="A10" authorId="0" shapeId="0" xr:uid="{00000000-0006-0000-0200-000001000000}">
      <text>
        <r>
          <rPr>
            <b/>
            <sz val="9"/>
            <color indexed="8"/>
            <rFont val="Tahoma"/>
            <family val="2"/>
          </rPr>
          <t>Ghimire, Santosh:</t>
        </r>
        <r>
          <rPr>
            <sz val="9"/>
            <color indexed="8"/>
            <rFont val="Tahoma"/>
            <family val="2"/>
          </rPr>
          <t xml:space="preserve">
Currently no Quinoa in the Albemarle-Pamlico site, so assumed a what if scenario equal to wheat.</t>
        </r>
      </text>
    </comment>
  </commentList>
</comments>
</file>

<file path=xl/sharedStrings.xml><?xml version="1.0" encoding="utf-8"?>
<sst xmlns="http://schemas.openxmlformats.org/spreadsheetml/2006/main" count="613" uniqueCount="194">
  <si>
    <t>Alfalfa</t>
  </si>
  <si>
    <t>Cotton</t>
  </si>
  <si>
    <t>Corn</t>
  </si>
  <si>
    <t>Soybean</t>
  </si>
  <si>
    <t>Rice (paddy)</t>
  </si>
  <si>
    <t>Crop</t>
  </si>
  <si>
    <t>Crop water need</t>
  </si>
  <si>
    <t>Sensitivity to drought</t>
  </si>
  <si>
    <t>Average</t>
  </si>
  <si>
    <t>(mm/total growing period)</t>
  </si>
  <si>
    <t>mm/yr</t>
  </si>
  <si>
    <t>800-1600</t>
  </si>
  <si>
    <t>low-medium</t>
  </si>
  <si>
    <t>Banana</t>
  </si>
  <si>
    <t>1200-2200</t>
  </si>
  <si>
    <t>high</t>
  </si>
  <si>
    <t>Barley/Oats/Wheat</t>
  </si>
  <si>
    <t>450-650</t>
  </si>
  <si>
    <t>Bean</t>
  </si>
  <si>
    <t>300-500</t>
  </si>
  <si>
    <t>medium-high</t>
  </si>
  <si>
    <t>Cabbage</t>
  </si>
  <si>
    <t>350-500</t>
  </si>
  <si>
    <t>Citrus</t>
  </si>
  <si>
    <t>900-1200</t>
  </si>
  <si>
    <t>700-1300</t>
  </si>
  <si>
    <t>low</t>
  </si>
  <si>
    <t>Sunflower</t>
  </si>
  <si>
    <t>Maize</t>
  </si>
  <si>
    <t>500-800</t>
  </si>
  <si>
    <t>Melon</t>
  </si>
  <si>
    <t>400-600</t>
  </si>
  <si>
    <t>Onion</t>
  </si>
  <si>
    <t>350-550</t>
  </si>
  <si>
    <t>Peanut</t>
  </si>
  <si>
    <t>500-700</t>
  </si>
  <si>
    <t>Pea</t>
  </si>
  <si>
    <t>Pepper</t>
  </si>
  <si>
    <t>600-900</t>
  </si>
  <si>
    <t>Potato</t>
  </si>
  <si>
    <t>450-700</t>
  </si>
  <si>
    <t>Sorghum/Millet</t>
  </si>
  <si>
    <t>Sugarbeet</t>
  </si>
  <si>
    <t>550-750</t>
  </si>
  <si>
    <t>Sugarcane</t>
  </si>
  <si>
    <t>1500-2500</t>
  </si>
  <si>
    <t>600-1000</t>
  </si>
  <si>
    <t>Tomato</t>
  </si>
  <si>
    <t>400-800</t>
  </si>
  <si>
    <t>Wc/Wrc</t>
  </si>
  <si>
    <t>Rank</t>
  </si>
  <si>
    <t>Grass/Pasture, Other Hay/Non Alfalfa, Alfalfa, Switchgrass, Sod/Grass Seed</t>
  </si>
  <si>
    <t>Pasture-Grass</t>
  </si>
  <si>
    <t>Soybeans, Dbl Crop WinWht/Soybeans,Dbl Crop Barley/Soybeans,Dbl Crop Corn/Soybeans</t>
  </si>
  <si>
    <t>Soybeans</t>
  </si>
  <si>
    <t>Corn,Dbl Crop Barley/Corn,Dbl Crop WinWht/Corn, Dbl Crop Oats/Corn, Sweet Corn</t>
  </si>
  <si>
    <t>Cotton,Dbl Crop WinWht/Cotton, Dbl Crop Soybeans/Cotton</t>
  </si>
  <si>
    <t>Tobacco</t>
  </si>
  <si>
    <t>Winter Wheat</t>
  </si>
  <si>
    <t>Wheat</t>
  </si>
  <si>
    <t>Peanuts</t>
  </si>
  <si>
    <t>Sorghum, Dbl Crop WinWht/Sorghum, Dbl Crop Barley/Sorghum</t>
  </si>
  <si>
    <t>Sorghum</t>
  </si>
  <si>
    <t>Sweet Potatoes</t>
  </si>
  <si>
    <t xml:space="preserve"> Assume similar to wheat</t>
  </si>
  <si>
    <t>Other Crops</t>
  </si>
  <si>
    <t>Millet</t>
  </si>
  <si>
    <t>Dbl Crop Soybeans/Oats</t>
  </si>
  <si>
    <t>Oats</t>
  </si>
  <si>
    <t>Cereals family (assume similar to wheat)</t>
  </si>
  <si>
    <t>Rye</t>
  </si>
  <si>
    <t xml:space="preserve">Rye </t>
  </si>
  <si>
    <t>Potatoes</t>
  </si>
  <si>
    <t>Barley</t>
  </si>
  <si>
    <t>Oil crop (assume similar to sunflower)</t>
  </si>
  <si>
    <t>Rape Seed</t>
  </si>
  <si>
    <t>Watermelons</t>
  </si>
  <si>
    <t xml:space="preserve"> Vegetables - Cucumber Family (assume similar Watermelons)</t>
  </si>
  <si>
    <t>Cucumbers</t>
  </si>
  <si>
    <t>Peppers</t>
  </si>
  <si>
    <t>Cereals family (wheat/rye hybrid) assume as wheat</t>
  </si>
  <si>
    <t>Triticale</t>
  </si>
  <si>
    <t xml:space="preserve">Triticale </t>
  </si>
  <si>
    <t>Grapes and Berries</t>
  </si>
  <si>
    <t>Blueberries</t>
  </si>
  <si>
    <t>Grapes</t>
  </si>
  <si>
    <t>Vegetables - Cucumber Family</t>
  </si>
  <si>
    <t>Pumpkins</t>
  </si>
  <si>
    <t>Dry Beans</t>
  </si>
  <si>
    <t>Squash</t>
  </si>
  <si>
    <t>Peaches</t>
  </si>
  <si>
    <t>Pecans</t>
  </si>
  <si>
    <t>Apples</t>
  </si>
  <si>
    <t>Greens</t>
  </si>
  <si>
    <t>Peas</t>
  </si>
  <si>
    <t>Perennial Vegetables, assume similar to vegetable, cucumber)</t>
  </si>
  <si>
    <t>Asparagus</t>
  </si>
  <si>
    <t>Clover/Wildflowers</t>
  </si>
  <si>
    <t>Tomatoes</t>
  </si>
  <si>
    <t>Misc Vegs &amp; Fruits</t>
  </si>
  <si>
    <t>Canola</t>
  </si>
  <si>
    <t>Onions</t>
  </si>
  <si>
    <t>Perennial Vegetables (assume similar to  vegetables, cucumber)</t>
  </si>
  <si>
    <t>Strawberries</t>
  </si>
  <si>
    <t>Fibre Crops (assume similar to cotton)</t>
  </si>
  <si>
    <t>Flaxseed</t>
  </si>
  <si>
    <t>Total</t>
  </si>
  <si>
    <t xml:space="preserve">Other Crops (Canola, Flaxseed, Safflower &amp; very small acreage crops) </t>
  </si>
  <si>
    <t>http://isgs.illinois.edu/nsdihome/webdocs/landcover/nass99-06.html</t>
  </si>
  <si>
    <t>http://www.fao.org/docrep/S2022E/s2022e07.htm#3.3.4 indicative values of crop water needs</t>
  </si>
  <si>
    <t>Water need Table</t>
  </si>
  <si>
    <t>Root &amp; Tubers family (similar to potatoes)</t>
  </si>
  <si>
    <t>http://www.fao.org/es/faodef/fdef02e.htm</t>
  </si>
  <si>
    <t>http://www.fao.org/es/faodef/fdef01e.htm</t>
  </si>
  <si>
    <t>http://www.fao.org/es/faodef/fdef06e.htm</t>
  </si>
  <si>
    <t>Bryla et al. 2011: HORTSCIENCE 46(1):95–101. 2011.</t>
  </si>
  <si>
    <t>(ETc)</t>
  </si>
  <si>
    <t>Irrigation</t>
  </si>
  <si>
    <t>(mm)</t>
  </si>
  <si>
    <t>Sprinkler</t>
  </si>
  <si>
    <t>Microspray</t>
  </si>
  <si>
    <t>Drip</t>
  </si>
  <si>
    <t>ETc</t>
  </si>
  <si>
    <t>Total irrigation water applied to blueberry</t>
  </si>
  <si>
    <t>crop evapotranspiration ETc</t>
  </si>
  <si>
    <t>Bryla et al. 2011</t>
  </si>
  <si>
    <t>Water need data source</t>
  </si>
  <si>
    <t>http://www.lsuagcenter.com/profiles/rbogren/articles/page1459783278461</t>
  </si>
  <si>
    <t>The cucumber family, properly known as the Cucurbitaceae, provides:</t>
  </si>
  <si>
    <t xml:space="preserve"> a wide variety of vegetables popular for the spring, summer and fall home vegetable garden. </t>
  </si>
  <si>
    <t>They include summer squash, zucchini, winter squash, mirliton, pumpkin, gourd, cucuzzi, watermelon, cantaloupe, cushaw, luffa and, of course, cucumber.</t>
  </si>
  <si>
    <t>Forages (assume similar to Alfalfa Grass/Pasture)</t>
  </si>
  <si>
    <t>NOTE TO WATER NEEDS DATA SOURCE</t>
  </si>
  <si>
    <t>Brouwer and Heibloem 1986</t>
  </si>
  <si>
    <t>FAO Manual</t>
  </si>
  <si>
    <t>Crop details</t>
  </si>
  <si>
    <t>Crop summary</t>
  </si>
  <si>
    <t>Wc (mm/y)</t>
  </si>
  <si>
    <t>Volume = area x depth (m3)</t>
  </si>
  <si>
    <t xml:space="preserve">Farm area (m2) </t>
  </si>
  <si>
    <t>Comments on data source</t>
  </si>
  <si>
    <t>Fruit Trees (assume similar to citrus)</t>
  </si>
  <si>
    <t>Small Vegetables (assume similar to cabbage)</t>
  </si>
  <si>
    <t>Assume similar to sunflower</t>
  </si>
  <si>
    <t>Crop water needs and crop area in entire AP basins</t>
  </si>
  <si>
    <t>Crop area (%)</t>
  </si>
  <si>
    <t>Irrigation water needs (mm)</t>
  </si>
  <si>
    <t>Total crop area in each physiographic province</t>
  </si>
  <si>
    <t>Number of agricultural RWH systems in each physiographic province</t>
  </si>
  <si>
    <t>α</t>
  </si>
  <si>
    <t>Highlands</t>
  </si>
  <si>
    <t>Piedmont</t>
  </si>
  <si>
    <t>Coastal</t>
  </si>
  <si>
    <t>Brouwer and Heibloem (1986)</t>
  </si>
  <si>
    <t>Bryla et al.(2011)</t>
  </si>
  <si>
    <t>Root and Tubers family (similar to potatoes)</t>
  </si>
  <si>
    <t>Crop area, A (% of total)</t>
  </si>
  <si>
    <t>Brouwer and Heibloem (1986); Ghimire and Johnston (2013)</t>
  </si>
  <si>
    <t>Supplemental irrigation water need, Sc (mm/y)</t>
  </si>
  <si>
    <t>α (Wc/Wrc)</t>
  </si>
  <si>
    <t>Crop water need, Wc (mm/y)</t>
  </si>
  <si>
    <t>None</t>
  </si>
  <si>
    <t xml:space="preserve">Comments on data </t>
  </si>
  <si>
    <t>Quinoa</t>
  </si>
  <si>
    <t>Crops Not in the Albemarle-Pamlico river basin</t>
  </si>
  <si>
    <t>inch</t>
  </si>
  <si>
    <t>mm</t>
  </si>
  <si>
    <t>Alpha</t>
  </si>
  <si>
    <t>https://hort.purdue.edu/newcrop/afcm/quinoa.html</t>
  </si>
  <si>
    <t>Albemarle-Pamlico Total</t>
  </si>
  <si>
    <t>All others</t>
  </si>
  <si>
    <t>Not applicable</t>
  </si>
  <si>
    <t>Oelke  et al. (1992)</t>
  </si>
  <si>
    <t>Table S2. A summary of cropland, supplemental water needs, and RWH systems.</t>
  </si>
  <si>
    <t>Cropland cover type</t>
  </si>
  <si>
    <t>Parameter</t>
  </si>
  <si>
    <t>Supplemental irrigation water need, Sc (m/y)</t>
  </si>
  <si>
    <t>25% RWH</t>
  </si>
  <si>
    <r>
      <t xml:space="preserve">Crop, </t>
    </r>
    <r>
      <rPr>
        <i/>
        <sz val="10"/>
        <color indexed="8"/>
        <rFont val="Times New Roman"/>
        <family val="1"/>
      </rPr>
      <t>i</t>
    </r>
  </si>
  <si>
    <t>(m/y)</t>
  </si>
  <si>
    <r>
      <t>Highlands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</si>
  <si>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Piedmont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</si>
  <si>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Coastal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</si>
  <si>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Total crop area (m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</si>
  <si>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Albemarle-Pamlico Basin</t>
  </si>
  <si>
    <t>-</t>
  </si>
  <si>
    <t>Not available</t>
  </si>
  <si>
    <t>(Arranged by supplemental irrigation need or α parameter)</t>
  </si>
  <si>
    <t>For the details of crop areas, see:</t>
  </si>
  <si>
    <t>coastal_plains_crop_area.xlsx</t>
  </si>
  <si>
    <t>piedmont_crop_area.xlsx</t>
  </si>
  <si>
    <t>highlands_crop_area.xlsx</t>
  </si>
  <si>
    <t>\\AA.AD.EPA.GOV\ORD\ATH\USERS\N-Z\sghimire\Net MyDocuments\Research Contractor SR Ghimire\Journals for submissions\PNAS 2018\PNAS submission related data, April.30.18</t>
  </si>
  <si>
    <t>File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</si>
</sst>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rgb="FF2E74B5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2" fontId="0" fillId="0" borderId="1" xfId="0" applyNumberFormat="1" applyBorder="1"/>
    <xf numFmtId="43" fontId="0" fillId="0" borderId="0" xfId="0" applyNumberFormat="1"/>
    <xf numFmtId="0" fontId="0" fillId="0" borderId="1" xfId="0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>
      <alignment wrapText="1"/>
    </xf>
    <xf numFmtId="164" fontId="0" fillId="0" borderId="1" xfId="1" applyNumberFormat="1" applyFont="1" applyBorder="1"/>
    <xf numFmtId="43" fontId="0" fillId="0" borderId="1" xfId="1" applyNumberFormat="1" applyFont="1" applyBorder="1"/>
    <xf numFmtId="165" fontId="0" fillId="0" borderId="1" xfId="0" applyNumberFormat="1" applyBorder="1"/>
    <xf numFmtId="164" fontId="0" fillId="0" borderId="3" xfId="1" applyNumberFormat="1" applyFont="1" applyBorder="1"/>
    <xf numFmtId="2" fontId="0" fillId="0" borderId="2" xfId="0" applyNumberFormat="1" applyBorder="1"/>
    <xf numFmtId="164" fontId="0" fillId="0" borderId="2" xfId="1" applyNumberFormat="1" applyFont="1" applyBorder="1"/>
    <xf numFmtId="164" fontId="0" fillId="2" borderId="0" xfId="1" applyNumberFormat="1" applyFont="1" applyFill="1"/>
    <xf numFmtId="164" fontId="0" fillId="0" borderId="0" xfId="1" applyNumberFormat="1" applyFont="1"/>
    <xf numFmtId="0" fontId="5" fillId="0" borderId="0" xfId="0" applyFont="1"/>
    <xf numFmtId="0" fontId="6" fillId="0" borderId="0" xfId="2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1" xfId="0" applyFont="1" applyBorder="1"/>
    <xf numFmtId="164" fontId="8" fillId="0" borderId="1" xfId="1" applyNumberFormat="1" applyFont="1" applyBorder="1"/>
    <xf numFmtId="164" fontId="8" fillId="0" borderId="4" xfId="1" applyNumberFormat="1" applyFont="1" applyBorder="1"/>
    <xf numFmtId="0" fontId="8" fillId="0" borderId="1" xfId="0" applyFont="1" applyBorder="1"/>
    <xf numFmtId="0" fontId="0" fillId="0" borderId="1" xfId="0" applyFill="1" applyBorder="1"/>
    <xf numFmtId="2" fontId="0" fillId="0" borderId="1" xfId="0" applyNumberFormat="1" applyFill="1" applyBorder="1"/>
    <xf numFmtId="164" fontId="0" fillId="0" borderId="1" xfId="1" applyNumberFormat="1" applyFont="1" applyFill="1" applyBorder="1"/>
    <xf numFmtId="164" fontId="8" fillId="0" borderId="1" xfId="1" applyNumberFormat="1" applyFont="1" applyFill="1" applyBorder="1"/>
    <xf numFmtId="43" fontId="0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65" fontId="0" fillId="0" borderId="1" xfId="0" applyNumberFormat="1" applyFill="1" applyBorder="1"/>
    <xf numFmtId="9" fontId="0" fillId="0" borderId="1" xfId="0" applyNumberFormat="1" applyBorder="1"/>
    <xf numFmtId="9" fontId="2" fillId="0" borderId="1" xfId="0" applyNumberFormat="1" applyFont="1" applyBorder="1"/>
    <xf numFmtId="0" fontId="4" fillId="0" borderId="1" xfId="0" applyFont="1" applyBorder="1"/>
    <xf numFmtId="0" fontId="2" fillId="0" borderId="0" xfId="0" applyFont="1" applyBorder="1"/>
    <xf numFmtId="0" fontId="9" fillId="0" borderId="0" xfId="0" applyFont="1"/>
    <xf numFmtId="0" fontId="10" fillId="0" borderId="0" xfId="0" applyFont="1"/>
    <xf numFmtId="0" fontId="6" fillId="0" borderId="1" xfId="2" applyBorder="1"/>
    <xf numFmtId="43" fontId="0" fillId="0" borderId="0" xfId="0" applyNumberFormat="1" applyBorder="1"/>
    <xf numFmtId="2" fontId="0" fillId="0" borderId="0" xfId="0" applyNumberFormat="1" applyBorder="1"/>
    <xf numFmtId="43" fontId="0" fillId="0" borderId="0" xfId="1" applyNumberFormat="1" applyFont="1" applyBorder="1"/>
    <xf numFmtId="2" fontId="0" fillId="2" borderId="1" xfId="0" applyNumberFormat="1" applyFill="1" applyBorder="1"/>
    <xf numFmtId="164" fontId="0" fillId="2" borderId="1" xfId="1" applyNumberFormat="1" applyFont="1" applyFill="1" applyBorder="1"/>
    <xf numFmtId="166" fontId="0" fillId="0" borderId="1" xfId="0" applyNumberFormat="1" applyBorder="1"/>
    <xf numFmtId="0" fontId="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4" fontId="13" fillId="0" borderId="4" xfId="1" applyNumberFormat="1" applyFont="1" applyBorder="1"/>
    <xf numFmtId="164" fontId="13" fillId="0" borderId="4" xfId="1" applyNumberFormat="1" applyFont="1" applyFill="1" applyBorder="1"/>
    <xf numFmtId="0" fontId="13" fillId="0" borderId="5" xfId="0" applyFont="1" applyBorder="1" applyAlignment="1"/>
    <xf numFmtId="0" fontId="13" fillId="0" borderId="5" xfId="0" applyFont="1" applyFill="1" applyBorder="1" applyAlignment="1"/>
    <xf numFmtId="0" fontId="13" fillId="0" borderId="7" xfId="0" applyFont="1" applyBorder="1" applyAlignment="1"/>
    <xf numFmtId="43" fontId="13" fillId="0" borderId="1" xfId="1" applyNumberFormat="1" applyFont="1" applyBorder="1" applyAlignment="1"/>
    <xf numFmtId="43" fontId="13" fillId="0" borderId="6" xfId="1" applyNumberFormat="1" applyFont="1" applyBorder="1" applyAlignment="1"/>
    <xf numFmtId="0" fontId="14" fillId="0" borderId="0" xfId="0" applyFont="1" applyAlignment="1">
      <alignment wrapText="1"/>
    </xf>
    <xf numFmtId="2" fontId="0" fillId="0" borderId="0" xfId="0" applyNumberFormat="1"/>
    <xf numFmtId="164" fontId="0" fillId="0" borderId="0" xfId="1" applyNumberFormat="1" applyFont="1" applyBorder="1"/>
    <xf numFmtId="0" fontId="16" fillId="0" borderId="0" xfId="0" applyFont="1"/>
    <xf numFmtId="165" fontId="0" fillId="0" borderId="1" xfId="1" applyNumberFormat="1" applyFont="1" applyBorder="1"/>
    <xf numFmtId="0" fontId="0" fillId="0" borderId="0" xfId="0" applyFill="1" applyBorder="1" applyAlignment="1">
      <alignment wrapText="1"/>
    </xf>
    <xf numFmtId="0" fontId="13" fillId="0" borderId="3" xfId="0" applyFont="1" applyBorder="1"/>
    <xf numFmtId="0" fontId="13" fillId="0" borderId="3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164" fontId="15" fillId="0" borderId="1" xfId="1" applyNumberFormat="1" applyFont="1" applyBorder="1"/>
    <xf numFmtId="166" fontId="15" fillId="0" borderId="1" xfId="0" applyNumberFormat="1" applyFont="1" applyBorder="1" applyAlignment="1"/>
    <xf numFmtId="164" fontId="17" fillId="0" borderId="1" xfId="1" applyNumberFormat="1" applyFont="1" applyBorder="1" applyAlignment="1"/>
    <xf numFmtId="43" fontId="15" fillId="0" borderId="1" xfId="1" applyNumberFormat="1" applyFont="1" applyBorder="1" applyAlignment="1"/>
    <xf numFmtId="165" fontId="15" fillId="0" borderId="1" xfId="0" applyNumberFormat="1" applyFont="1" applyBorder="1" applyAlignment="1"/>
    <xf numFmtId="2" fontId="15" fillId="0" borderId="1" xfId="0" applyNumberFormat="1" applyFont="1" applyBorder="1" applyAlignment="1"/>
    <xf numFmtId="0" fontId="15" fillId="0" borderId="1" xfId="0" applyFont="1" applyFill="1" applyBorder="1"/>
    <xf numFmtId="164" fontId="15" fillId="0" borderId="1" xfId="1" applyNumberFormat="1" applyFont="1" applyFill="1" applyBorder="1"/>
    <xf numFmtId="0" fontId="15" fillId="0" borderId="1" xfId="0" applyFont="1" applyFill="1" applyBorder="1" applyAlignment="1"/>
    <xf numFmtId="2" fontId="15" fillId="0" borderId="1" xfId="0" applyNumberFormat="1" applyFont="1" applyFill="1" applyBorder="1" applyAlignment="1"/>
    <xf numFmtId="164" fontId="17" fillId="0" borderId="1" xfId="1" applyNumberFormat="1" applyFont="1" applyFill="1" applyBorder="1" applyAlignment="1"/>
    <xf numFmtId="43" fontId="15" fillId="0" borderId="1" xfId="1" applyNumberFormat="1" applyFont="1" applyFill="1" applyBorder="1" applyAlignment="1"/>
    <xf numFmtId="165" fontId="15" fillId="0" borderId="1" xfId="0" applyNumberFormat="1" applyFont="1" applyFill="1" applyBorder="1" applyAlignment="1"/>
    <xf numFmtId="0" fontId="15" fillId="0" borderId="3" xfId="0" applyFont="1" applyBorder="1" applyAlignment="1">
      <alignment wrapText="1"/>
    </xf>
    <xf numFmtId="164" fontId="15" fillId="0" borderId="3" xfId="1" applyNumberFormat="1" applyFont="1" applyBorder="1"/>
    <xf numFmtId="164" fontId="15" fillId="0" borderId="3" xfId="1" applyNumberFormat="1" applyFont="1" applyFill="1" applyBorder="1"/>
    <xf numFmtId="165" fontId="15" fillId="0" borderId="1" xfId="1" applyNumberFormat="1" applyFont="1" applyFill="1" applyBorder="1"/>
    <xf numFmtId="43" fontId="15" fillId="0" borderId="1" xfId="1" applyNumberFormat="1" applyFont="1" applyFill="1" applyBorder="1"/>
    <xf numFmtId="164" fontId="0" fillId="0" borderId="0" xfId="1" applyNumberFormat="1" applyFont="1" applyFill="1"/>
    <xf numFmtId="0" fontId="15" fillId="0" borderId="0" xfId="0" applyFont="1" applyFill="1" applyBorder="1"/>
    <xf numFmtId="166" fontId="15" fillId="0" borderId="1" xfId="0" applyNumberFormat="1" applyFont="1" applyFill="1" applyBorder="1"/>
    <xf numFmtId="0" fontId="0" fillId="3" borderId="0" xfId="0" applyFill="1"/>
    <xf numFmtId="0" fontId="13" fillId="0" borderId="8" xfId="0" applyFont="1" applyBorder="1" applyAlignment="1">
      <alignment wrapText="1"/>
    </xf>
    <xf numFmtId="0" fontId="13" fillId="0" borderId="9" xfId="0" applyFont="1" applyBorder="1" applyAlignment="1"/>
    <xf numFmtId="0" fontId="11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1" fillId="0" borderId="1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/>
    </xf>
    <xf numFmtId="2" fontId="18" fillId="0" borderId="1" xfId="1" applyNumberFormat="1" applyFont="1" applyFill="1" applyBorder="1" applyAlignment="1">
      <alignment horizontal="right"/>
    </xf>
    <xf numFmtId="167" fontId="18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1" fillId="0" borderId="1" xfId="1" applyNumberFormat="1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right" vertical="center"/>
    </xf>
    <xf numFmtId="167" fontId="11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0" fillId="0" borderId="0" xfId="0" applyNumberFormat="1"/>
    <xf numFmtId="0" fontId="7" fillId="0" borderId="0" xfId="0" applyFont="1"/>
    <xf numFmtId="0" fontId="7" fillId="0" borderId="0" xfId="0" applyFont="1" applyFill="1" applyBorder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313958949026"/>
          <c:y val="3.232027673913649E-2"/>
          <c:w val="0.69805359423193414"/>
          <c:h val="0.89606176151751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'Water needs entire AP basins '!$E$6</c:f>
              <c:strCache>
                <c:ptCount val="1"/>
                <c:pt idx="0">
                  <c:v>Crop area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'Water needs entire AP basins '!$D$7:$D$46</c:f>
              <c:strCache>
                <c:ptCount val="40"/>
                <c:pt idx="0">
                  <c:v>Pasture-Grass</c:v>
                </c:pt>
                <c:pt idx="1">
                  <c:v>Soybeans</c:v>
                </c:pt>
                <c:pt idx="2">
                  <c:v>Corn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Peanuts</c:v>
                </c:pt>
                <c:pt idx="7">
                  <c:v>Sorghum</c:v>
                </c:pt>
                <c:pt idx="8">
                  <c:v>Sweet Potatoes</c:v>
                </c:pt>
                <c:pt idx="9">
                  <c:v>Other Crops</c:v>
                </c:pt>
                <c:pt idx="10">
                  <c:v>Millet</c:v>
                </c:pt>
                <c:pt idx="11">
                  <c:v>Oats</c:v>
                </c:pt>
                <c:pt idx="12">
                  <c:v>Rye </c:v>
                </c:pt>
                <c:pt idx="13">
                  <c:v>Potatoes</c:v>
                </c:pt>
                <c:pt idx="14">
                  <c:v>Barley</c:v>
                </c:pt>
                <c:pt idx="15">
                  <c:v>Rape Seed</c:v>
                </c:pt>
                <c:pt idx="16">
                  <c:v>Watermelons</c:v>
                </c:pt>
                <c:pt idx="17">
                  <c:v>Cucumbers</c:v>
                </c:pt>
                <c:pt idx="18">
                  <c:v>Peppers</c:v>
                </c:pt>
                <c:pt idx="19">
                  <c:v>Triticale </c:v>
                </c:pt>
                <c:pt idx="20">
                  <c:v>Blueberries</c:v>
                </c:pt>
                <c:pt idx="21">
                  <c:v>Grapes</c:v>
                </c:pt>
                <c:pt idx="22">
                  <c:v>Pumpkins</c:v>
                </c:pt>
                <c:pt idx="23">
                  <c:v>Dry Beans</c:v>
                </c:pt>
                <c:pt idx="24">
                  <c:v>Squash</c:v>
                </c:pt>
                <c:pt idx="25">
                  <c:v>Peaches</c:v>
                </c:pt>
                <c:pt idx="26">
                  <c:v>Sunflower</c:v>
                </c:pt>
                <c:pt idx="27">
                  <c:v>Pecans</c:v>
                </c:pt>
                <c:pt idx="28">
                  <c:v>Apples</c:v>
                </c:pt>
                <c:pt idx="29">
                  <c:v>Greens</c:v>
                </c:pt>
                <c:pt idx="30">
                  <c:v>Cabbage</c:v>
                </c:pt>
                <c:pt idx="31">
                  <c:v>Peas</c:v>
                </c:pt>
                <c:pt idx="32">
                  <c:v>Asparagus</c:v>
                </c:pt>
                <c:pt idx="33">
                  <c:v>Clover/Wildflowers</c:v>
                </c:pt>
                <c:pt idx="34">
                  <c:v>Tomatoes</c:v>
                </c:pt>
                <c:pt idx="35">
                  <c:v>Misc Vegs &amp; Fruits</c:v>
                </c:pt>
                <c:pt idx="36">
                  <c:v>Canola</c:v>
                </c:pt>
                <c:pt idx="37">
                  <c:v>Onions</c:v>
                </c:pt>
                <c:pt idx="38">
                  <c:v>Strawberries</c:v>
                </c:pt>
                <c:pt idx="39">
                  <c:v>Flaxseed</c:v>
                </c:pt>
              </c:strCache>
            </c:strRef>
          </c:cat>
          <c:val>
            <c:numRef>
              <c:f>'Water needs entire AP basins '!$E$7:$E$46</c:f>
              <c:numCache>
                <c:formatCode>0.0</c:formatCode>
                <c:ptCount val="40"/>
                <c:pt idx="0">
                  <c:v>42.249369903128915</c:v>
                </c:pt>
                <c:pt idx="1">
                  <c:v>29.198908768990385</c:v>
                </c:pt>
                <c:pt idx="2">
                  <c:v>12.774555008527365</c:v>
                </c:pt>
                <c:pt idx="3">
                  <c:v>10.493756188493519</c:v>
                </c:pt>
                <c:pt idx="4">
                  <c:v>1.428345332887897</c:v>
                </c:pt>
                <c:pt idx="5">
                  <c:v>1.1878842194995103</c:v>
                </c:pt>
                <c:pt idx="6">
                  <c:v>1.115683163468284</c:v>
                </c:pt>
                <c:pt idx="7" formatCode="0.00">
                  <c:v>0.86441311340951399</c:v>
                </c:pt>
                <c:pt idx="8" formatCode="0.00">
                  <c:v>0.29214782626247154</c:v>
                </c:pt>
                <c:pt idx="9" formatCode="0.00">
                  <c:v>7.2941458761265676E-2</c:v>
                </c:pt>
                <c:pt idx="10" formatCode="0.00">
                  <c:v>6.7725628064300533E-2</c:v>
                </c:pt>
                <c:pt idx="11" formatCode="0.00">
                  <c:v>8.4792618382851029E-2</c:v>
                </c:pt>
                <c:pt idx="12" formatCode="0.00">
                  <c:v>3.8090655098903657E-2</c:v>
                </c:pt>
                <c:pt idx="13" formatCode="0.00">
                  <c:v>3.662399746169194E-2</c:v>
                </c:pt>
                <c:pt idx="14" formatCode="0.00">
                  <c:v>1.6675567219230324E-2</c:v>
                </c:pt>
                <c:pt idx="15" formatCode="0.00">
                  <c:v>1.0525980213043577E-2</c:v>
                </c:pt>
                <c:pt idx="16" formatCode="0.00">
                  <c:v>9.6440992543342791E-3</c:v>
                </c:pt>
                <c:pt idx="17" formatCode="0.00">
                  <c:v>8.5971603621767204E-3</c:v>
                </c:pt>
                <c:pt idx="18" formatCode="0.00">
                  <c:v>8.4415343106397853E-3</c:v>
                </c:pt>
                <c:pt idx="19" formatCode="0.00">
                  <c:v>7.1257867840093386E-3</c:v>
                </c:pt>
                <c:pt idx="20" formatCode="0.00">
                  <c:v>6.4466912863936241E-3</c:v>
                </c:pt>
                <c:pt idx="21" formatCode="0.00">
                  <c:v>5.4940712133493578E-3</c:v>
                </c:pt>
                <c:pt idx="22" formatCode="0.00">
                  <c:v>4.4612801440587916E-3</c:v>
                </c:pt>
                <c:pt idx="23" formatCode="0.00">
                  <c:v>4.1170164542952692E-3</c:v>
                </c:pt>
                <c:pt idx="24" formatCode="0.00">
                  <c:v>3.4709325433692076E-3</c:v>
                </c:pt>
                <c:pt idx="25" formatCode="0.00">
                  <c:v>2.7682573409751696E-3</c:v>
                </c:pt>
                <c:pt idx="26" formatCode="0.00">
                  <c:v>1.9854111423348321E-3</c:v>
                </c:pt>
                <c:pt idx="27" formatCode="0.00">
                  <c:v>1.6694430983052984E-3</c:v>
                </c:pt>
                <c:pt idx="28" formatCode="0.00">
                  <c:v>1.1695533570048417E-3</c:v>
                </c:pt>
                <c:pt idx="29" formatCode="0.00">
                  <c:v>6.3193608805906768E-4</c:v>
                </c:pt>
                <c:pt idx="30" formatCode="0.00">
                  <c:v>4.3386656792115095E-4</c:v>
                </c:pt>
                <c:pt idx="31" formatCode="0.00">
                  <c:v>2.1693328396057548E-4</c:v>
                </c:pt>
                <c:pt idx="32" formatCode="0.00">
                  <c:v>2.1693328396057548E-4</c:v>
                </c:pt>
                <c:pt idx="33" formatCode="0.00">
                  <c:v>1.6977387440392865E-4</c:v>
                </c:pt>
                <c:pt idx="34" formatCode="0.00">
                  <c:v>1.6505793344826394E-4</c:v>
                </c:pt>
                <c:pt idx="35" formatCode="0.00">
                  <c:v>1.1789852389161712E-4</c:v>
                </c:pt>
                <c:pt idx="36" formatCode="0.00">
                  <c:v>8.0170996246299635E-5</c:v>
                </c:pt>
                <c:pt idx="37" formatCode="0.00">
                  <c:v>7.5455055290634947E-5</c:v>
                </c:pt>
                <c:pt idx="38" formatCode="0.00">
                  <c:v>5.6591291467976213E-5</c:v>
                </c:pt>
                <c:pt idx="39" formatCode="0.00">
                  <c:v>4.7159409556646842E-6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F-4C38-B6C9-F6238EE3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156560"/>
        <c:axId val="361156952"/>
      </c:barChart>
      <c:catAx>
        <c:axId val="36115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6952"/>
        <c:crosses val="autoZero"/>
        <c:auto val="1"/>
        <c:lblAlgn val="ctr"/>
        <c:lblOffset val="100"/>
        <c:noMultiLvlLbl val="0"/>
      </c:catAx>
      <c:valAx>
        <c:axId val="361156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Farm area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89994907352999"/>
          <c:y val="1.1173884514435696E-2"/>
          <c:w val="0.43506530340423866"/>
          <c:h val="8.1378159477078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64915253321955"/>
          <c:y val="6.9599864845122816E-2"/>
          <c:w val="0.71458116996279519"/>
          <c:h val="0.68022874413425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'Water needs entire AP basins '!$P$6</c:f>
              <c:strCache>
                <c:ptCount val="1"/>
                <c:pt idx="0">
                  <c:v>Irrigation water needs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'Water needs entire AP basins '!$O$7:$O$10</c:f>
              <c:strCache>
                <c:ptCount val="4"/>
                <c:pt idx="0">
                  <c:v>Corn</c:v>
                </c:pt>
                <c:pt idx="1">
                  <c:v>Soybeans</c:v>
                </c:pt>
                <c:pt idx="2">
                  <c:v>Wheat</c:v>
                </c:pt>
                <c:pt idx="3">
                  <c:v>Quinoa</c:v>
                </c:pt>
              </c:strCache>
            </c:strRef>
          </c:cat>
          <c:val>
            <c:numRef>
              <c:f>'Water needs entire AP basins '!$P$7:$P$10</c:f>
              <c:numCache>
                <c:formatCode>_(* #,##0.0_);_(* \(#,##0.0\);_(* "-"??_);_(@_)</c:formatCode>
                <c:ptCount val="4"/>
                <c:pt idx="0">
                  <c:v>211.3</c:v>
                </c:pt>
                <c:pt idx="1">
                  <c:v>186.91923076923078</c:v>
                </c:pt>
                <c:pt idx="2">
                  <c:v>178.7923076923077</c:v>
                </c:pt>
                <c:pt idx="3">
                  <c:v>103.21192307692309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B-4632-B431-47D5470D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1155384"/>
        <c:axId val="361155776"/>
      </c:barChart>
      <c:catAx>
        <c:axId val="36115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5776"/>
        <c:crosses val="autoZero"/>
        <c:auto val="1"/>
        <c:lblAlgn val="ctr"/>
        <c:lblOffset val="100"/>
        <c:noMultiLvlLbl val="0"/>
      </c:catAx>
      <c:valAx>
        <c:axId val="36115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Irrigation water need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313958949026"/>
          <c:y val="3.232027673913649E-2"/>
          <c:w val="0.69805359423193414"/>
          <c:h val="0.89606176151751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 Crop area &amp; water needs'!$F$6</c:f>
              <c:strCache>
                <c:ptCount val="1"/>
                <c:pt idx="0">
                  <c:v>Crop area, A (% of total)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 Crop area &amp; water needs'!$E$7:$E$50</c:f>
              <c:strCache>
                <c:ptCount val="44"/>
                <c:pt idx="0">
                  <c:v>Pasture-Grass</c:v>
                </c:pt>
                <c:pt idx="1">
                  <c:v>Soybeans</c:v>
                </c:pt>
                <c:pt idx="2">
                  <c:v>Corn</c:v>
                </c:pt>
                <c:pt idx="3">
                  <c:v>Cotton</c:v>
                </c:pt>
                <c:pt idx="4">
                  <c:v>Wheat</c:v>
                </c:pt>
                <c:pt idx="5">
                  <c:v>Quinoa</c:v>
                </c:pt>
                <c:pt idx="6">
                  <c:v>All others</c:v>
                </c:pt>
                <c:pt idx="7">
                  <c:v>781598700.0</c:v>
                </c:pt>
                <c:pt idx="9">
                  <c:v>Tobacco</c:v>
                </c:pt>
                <c:pt idx="10">
                  <c:v>Peanuts</c:v>
                </c:pt>
                <c:pt idx="11">
                  <c:v>Sorghum</c:v>
                </c:pt>
                <c:pt idx="12">
                  <c:v>Sweet Potatoes</c:v>
                </c:pt>
                <c:pt idx="13">
                  <c:v>Other Crops</c:v>
                </c:pt>
                <c:pt idx="14">
                  <c:v>Millet</c:v>
                </c:pt>
                <c:pt idx="15">
                  <c:v>Oats</c:v>
                </c:pt>
                <c:pt idx="16">
                  <c:v>Rye </c:v>
                </c:pt>
                <c:pt idx="17">
                  <c:v>Potatoes</c:v>
                </c:pt>
                <c:pt idx="18">
                  <c:v>Barley</c:v>
                </c:pt>
                <c:pt idx="19">
                  <c:v>Rape Seed</c:v>
                </c:pt>
                <c:pt idx="20">
                  <c:v>Watermelons</c:v>
                </c:pt>
                <c:pt idx="21">
                  <c:v>Cucumbers</c:v>
                </c:pt>
                <c:pt idx="22">
                  <c:v>Peppers</c:v>
                </c:pt>
                <c:pt idx="23">
                  <c:v>Triticale </c:v>
                </c:pt>
                <c:pt idx="24">
                  <c:v>Blueberries</c:v>
                </c:pt>
                <c:pt idx="25">
                  <c:v>Grapes</c:v>
                </c:pt>
                <c:pt idx="26">
                  <c:v>Pumpkins</c:v>
                </c:pt>
                <c:pt idx="27">
                  <c:v>Dry Beans</c:v>
                </c:pt>
                <c:pt idx="28">
                  <c:v>Squash</c:v>
                </c:pt>
                <c:pt idx="29">
                  <c:v>Peaches</c:v>
                </c:pt>
                <c:pt idx="30">
                  <c:v>Sunflower</c:v>
                </c:pt>
                <c:pt idx="31">
                  <c:v>Pecans</c:v>
                </c:pt>
                <c:pt idx="32">
                  <c:v>Apples</c:v>
                </c:pt>
                <c:pt idx="33">
                  <c:v>Greens</c:v>
                </c:pt>
                <c:pt idx="34">
                  <c:v>Cabbage</c:v>
                </c:pt>
                <c:pt idx="35">
                  <c:v>Peas</c:v>
                </c:pt>
                <c:pt idx="36">
                  <c:v>Asparagus</c:v>
                </c:pt>
                <c:pt idx="37">
                  <c:v>Clover/Wildflowers</c:v>
                </c:pt>
                <c:pt idx="38">
                  <c:v>Tomatoes</c:v>
                </c:pt>
                <c:pt idx="39">
                  <c:v>Misc Vegs &amp; Fruits</c:v>
                </c:pt>
                <c:pt idx="40">
                  <c:v>Canola</c:v>
                </c:pt>
                <c:pt idx="41">
                  <c:v>Onions</c:v>
                </c:pt>
                <c:pt idx="42">
                  <c:v>Strawberries</c:v>
                </c:pt>
                <c:pt idx="43">
                  <c:v>Flaxseed</c:v>
                </c:pt>
              </c:strCache>
            </c:strRef>
          </c:cat>
          <c:val>
            <c:numRef>
              <c:f>'Fig 3. Crop area &amp; water needs'!$F$7:$F$50</c:f>
              <c:numCache>
                <c:formatCode>0.0</c:formatCode>
                <c:ptCount val="44"/>
                <c:pt idx="0">
                  <c:v>42.249369903128915</c:v>
                </c:pt>
                <c:pt idx="1">
                  <c:v>29.198908768990385</c:v>
                </c:pt>
                <c:pt idx="2">
                  <c:v>12.774555008527365</c:v>
                </c:pt>
                <c:pt idx="3">
                  <c:v>10.493756188493519</c:v>
                </c:pt>
                <c:pt idx="4">
                  <c:v>1.1878842194995103</c:v>
                </c:pt>
                <c:pt idx="5" formatCode="General">
                  <c:v>0</c:v>
                </c:pt>
                <c:pt idx="6">
                  <c:v>4.0955259113603057</c:v>
                </c:pt>
                <c:pt idx="9">
                  <c:v>1.428345332887897</c:v>
                </c:pt>
                <c:pt idx="10">
                  <c:v>1.115683163468284</c:v>
                </c:pt>
                <c:pt idx="11" formatCode="0.00">
                  <c:v>0.86441311340951399</c:v>
                </c:pt>
                <c:pt idx="12" formatCode="0.00">
                  <c:v>0.29214782626247154</c:v>
                </c:pt>
                <c:pt idx="13" formatCode="0.00">
                  <c:v>7.2941458761265676E-2</c:v>
                </c:pt>
                <c:pt idx="14" formatCode="0.00">
                  <c:v>6.7725628064300533E-2</c:v>
                </c:pt>
                <c:pt idx="15" formatCode="0.00">
                  <c:v>8.4792618382851029E-2</c:v>
                </c:pt>
                <c:pt idx="16" formatCode="0.00">
                  <c:v>3.8090655098903657E-2</c:v>
                </c:pt>
                <c:pt idx="17" formatCode="0.00">
                  <c:v>3.662399746169194E-2</c:v>
                </c:pt>
                <c:pt idx="18" formatCode="0.00">
                  <c:v>1.6675567219230324E-2</c:v>
                </c:pt>
                <c:pt idx="19" formatCode="0.00">
                  <c:v>1.0525980213043577E-2</c:v>
                </c:pt>
                <c:pt idx="20" formatCode="0.00">
                  <c:v>9.6440992543342791E-3</c:v>
                </c:pt>
                <c:pt idx="21" formatCode="0.00">
                  <c:v>8.5971603621767204E-3</c:v>
                </c:pt>
                <c:pt idx="22" formatCode="0.00">
                  <c:v>8.4415343106397853E-3</c:v>
                </c:pt>
                <c:pt idx="23" formatCode="0.00">
                  <c:v>7.1257867840093386E-3</c:v>
                </c:pt>
                <c:pt idx="24" formatCode="0.00">
                  <c:v>6.4466912863936241E-3</c:v>
                </c:pt>
                <c:pt idx="25" formatCode="0.00">
                  <c:v>5.4940712133493578E-3</c:v>
                </c:pt>
                <c:pt idx="26" formatCode="0.00">
                  <c:v>4.4612801440587916E-3</c:v>
                </c:pt>
                <c:pt idx="27" formatCode="0.00">
                  <c:v>4.1170164542952692E-3</c:v>
                </c:pt>
                <c:pt idx="28" formatCode="0.00">
                  <c:v>3.4709325433692076E-3</c:v>
                </c:pt>
                <c:pt idx="29" formatCode="0.00">
                  <c:v>2.7682573409751696E-3</c:v>
                </c:pt>
                <c:pt idx="30" formatCode="0.00">
                  <c:v>1.9854111423348321E-3</c:v>
                </c:pt>
                <c:pt idx="31" formatCode="0.00">
                  <c:v>1.6694430983052984E-3</c:v>
                </c:pt>
                <c:pt idx="32" formatCode="0.00">
                  <c:v>1.1695533570048417E-3</c:v>
                </c:pt>
                <c:pt idx="33" formatCode="0.00">
                  <c:v>6.3193608805906768E-4</c:v>
                </c:pt>
                <c:pt idx="34" formatCode="0.00">
                  <c:v>4.3386656792115095E-4</c:v>
                </c:pt>
                <c:pt idx="35" formatCode="0.00">
                  <c:v>2.1693328396057548E-4</c:v>
                </c:pt>
                <c:pt idx="36" formatCode="0.00">
                  <c:v>2.1693328396057548E-4</c:v>
                </c:pt>
                <c:pt idx="37" formatCode="0.00">
                  <c:v>1.6977387440392865E-4</c:v>
                </c:pt>
                <c:pt idx="38" formatCode="0.00">
                  <c:v>1.6505793344826394E-4</c:v>
                </c:pt>
                <c:pt idx="39" formatCode="0.00">
                  <c:v>1.1789852389161712E-4</c:v>
                </c:pt>
                <c:pt idx="40" formatCode="0.00">
                  <c:v>8.0170996246299635E-5</c:v>
                </c:pt>
                <c:pt idx="41" formatCode="0.00">
                  <c:v>7.5455055290634947E-5</c:v>
                </c:pt>
                <c:pt idx="42" formatCode="0.00">
                  <c:v>5.6591291467976213E-5</c:v>
                </c:pt>
                <c:pt idx="43" formatCode="0.00">
                  <c:v>4.7159409556646842E-6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8-4C4A-A822-293E216B3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156560"/>
        <c:axId val="361156952"/>
      </c:barChart>
      <c:catAx>
        <c:axId val="36115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6952"/>
        <c:crosses val="autoZero"/>
        <c:auto val="1"/>
        <c:lblAlgn val="ctr"/>
        <c:lblOffset val="100"/>
        <c:noMultiLvlLbl val="0"/>
      </c:catAx>
      <c:valAx>
        <c:axId val="361156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Farm area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89994907352999"/>
          <c:y val="1.1173884514435696E-2"/>
          <c:w val="0.43506530340423866"/>
          <c:h val="8.1378159477078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(b) Supplemental irrigation water needs (mm)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48777118094706"/>
          <c:y val="0.11883422341864774"/>
          <c:w val="0.69687990229919894"/>
          <c:h val="0.577271761706723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 Crop area &amp; water needs'!$J$4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3. Crop area &amp; water needs'!$E$7:$E$12</c:f>
              <c:strCache>
                <c:ptCount val="6"/>
                <c:pt idx="0">
                  <c:v>Pasture-Grass</c:v>
                </c:pt>
                <c:pt idx="1">
                  <c:v>Soybeans</c:v>
                </c:pt>
                <c:pt idx="2">
                  <c:v>Corn</c:v>
                </c:pt>
                <c:pt idx="3">
                  <c:v>Cotton</c:v>
                </c:pt>
                <c:pt idx="4">
                  <c:v>Wheat</c:v>
                </c:pt>
                <c:pt idx="5">
                  <c:v>Quinoa</c:v>
                </c:pt>
              </c:strCache>
            </c:strRef>
          </c:cat>
          <c:val>
            <c:numRef>
              <c:f>'Fig 3. Crop area &amp; water needs'!$I$7:$I$12</c:f>
              <c:numCache>
                <c:formatCode>_(* #,##0.0_);_(* \(#,##0.0\);_(* "-"??_);_(@_)</c:formatCode>
                <c:ptCount val="6"/>
                <c:pt idx="0">
                  <c:v>390.09230769230771</c:v>
                </c:pt>
                <c:pt idx="1">
                  <c:v>186.91923076923078</c:v>
                </c:pt>
                <c:pt idx="2">
                  <c:v>211.3</c:v>
                </c:pt>
                <c:pt idx="3">
                  <c:v>325.07692307692309</c:v>
                </c:pt>
                <c:pt idx="4">
                  <c:v>178.7923076923077</c:v>
                </c:pt>
                <c:pt idx="5">
                  <c:v>103.21192307692309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9-47DA-ABAC-BD82CD57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1155384"/>
        <c:axId val="361155776"/>
      </c:barChart>
      <c:catAx>
        <c:axId val="36115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5776"/>
        <c:crosses val="autoZero"/>
        <c:auto val="1"/>
        <c:lblAlgn val="ctr"/>
        <c:lblOffset val="100"/>
        <c:noMultiLvlLbl val="0"/>
      </c:catAx>
      <c:valAx>
        <c:axId val="361155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Irrigation water need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(a) Major crop area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'Fig 3. Crop area &amp; water needs'!$F$6</c:f>
              <c:strCache>
                <c:ptCount val="1"/>
                <c:pt idx="0">
                  <c:v>Crop area, A (% of total)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453-428E-B528-E8AC1EC48F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9E-4B05-9C95-801C9BA6BFE2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9E-4B05-9C95-801C9BA6BF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453-428E-B528-E8AC1EC48F71}"/>
              </c:ext>
            </c:extLst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9EF-47A2-93E7-99F7F5B6E3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53-428E-B528-E8AC1EC48F71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453-428E-B528-E8AC1EC48F71}"/>
              </c:ext>
            </c:extLst>
          </c:dPt>
          <c:dLbls>
            <c:dLbl>
              <c:idx val="5"/>
              <c:layout>
                <c:manualLayout>
                  <c:x val="4.4172171028147085E-2"/>
                  <c:y val="-2.066191398203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53-428E-B528-E8AC1EC48F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3. Crop area &amp; water needs'!$E$7:$E$13</c:f>
              <c:strCache>
                <c:ptCount val="7"/>
                <c:pt idx="0">
                  <c:v>Pasture-Grass</c:v>
                </c:pt>
                <c:pt idx="1">
                  <c:v>Soybeans</c:v>
                </c:pt>
                <c:pt idx="2">
                  <c:v>Corn</c:v>
                </c:pt>
                <c:pt idx="3">
                  <c:v>Cotton</c:v>
                </c:pt>
                <c:pt idx="4">
                  <c:v>Wheat</c:v>
                </c:pt>
                <c:pt idx="5">
                  <c:v>Quinoa</c:v>
                </c:pt>
                <c:pt idx="6">
                  <c:v>All others</c:v>
                </c:pt>
              </c:strCache>
            </c:strRef>
          </c:cat>
          <c:val>
            <c:numRef>
              <c:f>'Fig 3. Crop area &amp; water needs'!$F$7:$F$13</c:f>
              <c:numCache>
                <c:formatCode>0.0</c:formatCode>
                <c:ptCount val="7"/>
                <c:pt idx="0">
                  <c:v>42.249369903128915</c:v>
                </c:pt>
                <c:pt idx="1">
                  <c:v>29.198908768990385</c:v>
                </c:pt>
                <c:pt idx="2">
                  <c:v>12.774555008527365</c:v>
                </c:pt>
                <c:pt idx="3">
                  <c:v>10.493756188493519</c:v>
                </c:pt>
                <c:pt idx="4">
                  <c:v>1.1878842194995103</c:v>
                </c:pt>
                <c:pt idx="5" formatCode="General">
                  <c:v>0</c:v>
                </c:pt>
                <c:pt idx="6">
                  <c:v>4.0955259113603057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9E-4B05-9C95-801C9BA6B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880970979988257E-2"/>
          <c:y val="0.7690145185483338"/>
          <c:w val="0.85296941613504773"/>
          <c:h val="0.16309389415956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281948</xdr:colOff>
      <xdr:row>18</xdr:row>
      <xdr:rowOff>9005</xdr:rowOff>
    </xdr:from>
    <xdr:to>
      <xdr:col>36</xdr:col>
      <xdr:colOff>519473</xdr:colOff>
      <xdr:row>56</xdr:row>
      <xdr:rowOff>141674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107043</xdr:colOff>
      <xdr:row>16</xdr:row>
      <xdr:rowOff>21614</xdr:rowOff>
    </xdr:from>
    <xdr:to>
      <xdr:col>23</xdr:col>
      <xdr:colOff>294714</xdr:colOff>
      <xdr:row>40</xdr:row>
      <xdr:rowOff>9980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281948</xdr:colOff>
      <xdr:row>25</xdr:row>
      <xdr:rowOff>9005</xdr:rowOff>
    </xdr:from>
    <xdr:to>
      <xdr:col>68</xdr:col>
      <xdr:colOff>519473</xdr:colOff>
      <xdr:row>60</xdr:row>
      <xdr:rowOff>141674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1591235</xdr:colOff>
      <xdr:row>12</xdr:row>
      <xdr:rowOff>138542</xdr:rowOff>
    </xdr:from>
    <xdr:to>
      <xdr:col>17</xdr:col>
      <xdr:colOff>1887681</xdr:colOff>
      <xdr:row>28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1468771</xdr:colOff>
      <xdr:row>29</xdr:row>
      <xdr:rowOff>65635</xdr:rowOff>
    </xdr:from>
    <xdr:to>
      <xdr:col>17</xdr:col>
      <xdr:colOff>562696</xdr:colOff>
      <xdr:row>44</xdr:row>
      <xdr:rowOff>40020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H/USERS/N-Z/sghimire/Net%20MyDocuments/Research%20Contractor%20SR%20Ghimire/Albemarle-Pamlico%20RWH%20crop/Crop%20water%20needs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needs entire AP basins "/>
      <sheetName val="Table 1"/>
      <sheetName val="TableS3. Water needs entire AP"/>
    </sheetNames>
    <sheetDataSet>
      <sheetData sheetId="0"/>
      <sheetData sheetId="1"/>
      <sheetData sheetId="2">
        <row r="48">
          <cell r="D48">
            <v>19084208400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o.org/es/faodef/fdef01e.htm" TargetMode="External"/><Relationship Id="rId2" Type="http://schemas.openxmlformats.org/officeDocument/2006/relationships/hyperlink" Target="http://isgs.illinois.edu/nsdihome/webdocs/landcover/nass99-06.html" TargetMode="External"/><Relationship Id="rId1" Type="http://schemas.openxmlformats.org/officeDocument/2006/relationships/hyperlink" Target="http://www.fao.org/docrep/S2022E/s2022e07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ao.org/es/faodef/fdef02e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o.org/es/faodef/fdef01e.ht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isgs.illinois.edu/nsdihome/webdocs/landcover/nass99-06.html" TargetMode="External"/><Relationship Id="rId1" Type="http://schemas.openxmlformats.org/officeDocument/2006/relationships/hyperlink" Target="http://www.fao.org/docrep/S2022E/s2022e07.ht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ort.purdue.edu/newcrop/afcm/quinoa.html" TargetMode="External"/><Relationship Id="rId4" Type="http://schemas.openxmlformats.org/officeDocument/2006/relationships/hyperlink" Target="http://www.fao.org/es/faodef/fdef02e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PNAS%20submission%20related%20data,%20April.30.18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showGridLines="0" tabSelected="1" topLeftCell="B1" zoomScale="55" zoomScaleNormal="55" workbookViewId="0">
      <selection activeCell="F7" sqref="F7"/>
    </sheetView>
  </sheetViews>
  <sheetFormatPr defaultRowHeight="15" x14ac:dyDescent="0.25"/>
  <cols>
    <col min="1" max="1" width="13.5703125" customWidth="1"/>
    <col min="2" max="2" width="25.28515625" customWidth="1"/>
    <col min="3" max="3" width="26.7109375" customWidth="1"/>
    <col min="4" max="4" width="21.42578125" customWidth="1"/>
    <col min="5" max="5" width="14.7109375" customWidth="1"/>
    <col min="6" max="6" width="18.28515625" bestFit="1" customWidth="1"/>
    <col min="7" max="7" width="18.28515625" customWidth="1"/>
    <col min="8" max="8" width="10.85546875" customWidth="1"/>
    <col min="9" max="9" width="26.7109375" bestFit="1" customWidth="1"/>
    <col min="10" max="10" width="55.140625" bestFit="1" customWidth="1"/>
    <col min="11" max="11" width="28.28515625" bestFit="1" customWidth="1"/>
    <col min="12" max="12" width="23.140625" customWidth="1"/>
    <col min="15" max="15" width="13.28515625" customWidth="1"/>
  </cols>
  <sheetData>
    <row r="1" spans="1:17" s="3" customFormat="1" ht="60.75" customHeight="1" x14ac:dyDescent="0.3">
      <c r="A1" s="12"/>
      <c r="B1" s="51" t="s">
        <v>144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" s="3" customFormat="1" x14ac:dyDescent="0.25">
      <c r="A2" s="12"/>
      <c r="C2" s="12"/>
      <c r="D2" s="12"/>
      <c r="E2" s="12"/>
      <c r="F2" s="12"/>
      <c r="G2" s="12"/>
      <c r="H2" s="12"/>
      <c r="K2" s="12"/>
      <c r="L2" s="12"/>
    </row>
    <row r="3" spans="1:17" s="3" customFormat="1" ht="25.5" customHeight="1" x14ac:dyDescent="0.25">
      <c r="A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7" ht="27.75" customHeight="1" x14ac:dyDescent="0.25">
      <c r="A4" s="1"/>
      <c r="B4" s="1"/>
      <c r="C4" s="1"/>
      <c r="D4" s="1"/>
      <c r="E4" s="1"/>
      <c r="F4" s="1"/>
      <c r="G4" s="12"/>
      <c r="H4" s="1"/>
      <c r="I4" s="1"/>
      <c r="J4" s="1"/>
      <c r="K4" s="12"/>
      <c r="L4" s="12"/>
    </row>
    <row r="5" spans="1:17" ht="1.5" hidden="1" customHeight="1" x14ac:dyDescent="0.25"/>
    <row r="6" spans="1:17" ht="81" customHeight="1" x14ac:dyDescent="0.25">
      <c r="B6" s="7" t="s">
        <v>50</v>
      </c>
      <c r="C6" s="7" t="s">
        <v>135</v>
      </c>
      <c r="D6" s="7" t="s">
        <v>136</v>
      </c>
      <c r="E6" s="7" t="s">
        <v>145</v>
      </c>
      <c r="F6" s="7" t="s">
        <v>139</v>
      </c>
      <c r="G6" s="7" t="s">
        <v>137</v>
      </c>
      <c r="H6" s="7" t="s">
        <v>49</v>
      </c>
      <c r="I6" s="7" t="s">
        <v>126</v>
      </c>
      <c r="J6" s="7" t="s">
        <v>140</v>
      </c>
      <c r="K6" s="7" t="s">
        <v>146</v>
      </c>
      <c r="L6" s="7" t="s">
        <v>138</v>
      </c>
      <c r="O6" s="7" t="s">
        <v>136</v>
      </c>
      <c r="P6" s="7" t="s">
        <v>146</v>
      </c>
      <c r="Q6" s="68" t="s">
        <v>167</v>
      </c>
    </row>
    <row r="7" spans="1:17" x14ac:dyDescent="0.25">
      <c r="B7" s="4">
        <v>1</v>
      </c>
      <c r="C7" s="8" t="s">
        <v>51</v>
      </c>
      <c r="D7" s="4" t="s">
        <v>52</v>
      </c>
      <c r="E7" s="50">
        <f t="shared" ref="E7:E46" si="0">F7*100/$F$48</f>
        <v>42.249369903128915</v>
      </c>
      <c r="F7" s="13">
        <v>8062957800</v>
      </c>
      <c r="G7" s="26">
        <v>1200</v>
      </c>
      <c r="H7" s="14">
        <f t="shared" ref="H7:H46" si="1">G7/$G$9</f>
        <v>1.8461538461538463</v>
      </c>
      <c r="I7" s="14" t="s">
        <v>133</v>
      </c>
      <c r="J7" s="4"/>
      <c r="K7" s="15">
        <f>H7*$K$9</f>
        <v>390.09230769230771</v>
      </c>
      <c r="L7" s="16">
        <f t="shared" ref="L7:L46" si="2">F7*K7/1000</f>
        <v>3145297815.0276923</v>
      </c>
      <c r="O7" s="4" t="s">
        <v>2</v>
      </c>
      <c r="P7" s="15">
        <f>211.3</f>
        <v>211.3</v>
      </c>
      <c r="Q7">
        <f>P7/$P$7</f>
        <v>1</v>
      </c>
    </row>
    <row r="8" spans="1:17" x14ac:dyDescent="0.25">
      <c r="B8" s="4">
        <v>2</v>
      </c>
      <c r="C8" s="8" t="s">
        <v>53</v>
      </c>
      <c r="D8" s="4" t="s">
        <v>54</v>
      </c>
      <c r="E8" s="50">
        <f t="shared" si="0"/>
        <v>29.198908768990385</v>
      </c>
      <c r="F8" s="13">
        <v>5572380600</v>
      </c>
      <c r="G8" s="26">
        <v>575</v>
      </c>
      <c r="H8" s="14">
        <f t="shared" si="1"/>
        <v>0.88461538461538458</v>
      </c>
      <c r="I8" s="14" t="s">
        <v>133</v>
      </c>
      <c r="J8" s="4"/>
      <c r="K8" s="15">
        <f>H8*$K$9</f>
        <v>186.91923076923078</v>
      </c>
      <c r="L8" s="16">
        <f t="shared" si="2"/>
        <v>1041585095.3053846</v>
      </c>
      <c r="O8" s="4" t="s">
        <v>54</v>
      </c>
      <c r="P8" s="15">
        <f>K8</f>
        <v>186.91923076923078</v>
      </c>
      <c r="Q8" s="64">
        <f t="shared" ref="Q8:Q12" si="3">P8/$P$7</f>
        <v>0.88461538461538458</v>
      </c>
    </row>
    <row r="9" spans="1:17" ht="19.149999999999999" customHeight="1" x14ac:dyDescent="0.25">
      <c r="B9" s="4">
        <v>3</v>
      </c>
      <c r="C9" s="8" t="s">
        <v>55</v>
      </c>
      <c r="D9" s="4" t="s">
        <v>2</v>
      </c>
      <c r="E9" s="50">
        <f t="shared" si="0"/>
        <v>12.774555008527365</v>
      </c>
      <c r="F9" s="13">
        <v>2437922700</v>
      </c>
      <c r="G9" s="26">
        <v>650</v>
      </c>
      <c r="H9" s="14">
        <f t="shared" si="1"/>
        <v>1</v>
      </c>
      <c r="I9" s="14" t="s">
        <v>133</v>
      </c>
      <c r="J9" s="4"/>
      <c r="K9" s="15">
        <f>211.3</f>
        <v>211.3</v>
      </c>
      <c r="L9" s="13">
        <f t="shared" si="2"/>
        <v>515133066.50999999</v>
      </c>
      <c r="O9" s="4" t="s">
        <v>59</v>
      </c>
      <c r="P9" s="15">
        <f>K12</f>
        <v>178.7923076923077</v>
      </c>
      <c r="Q9" s="64">
        <f t="shared" si="3"/>
        <v>0.84615384615384615</v>
      </c>
    </row>
    <row r="10" spans="1:17" x14ac:dyDescent="0.25">
      <c r="B10" s="4">
        <v>4</v>
      </c>
      <c r="C10" s="4" t="s">
        <v>56</v>
      </c>
      <c r="D10" s="4" t="s">
        <v>1</v>
      </c>
      <c r="E10" s="50">
        <f t="shared" si="0"/>
        <v>10.493756188493519</v>
      </c>
      <c r="F10" s="13">
        <v>2002650300</v>
      </c>
      <c r="G10" s="26">
        <v>1000</v>
      </c>
      <c r="H10" s="14">
        <f t="shared" si="1"/>
        <v>1.5384615384615385</v>
      </c>
      <c r="I10" s="14" t="s">
        <v>133</v>
      </c>
      <c r="J10" s="4"/>
      <c r="K10" s="15">
        <f t="shared" ref="K10:K46" si="4">H10*$K$9</f>
        <v>325.07692307692309</v>
      </c>
      <c r="L10" s="13">
        <f t="shared" si="2"/>
        <v>651015397.52307689</v>
      </c>
      <c r="O10" s="4" t="s">
        <v>163</v>
      </c>
      <c r="P10" s="15">
        <f>K50</f>
        <v>103.21192307692309</v>
      </c>
      <c r="Q10" s="64">
        <f t="shared" si="3"/>
        <v>0.4884615384615385</v>
      </c>
    </row>
    <row r="11" spans="1:17" x14ac:dyDescent="0.25">
      <c r="B11" s="4">
        <v>5</v>
      </c>
      <c r="C11" s="4" t="s">
        <v>57</v>
      </c>
      <c r="D11" s="4" t="s">
        <v>57</v>
      </c>
      <c r="E11" s="50">
        <f t="shared" si="0"/>
        <v>1.428345332887897</v>
      </c>
      <c r="F11" s="13">
        <v>272588400</v>
      </c>
      <c r="G11" s="26">
        <v>500</v>
      </c>
      <c r="H11" s="14">
        <f t="shared" si="1"/>
        <v>0.76923076923076927</v>
      </c>
      <c r="I11" s="14" t="s">
        <v>133</v>
      </c>
      <c r="J11" s="4"/>
      <c r="K11" s="15">
        <f t="shared" si="4"/>
        <v>162.53846153846155</v>
      </c>
      <c r="L11" s="13">
        <f t="shared" si="2"/>
        <v>44306099.169230774</v>
      </c>
    </row>
    <row r="12" spans="1:17" x14ac:dyDescent="0.25">
      <c r="B12" s="4">
        <v>6</v>
      </c>
      <c r="C12" s="4" t="s">
        <v>58</v>
      </c>
      <c r="D12" s="4" t="s">
        <v>59</v>
      </c>
      <c r="E12" s="50">
        <f t="shared" si="0"/>
        <v>1.1878842194995103</v>
      </c>
      <c r="F12" s="13">
        <v>226698300</v>
      </c>
      <c r="G12" s="26">
        <v>550</v>
      </c>
      <c r="H12" s="14">
        <f t="shared" si="1"/>
        <v>0.84615384615384615</v>
      </c>
      <c r="I12" s="14" t="s">
        <v>133</v>
      </c>
      <c r="J12" s="4"/>
      <c r="K12" s="15">
        <f t="shared" si="4"/>
        <v>178.7923076923077</v>
      </c>
      <c r="L12" s="13">
        <f t="shared" si="2"/>
        <v>40531912.206923082</v>
      </c>
      <c r="O12" s="4" t="s">
        <v>60</v>
      </c>
      <c r="P12" s="15">
        <f>K13</f>
        <v>195.04615384615386</v>
      </c>
      <c r="Q12" s="64">
        <f t="shared" si="3"/>
        <v>0.92307692307692313</v>
      </c>
    </row>
    <row r="13" spans="1:17" x14ac:dyDescent="0.25">
      <c r="B13" s="4">
        <v>7</v>
      </c>
      <c r="C13" s="4" t="s">
        <v>60</v>
      </c>
      <c r="D13" s="4" t="s">
        <v>60</v>
      </c>
      <c r="E13" s="50">
        <f t="shared" si="0"/>
        <v>1.115683163468284</v>
      </c>
      <c r="F13" s="13">
        <v>212919300</v>
      </c>
      <c r="G13" s="26">
        <v>600</v>
      </c>
      <c r="H13" s="14">
        <f t="shared" si="1"/>
        <v>0.92307692307692313</v>
      </c>
      <c r="I13" s="14" t="s">
        <v>133</v>
      </c>
      <c r="J13" s="4"/>
      <c r="K13" s="15">
        <f t="shared" si="4"/>
        <v>195.04615384615386</v>
      </c>
      <c r="L13" s="13">
        <f t="shared" si="2"/>
        <v>41529090.544615388</v>
      </c>
    </row>
    <row r="14" spans="1:17" x14ac:dyDescent="0.25">
      <c r="B14" s="4">
        <v>8</v>
      </c>
      <c r="C14" s="4" t="s">
        <v>61</v>
      </c>
      <c r="D14" s="4" t="s">
        <v>62</v>
      </c>
      <c r="E14" s="5">
        <f t="shared" si="0"/>
        <v>0.86441311340951399</v>
      </c>
      <c r="F14" s="13">
        <v>164966400</v>
      </c>
      <c r="G14" s="26">
        <v>550</v>
      </c>
      <c r="H14" s="14">
        <f t="shared" si="1"/>
        <v>0.84615384615384615</v>
      </c>
      <c r="I14" s="14" t="s">
        <v>133</v>
      </c>
      <c r="J14" s="4"/>
      <c r="K14" s="15">
        <f t="shared" si="4"/>
        <v>178.7923076923077</v>
      </c>
      <c r="L14" s="13">
        <f t="shared" si="2"/>
        <v>29494723.347692311</v>
      </c>
    </row>
    <row r="15" spans="1:17" x14ac:dyDescent="0.25">
      <c r="B15" s="4">
        <v>9</v>
      </c>
      <c r="C15" s="4" t="s">
        <v>63</v>
      </c>
      <c r="D15" s="4" t="s">
        <v>63</v>
      </c>
      <c r="E15" s="5">
        <f t="shared" si="0"/>
        <v>0.29214782626247154</v>
      </c>
      <c r="F15" s="13">
        <v>55754100</v>
      </c>
      <c r="G15" s="26">
        <v>600</v>
      </c>
      <c r="H15" s="14">
        <f t="shared" si="1"/>
        <v>0.92307692307692313</v>
      </c>
      <c r="I15" s="14" t="s">
        <v>133</v>
      </c>
      <c r="J15" s="4" t="s">
        <v>111</v>
      </c>
      <c r="K15" s="15">
        <f t="shared" si="4"/>
        <v>195.04615384615386</v>
      </c>
      <c r="L15" s="13">
        <f t="shared" si="2"/>
        <v>10874622.766153846</v>
      </c>
    </row>
    <row r="16" spans="1:17" x14ac:dyDescent="0.25">
      <c r="B16" s="29">
        <v>10</v>
      </c>
      <c r="C16" s="29" t="s">
        <v>65</v>
      </c>
      <c r="D16" s="29" t="s">
        <v>65</v>
      </c>
      <c r="E16" s="30">
        <f t="shared" si="0"/>
        <v>7.2941458761265676E-2</v>
      </c>
      <c r="F16" s="31">
        <v>13920300</v>
      </c>
      <c r="G16" s="32">
        <v>550</v>
      </c>
      <c r="H16" s="33">
        <f t="shared" si="1"/>
        <v>0.84615384615384615</v>
      </c>
      <c r="I16" s="14" t="s">
        <v>133</v>
      </c>
      <c r="J16" s="29" t="s">
        <v>64</v>
      </c>
      <c r="K16" s="15">
        <f t="shared" si="4"/>
        <v>178.7923076923077</v>
      </c>
      <c r="L16" s="13">
        <f t="shared" si="2"/>
        <v>2488842.5607692311</v>
      </c>
    </row>
    <row r="17" spans="2:12" x14ac:dyDescent="0.25">
      <c r="B17" s="4">
        <v>11</v>
      </c>
      <c r="C17" s="4" t="s">
        <v>66</v>
      </c>
      <c r="D17" s="4" t="s">
        <v>66</v>
      </c>
      <c r="E17" s="5">
        <f t="shared" si="0"/>
        <v>6.7725628064300533E-2</v>
      </c>
      <c r="F17" s="13">
        <v>12924900</v>
      </c>
      <c r="G17" s="26">
        <v>550</v>
      </c>
      <c r="H17" s="14">
        <f t="shared" si="1"/>
        <v>0.84615384615384615</v>
      </c>
      <c r="I17" s="14" t="s">
        <v>133</v>
      </c>
      <c r="J17" s="4"/>
      <c r="K17" s="15">
        <f t="shared" si="4"/>
        <v>178.7923076923077</v>
      </c>
      <c r="L17" s="13">
        <f t="shared" si="2"/>
        <v>2310872.6976923081</v>
      </c>
    </row>
    <row r="18" spans="2:12" x14ac:dyDescent="0.25">
      <c r="B18" s="4">
        <v>12</v>
      </c>
      <c r="C18" s="4" t="s">
        <v>67</v>
      </c>
      <c r="D18" s="4" t="s">
        <v>68</v>
      </c>
      <c r="E18" s="5">
        <f t="shared" si="0"/>
        <v>8.4792618382851029E-2</v>
      </c>
      <c r="F18" s="13">
        <v>16182000</v>
      </c>
      <c r="G18" s="26">
        <v>550</v>
      </c>
      <c r="H18" s="14">
        <f t="shared" si="1"/>
        <v>0.84615384615384615</v>
      </c>
      <c r="I18" s="14" t="s">
        <v>133</v>
      </c>
      <c r="J18" s="4"/>
      <c r="K18" s="15">
        <f t="shared" si="4"/>
        <v>178.7923076923077</v>
      </c>
      <c r="L18" s="13">
        <f t="shared" si="2"/>
        <v>2893217.1230769232</v>
      </c>
    </row>
    <row r="19" spans="2:12" x14ac:dyDescent="0.25">
      <c r="B19" s="4">
        <v>13</v>
      </c>
      <c r="C19" s="4" t="s">
        <v>70</v>
      </c>
      <c r="D19" s="4" t="s">
        <v>71</v>
      </c>
      <c r="E19" s="5">
        <f t="shared" si="0"/>
        <v>3.8090655098903657E-2</v>
      </c>
      <c r="F19" s="13">
        <v>7269300</v>
      </c>
      <c r="G19" s="26">
        <v>550</v>
      </c>
      <c r="H19" s="14">
        <f t="shared" si="1"/>
        <v>0.84615384615384615</v>
      </c>
      <c r="I19" s="14" t="s">
        <v>133</v>
      </c>
      <c r="J19" s="4" t="s">
        <v>69</v>
      </c>
      <c r="K19" s="15">
        <f t="shared" si="4"/>
        <v>178.7923076923077</v>
      </c>
      <c r="L19" s="13">
        <f t="shared" si="2"/>
        <v>1299694.9223076922</v>
      </c>
    </row>
    <row r="20" spans="2:12" x14ac:dyDescent="0.25">
      <c r="B20" s="4">
        <v>14</v>
      </c>
      <c r="C20" s="4" t="s">
        <v>72</v>
      </c>
      <c r="D20" s="4" t="s">
        <v>72</v>
      </c>
      <c r="E20" s="5">
        <f t="shared" si="0"/>
        <v>3.662399746169194E-2</v>
      </c>
      <c r="F20" s="13">
        <v>6989400</v>
      </c>
      <c r="G20" s="26">
        <v>600</v>
      </c>
      <c r="H20" s="14">
        <f t="shared" si="1"/>
        <v>0.92307692307692313</v>
      </c>
      <c r="I20" s="14" t="s">
        <v>133</v>
      </c>
      <c r="J20" s="4"/>
      <c r="K20" s="15">
        <f t="shared" si="4"/>
        <v>195.04615384615386</v>
      </c>
      <c r="L20" s="13">
        <f t="shared" si="2"/>
        <v>1363255.5876923078</v>
      </c>
    </row>
    <row r="21" spans="2:12" x14ac:dyDescent="0.25">
      <c r="B21" s="4">
        <v>15</v>
      </c>
      <c r="C21" s="4" t="s">
        <v>73</v>
      </c>
      <c r="D21" s="4" t="s">
        <v>73</v>
      </c>
      <c r="E21" s="5">
        <f t="shared" si="0"/>
        <v>1.6675567219230324E-2</v>
      </c>
      <c r="F21" s="13">
        <v>3182400</v>
      </c>
      <c r="G21" s="26">
        <v>550</v>
      </c>
      <c r="H21" s="14">
        <f t="shared" si="1"/>
        <v>0.84615384615384615</v>
      </c>
      <c r="I21" s="14" t="s">
        <v>133</v>
      </c>
      <c r="J21" s="4"/>
      <c r="K21" s="15">
        <f t="shared" si="4"/>
        <v>178.7923076923077</v>
      </c>
      <c r="L21" s="13">
        <f t="shared" si="2"/>
        <v>568988.64</v>
      </c>
    </row>
    <row r="22" spans="2:12" x14ac:dyDescent="0.25">
      <c r="B22" s="4">
        <v>16</v>
      </c>
      <c r="C22" s="4" t="s">
        <v>75</v>
      </c>
      <c r="D22" s="4" t="s">
        <v>75</v>
      </c>
      <c r="E22" s="5">
        <f t="shared" si="0"/>
        <v>1.0525980213043577E-2</v>
      </c>
      <c r="F22" s="13">
        <v>2008800</v>
      </c>
      <c r="G22" s="26">
        <v>800</v>
      </c>
      <c r="H22" s="14">
        <f t="shared" si="1"/>
        <v>1.2307692307692308</v>
      </c>
      <c r="I22" s="14" t="s">
        <v>133</v>
      </c>
      <c r="J22" s="4" t="s">
        <v>74</v>
      </c>
      <c r="K22" s="15">
        <f t="shared" si="4"/>
        <v>260.06153846153848</v>
      </c>
      <c r="L22" s="13">
        <f t="shared" si="2"/>
        <v>522411.61846153851</v>
      </c>
    </row>
    <row r="23" spans="2:12" s="2" customFormat="1" x14ac:dyDescent="0.25">
      <c r="B23" s="29">
        <v>17</v>
      </c>
      <c r="C23" s="29" t="s">
        <v>76</v>
      </c>
      <c r="D23" s="29" t="s">
        <v>76</v>
      </c>
      <c r="E23" s="30">
        <f t="shared" si="0"/>
        <v>9.6440992543342791E-3</v>
      </c>
      <c r="F23" s="31">
        <v>1840500</v>
      </c>
      <c r="G23" s="32">
        <v>500</v>
      </c>
      <c r="H23" s="33">
        <f t="shared" si="1"/>
        <v>0.76923076923076927</v>
      </c>
      <c r="I23" s="14" t="s">
        <v>133</v>
      </c>
      <c r="J23" s="29" t="s">
        <v>30</v>
      </c>
      <c r="K23" s="37">
        <f t="shared" si="4"/>
        <v>162.53846153846155</v>
      </c>
      <c r="L23" s="31">
        <f t="shared" si="2"/>
        <v>299152.0384615385</v>
      </c>
    </row>
    <row r="24" spans="2:12" x14ac:dyDescent="0.25">
      <c r="B24" s="4">
        <v>18</v>
      </c>
      <c r="C24" s="4" t="s">
        <v>78</v>
      </c>
      <c r="D24" s="4" t="s">
        <v>78</v>
      </c>
      <c r="E24" s="5">
        <f t="shared" si="0"/>
        <v>8.5971603621767204E-3</v>
      </c>
      <c r="F24" s="13">
        <v>1640700</v>
      </c>
      <c r="G24" s="26">
        <v>500</v>
      </c>
      <c r="H24" s="14">
        <f t="shared" si="1"/>
        <v>0.76923076923076927</v>
      </c>
      <c r="I24" s="14" t="s">
        <v>133</v>
      </c>
      <c r="J24" s="4" t="s">
        <v>77</v>
      </c>
      <c r="K24" s="15">
        <f t="shared" si="4"/>
        <v>162.53846153846155</v>
      </c>
      <c r="L24" s="13">
        <f t="shared" si="2"/>
        <v>266676.85384615383</v>
      </c>
    </row>
    <row r="25" spans="2:12" x14ac:dyDescent="0.25">
      <c r="B25" s="4">
        <v>19</v>
      </c>
      <c r="C25" s="4" t="s">
        <v>79</v>
      </c>
      <c r="D25" s="4" t="s">
        <v>79</v>
      </c>
      <c r="E25" s="5">
        <f t="shared" si="0"/>
        <v>8.4415343106397853E-3</v>
      </c>
      <c r="F25" s="13">
        <v>1611000</v>
      </c>
      <c r="G25" s="26">
        <v>750</v>
      </c>
      <c r="H25" s="14">
        <f t="shared" si="1"/>
        <v>1.1538461538461537</v>
      </c>
      <c r="I25" s="14" t="s">
        <v>133</v>
      </c>
      <c r="J25" s="4"/>
      <c r="K25" s="15">
        <f t="shared" si="4"/>
        <v>243.80769230769229</v>
      </c>
      <c r="L25" s="13">
        <f t="shared" si="2"/>
        <v>392774.19230769231</v>
      </c>
    </row>
    <row r="26" spans="2:12" x14ac:dyDescent="0.25">
      <c r="B26" s="4">
        <v>20</v>
      </c>
      <c r="C26" s="4" t="s">
        <v>81</v>
      </c>
      <c r="D26" s="4" t="s">
        <v>82</v>
      </c>
      <c r="E26" s="5">
        <f t="shared" si="0"/>
        <v>7.1257867840093386E-3</v>
      </c>
      <c r="F26" s="13">
        <v>1359900</v>
      </c>
      <c r="G26" s="26">
        <v>550</v>
      </c>
      <c r="H26" s="14">
        <f t="shared" si="1"/>
        <v>0.84615384615384615</v>
      </c>
      <c r="I26" s="14" t="s">
        <v>133</v>
      </c>
      <c r="J26" s="4" t="s">
        <v>80</v>
      </c>
      <c r="K26" s="15">
        <f t="shared" si="4"/>
        <v>178.7923076923077</v>
      </c>
      <c r="L26" s="13">
        <f t="shared" si="2"/>
        <v>243139.65923076923</v>
      </c>
    </row>
    <row r="27" spans="2:12" x14ac:dyDescent="0.25">
      <c r="B27" s="4">
        <v>21</v>
      </c>
      <c r="C27" s="4" t="s">
        <v>84</v>
      </c>
      <c r="D27" s="4" t="s">
        <v>84</v>
      </c>
      <c r="E27" s="5">
        <f t="shared" si="0"/>
        <v>6.4466912863936241E-3</v>
      </c>
      <c r="F27" s="13">
        <v>1230300</v>
      </c>
      <c r="G27" s="26">
        <v>370</v>
      </c>
      <c r="H27" s="14">
        <f t="shared" si="1"/>
        <v>0.56923076923076921</v>
      </c>
      <c r="I27" s="14" t="s">
        <v>125</v>
      </c>
      <c r="J27" s="40" t="s">
        <v>83</v>
      </c>
      <c r="K27" s="15">
        <f t="shared" si="4"/>
        <v>120.27846153846154</v>
      </c>
      <c r="L27" s="13">
        <f t="shared" si="2"/>
        <v>147978.59123076923</v>
      </c>
    </row>
    <row r="28" spans="2:12" x14ac:dyDescent="0.25">
      <c r="B28" s="4">
        <v>22</v>
      </c>
      <c r="C28" s="4" t="s">
        <v>85</v>
      </c>
      <c r="D28" s="4" t="s">
        <v>85</v>
      </c>
      <c r="E28" s="5">
        <f t="shared" si="0"/>
        <v>5.4940712133493578E-3</v>
      </c>
      <c r="F28" s="13">
        <v>1048500</v>
      </c>
      <c r="G28" s="26">
        <v>370</v>
      </c>
      <c r="H28" s="14">
        <f t="shared" si="1"/>
        <v>0.56923076923076921</v>
      </c>
      <c r="I28" s="14" t="s">
        <v>125</v>
      </c>
      <c r="J28" s="40" t="s">
        <v>83</v>
      </c>
      <c r="K28" s="15">
        <f t="shared" si="4"/>
        <v>120.27846153846154</v>
      </c>
      <c r="L28" s="13">
        <f t="shared" si="2"/>
        <v>126111.96692307692</v>
      </c>
    </row>
    <row r="29" spans="2:12" x14ac:dyDescent="0.25">
      <c r="B29" s="4">
        <v>23</v>
      </c>
      <c r="C29" s="4" t="s">
        <v>87</v>
      </c>
      <c r="D29" s="4" t="s">
        <v>87</v>
      </c>
      <c r="E29" s="5">
        <f t="shared" si="0"/>
        <v>4.4612801440587916E-3</v>
      </c>
      <c r="F29" s="13">
        <v>851400</v>
      </c>
      <c r="G29" s="26">
        <v>500</v>
      </c>
      <c r="H29" s="14">
        <f t="shared" si="1"/>
        <v>0.76923076923076927</v>
      </c>
      <c r="I29" s="14" t="s">
        <v>133</v>
      </c>
      <c r="J29" s="40" t="s">
        <v>86</v>
      </c>
      <c r="K29" s="15">
        <f t="shared" si="4"/>
        <v>162.53846153846155</v>
      </c>
      <c r="L29" s="13">
        <f t="shared" si="2"/>
        <v>138385.24615384618</v>
      </c>
    </row>
    <row r="30" spans="2:12" x14ac:dyDescent="0.25">
      <c r="B30" s="4">
        <v>24</v>
      </c>
      <c r="C30" s="4" t="s">
        <v>88</v>
      </c>
      <c r="D30" s="4" t="s">
        <v>88</v>
      </c>
      <c r="E30" s="5">
        <f t="shared" si="0"/>
        <v>4.1170164542952692E-3</v>
      </c>
      <c r="F30" s="13">
        <v>785700</v>
      </c>
      <c r="G30" s="26">
        <v>400</v>
      </c>
      <c r="H30" s="14">
        <f t="shared" si="1"/>
        <v>0.61538461538461542</v>
      </c>
      <c r="I30" s="14" t="s">
        <v>133</v>
      </c>
      <c r="J30" s="4"/>
      <c r="K30" s="15">
        <f t="shared" si="4"/>
        <v>130.03076923076924</v>
      </c>
      <c r="L30" s="13">
        <f t="shared" si="2"/>
        <v>102165.17538461539</v>
      </c>
    </row>
    <row r="31" spans="2:12" x14ac:dyDescent="0.25">
      <c r="B31" s="4">
        <v>25</v>
      </c>
      <c r="C31" s="4" t="s">
        <v>89</v>
      </c>
      <c r="D31" s="4" t="s">
        <v>89</v>
      </c>
      <c r="E31" s="5">
        <f t="shared" si="0"/>
        <v>3.4709325433692076E-3</v>
      </c>
      <c r="F31" s="13">
        <v>662400</v>
      </c>
      <c r="G31" s="26">
        <v>500</v>
      </c>
      <c r="H31" s="14">
        <f t="shared" si="1"/>
        <v>0.76923076923076927</v>
      </c>
      <c r="I31" s="14" t="s">
        <v>133</v>
      </c>
      <c r="J31" s="40" t="s">
        <v>86</v>
      </c>
      <c r="K31" s="15">
        <f t="shared" si="4"/>
        <v>162.53846153846155</v>
      </c>
      <c r="L31" s="13">
        <f t="shared" si="2"/>
        <v>107665.47692307693</v>
      </c>
    </row>
    <row r="32" spans="2:12" x14ac:dyDescent="0.25">
      <c r="B32" s="4">
        <v>26</v>
      </c>
      <c r="C32" s="4" t="s">
        <v>90</v>
      </c>
      <c r="D32" s="4" t="s">
        <v>90</v>
      </c>
      <c r="E32" s="5">
        <f t="shared" si="0"/>
        <v>2.7682573409751696E-3</v>
      </c>
      <c r="F32" s="13">
        <v>528300</v>
      </c>
      <c r="G32" s="26">
        <v>1050</v>
      </c>
      <c r="H32" s="14">
        <f t="shared" si="1"/>
        <v>1.6153846153846154</v>
      </c>
      <c r="I32" s="14" t="s">
        <v>133</v>
      </c>
      <c r="J32" s="40" t="s">
        <v>141</v>
      </c>
      <c r="K32" s="15">
        <f t="shared" si="4"/>
        <v>341.33076923076925</v>
      </c>
      <c r="L32" s="13">
        <f t="shared" si="2"/>
        <v>180325.0453846154</v>
      </c>
    </row>
    <row r="33" spans="2:12" x14ac:dyDescent="0.25">
      <c r="B33" s="4">
        <v>27</v>
      </c>
      <c r="C33" s="4" t="s">
        <v>27</v>
      </c>
      <c r="D33" s="4" t="s">
        <v>27</v>
      </c>
      <c r="E33" s="5">
        <f t="shared" si="0"/>
        <v>1.9854111423348321E-3</v>
      </c>
      <c r="F33" s="13">
        <v>378900</v>
      </c>
      <c r="G33" s="26">
        <v>800</v>
      </c>
      <c r="H33" s="14">
        <f t="shared" si="1"/>
        <v>1.2307692307692308</v>
      </c>
      <c r="I33" s="14" t="s">
        <v>133</v>
      </c>
      <c r="J33" s="4"/>
      <c r="K33" s="15">
        <f t="shared" si="4"/>
        <v>260.06153846153848</v>
      </c>
      <c r="L33" s="13">
        <f t="shared" si="2"/>
        <v>98537.316923076927</v>
      </c>
    </row>
    <row r="34" spans="2:12" x14ac:dyDescent="0.25">
      <c r="B34" s="4">
        <v>28</v>
      </c>
      <c r="C34" s="4" t="s">
        <v>91</v>
      </c>
      <c r="D34" s="4" t="s">
        <v>91</v>
      </c>
      <c r="E34" s="5">
        <f t="shared" si="0"/>
        <v>1.6694430983052984E-3</v>
      </c>
      <c r="F34" s="13">
        <v>318600</v>
      </c>
      <c r="G34" s="26">
        <v>1050</v>
      </c>
      <c r="H34" s="14">
        <f t="shared" si="1"/>
        <v>1.6153846153846154</v>
      </c>
      <c r="I34" s="14" t="s">
        <v>133</v>
      </c>
      <c r="J34" s="40" t="s">
        <v>141</v>
      </c>
      <c r="K34" s="15">
        <f t="shared" si="4"/>
        <v>341.33076923076925</v>
      </c>
      <c r="L34" s="13">
        <f t="shared" si="2"/>
        <v>108747.98307692309</v>
      </c>
    </row>
    <row r="35" spans="2:12" x14ac:dyDescent="0.25">
      <c r="B35" s="4">
        <v>29</v>
      </c>
      <c r="C35" s="4" t="s">
        <v>92</v>
      </c>
      <c r="D35" s="4" t="s">
        <v>92</v>
      </c>
      <c r="E35" s="5">
        <f t="shared" si="0"/>
        <v>1.1695533570048417E-3</v>
      </c>
      <c r="F35" s="13">
        <v>223200</v>
      </c>
      <c r="G35" s="26">
        <v>1050</v>
      </c>
      <c r="H35" s="14">
        <f t="shared" si="1"/>
        <v>1.6153846153846154</v>
      </c>
      <c r="I35" s="14" t="s">
        <v>133</v>
      </c>
      <c r="J35" s="40" t="s">
        <v>141</v>
      </c>
      <c r="K35" s="15">
        <f t="shared" si="4"/>
        <v>341.33076923076925</v>
      </c>
      <c r="L35" s="13">
        <f t="shared" si="2"/>
        <v>76185.027692307689</v>
      </c>
    </row>
    <row r="36" spans="2:12" x14ac:dyDescent="0.25">
      <c r="B36" s="4">
        <v>30</v>
      </c>
      <c r="C36" s="4" t="s">
        <v>93</v>
      </c>
      <c r="D36" s="4" t="s">
        <v>93</v>
      </c>
      <c r="E36" s="5">
        <f t="shared" si="0"/>
        <v>6.3193608805906768E-4</v>
      </c>
      <c r="F36" s="13">
        <v>120600</v>
      </c>
      <c r="G36" s="26">
        <v>425</v>
      </c>
      <c r="H36" s="14">
        <f t="shared" si="1"/>
        <v>0.65384615384615385</v>
      </c>
      <c r="I36" s="14" t="s">
        <v>133</v>
      </c>
      <c r="J36" s="40" t="s">
        <v>142</v>
      </c>
      <c r="K36" s="15">
        <f t="shared" si="4"/>
        <v>138.15769230769232</v>
      </c>
      <c r="L36" s="13">
        <f t="shared" si="2"/>
        <v>16661.817692307694</v>
      </c>
    </row>
    <row r="37" spans="2:12" x14ac:dyDescent="0.25">
      <c r="B37" s="4">
        <v>31</v>
      </c>
      <c r="C37" s="4" t="s">
        <v>21</v>
      </c>
      <c r="D37" s="4" t="s">
        <v>21</v>
      </c>
      <c r="E37" s="5">
        <f t="shared" si="0"/>
        <v>4.3386656792115095E-4</v>
      </c>
      <c r="F37" s="13">
        <v>82800</v>
      </c>
      <c r="G37" s="26">
        <v>425</v>
      </c>
      <c r="H37" s="14">
        <f t="shared" si="1"/>
        <v>0.65384615384615385</v>
      </c>
      <c r="I37" s="14" t="s">
        <v>133</v>
      </c>
      <c r="J37" s="4"/>
      <c r="K37" s="15">
        <f t="shared" si="4"/>
        <v>138.15769230769232</v>
      </c>
      <c r="L37" s="13">
        <f t="shared" si="2"/>
        <v>11439.456923076925</v>
      </c>
    </row>
    <row r="38" spans="2:12" x14ac:dyDescent="0.25">
      <c r="B38" s="4">
        <v>32</v>
      </c>
      <c r="C38" s="4" t="s">
        <v>94</v>
      </c>
      <c r="D38" s="4" t="s">
        <v>94</v>
      </c>
      <c r="E38" s="5">
        <f t="shared" si="0"/>
        <v>2.1693328396057548E-4</v>
      </c>
      <c r="F38" s="13">
        <v>41400</v>
      </c>
      <c r="G38" s="26">
        <v>425</v>
      </c>
      <c r="H38" s="14">
        <f t="shared" si="1"/>
        <v>0.65384615384615385</v>
      </c>
      <c r="I38" s="14" t="s">
        <v>133</v>
      </c>
      <c r="J38" s="4"/>
      <c r="K38" s="15">
        <f t="shared" si="4"/>
        <v>138.15769230769232</v>
      </c>
      <c r="L38" s="13">
        <f t="shared" si="2"/>
        <v>5719.7284615384624</v>
      </c>
    </row>
    <row r="39" spans="2:12" x14ac:dyDescent="0.25">
      <c r="B39" s="4">
        <v>33</v>
      </c>
      <c r="C39" s="4" t="s">
        <v>96</v>
      </c>
      <c r="D39" s="4" t="s">
        <v>96</v>
      </c>
      <c r="E39" s="5">
        <f t="shared" si="0"/>
        <v>2.1693328396057548E-4</v>
      </c>
      <c r="F39" s="13">
        <v>41400</v>
      </c>
      <c r="G39" s="26">
        <v>500</v>
      </c>
      <c r="H39" s="14">
        <f t="shared" si="1"/>
        <v>0.76923076923076927</v>
      </c>
      <c r="I39" s="14" t="s">
        <v>133</v>
      </c>
      <c r="J39" s="40" t="s">
        <v>95</v>
      </c>
      <c r="K39" s="15">
        <f t="shared" si="4"/>
        <v>162.53846153846155</v>
      </c>
      <c r="L39" s="13">
        <f t="shared" si="2"/>
        <v>6729.0923076923082</v>
      </c>
    </row>
    <row r="40" spans="2:12" x14ac:dyDescent="0.25">
      <c r="B40" s="4">
        <v>34</v>
      </c>
      <c r="C40" s="4" t="s">
        <v>97</v>
      </c>
      <c r="D40" s="4" t="s">
        <v>97</v>
      </c>
      <c r="E40" s="5">
        <f t="shared" si="0"/>
        <v>1.6977387440392865E-4</v>
      </c>
      <c r="F40" s="13">
        <v>32400</v>
      </c>
      <c r="G40" s="26">
        <v>1200</v>
      </c>
      <c r="H40" s="14">
        <f t="shared" si="1"/>
        <v>1.8461538461538463</v>
      </c>
      <c r="I40" s="14" t="s">
        <v>133</v>
      </c>
      <c r="J40" s="40" t="s">
        <v>131</v>
      </c>
      <c r="K40" s="15">
        <f t="shared" si="4"/>
        <v>390.09230769230771</v>
      </c>
      <c r="L40" s="13">
        <f t="shared" si="2"/>
        <v>12638.99076923077</v>
      </c>
    </row>
    <row r="41" spans="2:12" x14ac:dyDescent="0.25">
      <c r="B41" s="4">
        <v>35</v>
      </c>
      <c r="C41" s="4" t="s">
        <v>98</v>
      </c>
      <c r="D41" s="4" t="s">
        <v>98</v>
      </c>
      <c r="E41" s="5">
        <f t="shared" si="0"/>
        <v>1.6505793344826394E-4</v>
      </c>
      <c r="F41" s="13">
        <v>31500</v>
      </c>
      <c r="G41" s="26">
        <v>600</v>
      </c>
      <c r="H41" s="14">
        <f t="shared" si="1"/>
        <v>0.92307692307692313</v>
      </c>
      <c r="I41" s="14" t="s">
        <v>133</v>
      </c>
      <c r="J41" s="4"/>
      <c r="K41" s="15">
        <f t="shared" si="4"/>
        <v>195.04615384615386</v>
      </c>
      <c r="L41" s="13">
        <f t="shared" si="2"/>
        <v>6143.9538461538468</v>
      </c>
    </row>
    <row r="42" spans="2:12" x14ac:dyDescent="0.25">
      <c r="B42" s="4">
        <v>36</v>
      </c>
      <c r="C42" s="4" t="s">
        <v>99</v>
      </c>
      <c r="D42" s="4" t="s">
        <v>99</v>
      </c>
      <c r="E42" s="5">
        <f t="shared" si="0"/>
        <v>1.1789852389161712E-4</v>
      </c>
      <c r="F42" s="13">
        <v>22500</v>
      </c>
      <c r="G42" s="26">
        <v>425</v>
      </c>
      <c r="H42" s="14">
        <f t="shared" si="1"/>
        <v>0.65384615384615385</v>
      </c>
      <c r="I42" s="14" t="s">
        <v>133</v>
      </c>
      <c r="J42" s="4" t="s">
        <v>142</v>
      </c>
      <c r="K42" s="15">
        <f t="shared" si="4"/>
        <v>138.15769230769232</v>
      </c>
      <c r="L42" s="13">
        <f t="shared" si="2"/>
        <v>3108.5480769230771</v>
      </c>
    </row>
    <row r="43" spans="2:12" x14ac:dyDescent="0.25">
      <c r="B43" s="4">
        <v>37</v>
      </c>
      <c r="C43" s="4" t="s">
        <v>100</v>
      </c>
      <c r="D43" s="4" t="s">
        <v>100</v>
      </c>
      <c r="E43" s="5">
        <f t="shared" si="0"/>
        <v>8.0170996246299635E-5</v>
      </c>
      <c r="F43" s="13">
        <v>15300</v>
      </c>
      <c r="G43" s="26">
        <v>800</v>
      </c>
      <c r="H43" s="14">
        <f t="shared" si="1"/>
        <v>1.2307692307692308</v>
      </c>
      <c r="I43" s="14" t="s">
        <v>133</v>
      </c>
      <c r="J43" s="40" t="s">
        <v>143</v>
      </c>
      <c r="K43" s="15">
        <f t="shared" si="4"/>
        <v>260.06153846153848</v>
      </c>
      <c r="L43" s="13">
        <f t="shared" si="2"/>
        <v>3978.9415384615386</v>
      </c>
    </row>
    <row r="44" spans="2:12" x14ac:dyDescent="0.25">
      <c r="B44" s="4">
        <v>38</v>
      </c>
      <c r="C44" s="4" t="s">
        <v>101</v>
      </c>
      <c r="D44" s="4" t="s">
        <v>101</v>
      </c>
      <c r="E44" s="5">
        <f t="shared" si="0"/>
        <v>7.5455055290634947E-5</v>
      </c>
      <c r="F44" s="13">
        <v>14400</v>
      </c>
      <c r="G44" s="26">
        <v>450</v>
      </c>
      <c r="H44" s="14">
        <f t="shared" si="1"/>
        <v>0.69230769230769229</v>
      </c>
      <c r="I44" s="14" t="s">
        <v>133</v>
      </c>
      <c r="J44" s="4"/>
      <c r="K44" s="15">
        <f t="shared" si="4"/>
        <v>146.28461538461539</v>
      </c>
      <c r="L44" s="13">
        <f t="shared" si="2"/>
        <v>2106.4984615384615</v>
      </c>
    </row>
    <row r="45" spans="2:12" x14ac:dyDescent="0.25">
      <c r="B45" s="4">
        <v>39</v>
      </c>
      <c r="C45" s="4" t="s">
        <v>103</v>
      </c>
      <c r="D45" s="4" t="s">
        <v>103</v>
      </c>
      <c r="E45" s="17">
        <f t="shared" si="0"/>
        <v>5.6591291467976213E-5</v>
      </c>
      <c r="F45" s="18">
        <v>10800</v>
      </c>
      <c r="G45" s="26">
        <v>500</v>
      </c>
      <c r="H45" s="14">
        <f t="shared" si="1"/>
        <v>0.76923076923076927</v>
      </c>
      <c r="I45" s="14" t="s">
        <v>133</v>
      </c>
      <c r="J45" s="40" t="s">
        <v>102</v>
      </c>
      <c r="K45" s="15">
        <f t="shared" si="4"/>
        <v>162.53846153846155</v>
      </c>
      <c r="L45" s="13">
        <f t="shared" si="2"/>
        <v>1755.4153846153847</v>
      </c>
    </row>
    <row r="46" spans="2:12" x14ac:dyDescent="0.25">
      <c r="B46" s="4">
        <v>40</v>
      </c>
      <c r="C46" s="4" t="s">
        <v>105</v>
      </c>
      <c r="D46" s="8" t="s">
        <v>105</v>
      </c>
      <c r="E46" s="5">
        <f t="shared" si="0"/>
        <v>4.7159409556646842E-6</v>
      </c>
      <c r="F46" s="13">
        <v>900</v>
      </c>
      <c r="G46" s="27">
        <v>1000</v>
      </c>
      <c r="H46" s="14">
        <f t="shared" si="1"/>
        <v>1.5384615384615385</v>
      </c>
      <c r="I46" s="14" t="s">
        <v>133</v>
      </c>
      <c r="J46" s="40" t="s">
        <v>104</v>
      </c>
      <c r="K46" s="15">
        <f t="shared" si="4"/>
        <v>325.07692307692309</v>
      </c>
      <c r="L46" s="13">
        <f t="shared" si="2"/>
        <v>292.56923076923078</v>
      </c>
    </row>
    <row r="47" spans="2:12" s="11" customFormat="1" x14ac:dyDescent="0.25">
      <c r="E47" s="48"/>
      <c r="F47" s="49"/>
      <c r="G47" s="19"/>
      <c r="H47" s="19"/>
      <c r="I47" s="19"/>
      <c r="J47" s="19"/>
    </row>
    <row r="48" spans="2:12" x14ac:dyDescent="0.25">
      <c r="C48" t="s">
        <v>106</v>
      </c>
      <c r="E48" s="5">
        <f>F48*100/$F$48</f>
        <v>100</v>
      </c>
      <c r="F48" s="13">
        <f>SUM(F7:F46)</f>
        <v>19084208400</v>
      </c>
      <c r="G48" s="20"/>
      <c r="H48" s="20"/>
      <c r="I48" s="20"/>
      <c r="J48" s="20"/>
    </row>
    <row r="49" spans="1:12" ht="23.25" x14ac:dyDescent="0.35">
      <c r="A49" s="66" t="s">
        <v>164</v>
      </c>
      <c r="E49" s="46"/>
      <c r="F49" s="65"/>
      <c r="G49" s="20"/>
      <c r="H49" s="20"/>
      <c r="I49" s="20"/>
      <c r="J49" s="20"/>
    </row>
    <row r="50" spans="1:12" ht="23.25" x14ac:dyDescent="0.35">
      <c r="A50" s="66"/>
      <c r="C50" s="4" t="s">
        <v>163</v>
      </c>
      <c r="D50" s="4"/>
      <c r="E50" s="5">
        <v>0</v>
      </c>
      <c r="F50" s="13">
        <v>0</v>
      </c>
      <c r="G50" s="67">
        <f>25.4*(10+15)/2</f>
        <v>317.5</v>
      </c>
      <c r="H50" s="14">
        <f>G50/$G$9</f>
        <v>0.48846153846153845</v>
      </c>
      <c r="I50" s="20"/>
      <c r="J50" s="20"/>
      <c r="K50" s="15">
        <f>H50*$K$9</f>
        <v>103.21192307692309</v>
      </c>
      <c r="L50" s="13">
        <f>F50*K50/1000</f>
        <v>0</v>
      </c>
    </row>
    <row r="51" spans="1:12" x14ac:dyDescent="0.25">
      <c r="E51" s="46"/>
      <c r="F51" s="65"/>
      <c r="G51" s="20"/>
      <c r="H51" s="20"/>
      <c r="I51" s="20"/>
      <c r="J51" s="20"/>
    </row>
    <row r="52" spans="1:12" x14ac:dyDescent="0.25">
      <c r="E52" s="46"/>
      <c r="F52" s="47"/>
      <c r="G52" s="1"/>
      <c r="H52" s="20"/>
      <c r="I52" s="20"/>
      <c r="J52" s="20"/>
    </row>
    <row r="53" spans="1:12" x14ac:dyDescent="0.25">
      <c r="G53" s="45"/>
    </row>
    <row r="54" spans="1:12" x14ac:dyDescent="0.25">
      <c r="C54" s="22" t="s">
        <v>109</v>
      </c>
    </row>
    <row r="55" spans="1:12" ht="18.75" x14ac:dyDescent="0.3">
      <c r="A55" t="s">
        <v>134</v>
      </c>
      <c r="B55" s="24" t="s">
        <v>110</v>
      </c>
      <c r="C55" s="14" t="s">
        <v>133</v>
      </c>
      <c r="E55" s="12"/>
      <c r="G55" s="6"/>
      <c r="H55" s="6"/>
      <c r="I55" s="6"/>
      <c r="J55" s="6"/>
    </row>
    <row r="56" spans="1:12" ht="25.5" customHeight="1" x14ac:dyDescent="0.25">
      <c r="A56" s="23" t="s">
        <v>5</v>
      </c>
      <c r="B56" s="23" t="s">
        <v>6</v>
      </c>
      <c r="C56" s="23" t="s">
        <v>7</v>
      </c>
      <c r="D56" s="4"/>
      <c r="E56" s="25" t="s">
        <v>8</v>
      </c>
    </row>
    <row r="57" spans="1:12" ht="38.25" customHeight="1" x14ac:dyDescent="0.25">
      <c r="A57" s="23"/>
      <c r="B57" s="23" t="s">
        <v>9</v>
      </c>
      <c r="C57" s="23"/>
      <c r="D57" s="4"/>
      <c r="E57" s="25" t="s">
        <v>10</v>
      </c>
    </row>
    <row r="58" spans="1:12" x14ac:dyDescent="0.25">
      <c r="A58" s="4"/>
      <c r="B58" s="4"/>
      <c r="C58" s="4"/>
      <c r="D58" s="4"/>
      <c r="E58" s="4"/>
    </row>
    <row r="59" spans="1:12" x14ac:dyDescent="0.25">
      <c r="A59" s="9" t="s">
        <v>0</v>
      </c>
      <c r="B59" s="10" t="s">
        <v>11</v>
      </c>
      <c r="C59" s="9" t="s">
        <v>12</v>
      </c>
      <c r="D59" s="10">
        <f>800+1600</f>
        <v>2400</v>
      </c>
      <c r="E59" s="28">
        <f t="shared" ref="E59:E79" si="5">D59/2</f>
        <v>1200</v>
      </c>
    </row>
    <row r="60" spans="1:12" x14ac:dyDescent="0.25">
      <c r="A60" s="9" t="s">
        <v>13</v>
      </c>
      <c r="B60" s="10" t="s">
        <v>14</v>
      </c>
      <c r="C60" s="9" t="s">
        <v>15</v>
      </c>
      <c r="D60" s="10">
        <f>1200+2200</f>
        <v>3400</v>
      </c>
      <c r="E60" s="28">
        <f t="shared" si="5"/>
        <v>1700</v>
      </c>
    </row>
    <row r="61" spans="1:12" ht="25.5" x14ac:dyDescent="0.25">
      <c r="A61" s="9" t="s">
        <v>16</v>
      </c>
      <c r="B61" s="10" t="s">
        <v>17</v>
      </c>
      <c r="C61" s="9" t="s">
        <v>12</v>
      </c>
      <c r="D61" s="10">
        <f>450+650</f>
        <v>1100</v>
      </c>
      <c r="E61" s="28">
        <f t="shared" si="5"/>
        <v>550</v>
      </c>
    </row>
    <row r="62" spans="1:12" x14ac:dyDescent="0.25">
      <c r="A62" s="9" t="s">
        <v>18</v>
      </c>
      <c r="B62" s="10" t="s">
        <v>19</v>
      </c>
      <c r="C62" s="9" t="s">
        <v>20</v>
      </c>
      <c r="D62" s="10">
        <f>300+500</f>
        <v>800</v>
      </c>
      <c r="E62" s="28">
        <f t="shared" si="5"/>
        <v>400</v>
      </c>
    </row>
    <row r="63" spans="1:12" x14ac:dyDescent="0.25">
      <c r="A63" s="9" t="s">
        <v>21</v>
      </c>
      <c r="B63" s="10" t="s">
        <v>22</v>
      </c>
      <c r="C63" s="9" t="s">
        <v>20</v>
      </c>
      <c r="D63" s="10">
        <f>350+500</f>
        <v>850</v>
      </c>
      <c r="E63" s="28">
        <f t="shared" si="5"/>
        <v>425</v>
      </c>
    </row>
    <row r="64" spans="1:12" x14ac:dyDescent="0.25">
      <c r="A64" s="9" t="s">
        <v>23</v>
      </c>
      <c r="B64" s="10" t="s">
        <v>24</v>
      </c>
      <c r="C64" s="9" t="s">
        <v>12</v>
      </c>
      <c r="D64" s="10">
        <f>900+1200</f>
        <v>2100</v>
      </c>
      <c r="E64" s="28">
        <f t="shared" si="5"/>
        <v>1050</v>
      </c>
    </row>
    <row r="65" spans="1:5" x14ac:dyDescent="0.25">
      <c r="A65" s="9" t="s">
        <v>1</v>
      </c>
      <c r="B65" s="10" t="s">
        <v>25</v>
      </c>
      <c r="C65" s="9" t="s">
        <v>26</v>
      </c>
      <c r="D65" s="10">
        <f>700+1300</f>
        <v>2000</v>
      </c>
      <c r="E65" s="28">
        <f t="shared" si="5"/>
        <v>1000</v>
      </c>
    </row>
    <row r="66" spans="1:5" x14ac:dyDescent="0.25">
      <c r="A66" s="9" t="s">
        <v>28</v>
      </c>
      <c r="B66" s="10" t="s">
        <v>29</v>
      </c>
      <c r="C66" s="9" t="s">
        <v>20</v>
      </c>
      <c r="D66" s="10">
        <f>500+800</f>
        <v>1300</v>
      </c>
      <c r="E66" s="28">
        <f t="shared" si="5"/>
        <v>650</v>
      </c>
    </row>
    <row r="67" spans="1:5" x14ac:dyDescent="0.25">
      <c r="A67" s="9" t="s">
        <v>30</v>
      </c>
      <c r="B67" s="10" t="s">
        <v>31</v>
      </c>
      <c r="C67" s="9" t="s">
        <v>20</v>
      </c>
      <c r="D67" s="10">
        <f>400+600</f>
        <v>1000</v>
      </c>
      <c r="E67" s="28">
        <f t="shared" si="5"/>
        <v>500</v>
      </c>
    </row>
    <row r="68" spans="1:5" x14ac:dyDescent="0.25">
      <c r="A68" s="9" t="s">
        <v>32</v>
      </c>
      <c r="B68" s="10" t="s">
        <v>33</v>
      </c>
      <c r="C68" s="9" t="s">
        <v>20</v>
      </c>
      <c r="D68" s="10">
        <f>350+550</f>
        <v>900</v>
      </c>
      <c r="E68" s="28">
        <f t="shared" si="5"/>
        <v>450</v>
      </c>
    </row>
    <row r="69" spans="1:5" x14ac:dyDescent="0.25">
      <c r="A69" s="9" t="s">
        <v>34</v>
      </c>
      <c r="B69" s="10" t="s">
        <v>35</v>
      </c>
      <c r="C69" s="9" t="s">
        <v>12</v>
      </c>
      <c r="D69" s="10">
        <f>500+700</f>
        <v>1200</v>
      </c>
      <c r="E69" s="28">
        <f t="shared" si="5"/>
        <v>600</v>
      </c>
    </row>
    <row r="70" spans="1:5" x14ac:dyDescent="0.25">
      <c r="A70" s="9" t="s">
        <v>36</v>
      </c>
      <c r="B70" s="10" t="s">
        <v>22</v>
      </c>
      <c r="C70" s="9" t="s">
        <v>20</v>
      </c>
      <c r="D70" s="10">
        <f>350+500</f>
        <v>850</v>
      </c>
      <c r="E70" s="28">
        <f t="shared" si="5"/>
        <v>425</v>
      </c>
    </row>
    <row r="71" spans="1:5" x14ac:dyDescent="0.25">
      <c r="A71" s="9" t="s">
        <v>37</v>
      </c>
      <c r="B71" s="10" t="s">
        <v>38</v>
      </c>
      <c r="C71" s="9" t="s">
        <v>20</v>
      </c>
      <c r="D71" s="10">
        <f>600+900</f>
        <v>1500</v>
      </c>
      <c r="E71" s="28">
        <f t="shared" si="5"/>
        <v>750</v>
      </c>
    </row>
    <row r="72" spans="1:5" x14ac:dyDescent="0.25">
      <c r="A72" s="9" t="s">
        <v>39</v>
      </c>
      <c r="B72" s="10" t="s">
        <v>35</v>
      </c>
      <c r="C72" s="9" t="s">
        <v>15</v>
      </c>
      <c r="D72" s="10">
        <f>500+700</f>
        <v>1200</v>
      </c>
      <c r="E72" s="28">
        <f t="shared" si="5"/>
        <v>600</v>
      </c>
    </row>
    <row r="73" spans="1:5" x14ac:dyDescent="0.25">
      <c r="A73" s="9" t="s">
        <v>4</v>
      </c>
      <c r="B73" s="10" t="s">
        <v>40</v>
      </c>
      <c r="C73" s="9" t="s">
        <v>15</v>
      </c>
      <c r="D73" s="10">
        <f>450+700</f>
        <v>1150</v>
      </c>
      <c r="E73" s="28">
        <f>D73/2</f>
        <v>575</v>
      </c>
    </row>
    <row r="74" spans="1:5" x14ac:dyDescent="0.25">
      <c r="A74" s="9" t="s">
        <v>41</v>
      </c>
      <c r="B74" s="10" t="s">
        <v>17</v>
      </c>
      <c r="C74" s="9" t="s">
        <v>26</v>
      </c>
      <c r="D74" s="10">
        <f>450+650</f>
        <v>1100</v>
      </c>
      <c r="E74" s="28">
        <f t="shared" si="5"/>
        <v>550</v>
      </c>
    </row>
    <row r="75" spans="1:5" x14ac:dyDescent="0.25">
      <c r="A75" s="34" t="s">
        <v>3</v>
      </c>
      <c r="B75" s="35" t="s">
        <v>40</v>
      </c>
      <c r="C75" s="34" t="s">
        <v>12</v>
      </c>
      <c r="D75" s="35">
        <f>450+700</f>
        <v>1150</v>
      </c>
      <c r="E75" s="36">
        <f t="shared" si="5"/>
        <v>575</v>
      </c>
    </row>
    <row r="76" spans="1:5" x14ac:dyDescent="0.25">
      <c r="A76" s="9" t="s">
        <v>42</v>
      </c>
      <c r="B76" s="10" t="s">
        <v>43</v>
      </c>
      <c r="C76" s="9" t="s">
        <v>12</v>
      </c>
      <c r="D76" s="10">
        <f>550+750</f>
        <v>1300</v>
      </c>
      <c r="E76" s="28">
        <f t="shared" si="5"/>
        <v>650</v>
      </c>
    </row>
    <row r="77" spans="1:5" x14ac:dyDescent="0.25">
      <c r="A77" s="9" t="s">
        <v>44</v>
      </c>
      <c r="B77" s="10" t="s">
        <v>45</v>
      </c>
      <c r="C77" s="9" t="s">
        <v>15</v>
      </c>
      <c r="D77" s="10">
        <f>1500+2500</f>
        <v>4000</v>
      </c>
      <c r="E77" s="28">
        <f t="shared" si="5"/>
        <v>2000</v>
      </c>
    </row>
    <row r="78" spans="1:5" x14ac:dyDescent="0.25">
      <c r="A78" s="9" t="s">
        <v>27</v>
      </c>
      <c r="B78" s="10" t="s">
        <v>46</v>
      </c>
      <c r="C78" s="9" t="s">
        <v>12</v>
      </c>
      <c r="D78" s="10">
        <f>600+1000</f>
        <v>1600</v>
      </c>
      <c r="E78" s="28">
        <f t="shared" si="5"/>
        <v>800</v>
      </c>
    </row>
    <row r="79" spans="1:5" x14ac:dyDescent="0.25">
      <c r="A79" s="9" t="s">
        <v>47</v>
      </c>
      <c r="B79" s="10" t="s">
        <v>48</v>
      </c>
      <c r="C79" s="9" t="s">
        <v>20</v>
      </c>
      <c r="D79" s="10">
        <f>400+800</f>
        <v>1200</v>
      </c>
      <c r="E79" s="28">
        <f t="shared" si="5"/>
        <v>600</v>
      </c>
    </row>
    <row r="82" spans="1:10" ht="23.25" x14ac:dyDescent="0.35">
      <c r="A82" s="43" t="s">
        <v>132</v>
      </c>
    </row>
    <row r="83" spans="1:10" x14ac:dyDescent="0.25">
      <c r="A83" s="4">
        <v>9</v>
      </c>
      <c r="B83" s="4" t="s">
        <v>111</v>
      </c>
      <c r="C83" s="4"/>
      <c r="D83" s="44" t="s">
        <v>112</v>
      </c>
      <c r="E83" s="4"/>
      <c r="F83" s="4"/>
    </row>
    <row r="84" spans="1:10" x14ac:dyDescent="0.25">
      <c r="A84" s="4">
        <v>13</v>
      </c>
      <c r="B84" s="4" t="s">
        <v>69</v>
      </c>
      <c r="C84" s="4"/>
      <c r="D84" s="44" t="s">
        <v>113</v>
      </c>
      <c r="E84" s="4"/>
      <c r="F84" s="4"/>
    </row>
    <row r="85" spans="1:10" x14ac:dyDescent="0.25">
      <c r="A85" s="4">
        <v>16</v>
      </c>
      <c r="B85" s="4" t="s">
        <v>74</v>
      </c>
      <c r="C85" s="4" t="s">
        <v>75</v>
      </c>
      <c r="D85" s="4" t="s">
        <v>114</v>
      </c>
      <c r="E85" s="4"/>
      <c r="F85" s="4"/>
    </row>
    <row r="86" spans="1:10" x14ac:dyDescent="0.25">
      <c r="A86" s="29">
        <v>18</v>
      </c>
      <c r="B86" s="29" t="s">
        <v>77</v>
      </c>
      <c r="C86" s="29" t="s">
        <v>78</v>
      </c>
      <c r="D86" s="4"/>
      <c r="E86" s="4"/>
      <c r="F86" s="4"/>
    </row>
    <row r="87" spans="1:10" x14ac:dyDescent="0.25">
      <c r="A87" s="4">
        <v>20</v>
      </c>
      <c r="B87" s="4" t="s">
        <v>80</v>
      </c>
      <c r="C87" s="4" t="s">
        <v>81</v>
      </c>
      <c r="D87" s="4" t="s">
        <v>82</v>
      </c>
      <c r="E87" s="4"/>
      <c r="F87" s="4"/>
    </row>
    <row r="88" spans="1:10" ht="21" x14ac:dyDescent="0.35">
      <c r="A88" s="42" t="s">
        <v>123</v>
      </c>
    </row>
    <row r="89" spans="1:10" x14ac:dyDescent="0.25">
      <c r="C89" t="s">
        <v>115</v>
      </c>
    </row>
    <row r="90" spans="1:10" x14ac:dyDescent="0.25">
      <c r="A90" t="s">
        <v>124</v>
      </c>
      <c r="C90" t="s">
        <v>116</v>
      </c>
      <c r="E90" t="s">
        <v>117</v>
      </c>
      <c r="F90" t="s">
        <v>118</v>
      </c>
    </row>
    <row r="91" spans="1:10" x14ac:dyDescent="0.25">
      <c r="C91" s="4">
        <v>2004</v>
      </c>
      <c r="D91" s="4"/>
      <c r="E91" s="4"/>
      <c r="F91" s="4">
        <v>2005</v>
      </c>
      <c r="G91" s="4"/>
      <c r="H91" s="4"/>
      <c r="I91" s="1"/>
      <c r="J91" s="1"/>
    </row>
    <row r="92" spans="1:10" x14ac:dyDescent="0.25">
      <c r="C92" s="4" t="s">
        <v>119</v>
      </c>
      <c r="D92" s="4" t="s">
        <v>120</v>
      </c>
      <c r="E92" s="4" t="s">
        <v>121</v>
      </c>
      <c r="F92" s="4" t="s">
        <v>119</v>
      </c>
      <c r="G92" s="4" t="s">
        <v>120</v>
      </c>
      <c r="H92" s="4" t="s">
        <v>121</v>
      </c>
      <c r="I92" s="1"/>
      <c r="J92" s="1"/>
    </row>
    <row r="93" spans="1:10" x14ac:dyDescent="0.25">
      <c r="A93" s="38">
        <v>0.5</v>
      </c>
      <c r="B93" s="4" t="s">
        <v>122</v>
      </c>
      <c r="C93" s="4">
        <v>184</v>
      </c>
      <c r="D93" s="4">
        <v>115</v>
      </c>
      <c r="E93" s="4">
        <v>103</v>
      </c>
      <c r="F93" s="4">
        <v>450</v>
      </c>
      <c r="G93" s="4">
        <v>212</v>
      </c>
      <c r="H93" s="4">
        <v>178</v>
      </c>
      <c r="I93" s="1"/>
      <c r="J93" s="1"/>
    </row>
    <row r="94" spans="1:10" x14ac:dyDescent="0.25">
      <c r="A94" s="39">
        <v>1</v>
      </c>
      <c r="B94" s="25" t="s">
        <v>122</v>
      </c>
      <c r="C94" s="25">
        <v>365</v>
      </c>
      <c r="D94" s="25">
        <v>228</v>
      </c>
      <c r="E94" s="25">
        <v>203</v>
      </c>
      <c r="F94" s="25">
        <v>927</v>
      </c>
      <c r="G94" s="25">
        <v>436</v>
      </c>
      <c r="H94" s="25">
        <v>370</v>
      </c>
      <c r="I94" s="41"/>
      <c r="J94" s="41"/>
    </row>
    <row r="95" spans="1:10" x14ac:dyDescent="0.25">
      <c r="A95" s="38">
        <v>1.5</v>
      </c>
      <c r="B95" s="4" t="s">
        <v>122</v>
      </c>
      <c r="C95" s="4">
        <v>547</v>
      </c>
      <c r="D95" s="4">
        <v>339</v>
      </c>
      <c r="E95" s="4">
        <v>295</v>
      </c>
      <c r="F95" s="4">
        <v>1397</v>
      </c>
      <c r="G95" s="4">
        <v>642</v>
      </c>
      <c r="H95" s="4">
        <v>534</v>
      </c>
    </row>
    <row r="98" spans="1:1" x14ac:dyDescent="0.25">
      <c r="A98" t="s">
        <v>127</v>
      </c>
    </row>
    <row r="99" spans="1:1" x14ac:dyDescent="0.25">
      <c r="A99" t="s">
        <v>128</v>
      </c>
    </row>
    <row r="100" spans="1:1" x14ac:dyDescent="0.25">
      <c r="A100" t="s">
        <v>129</v>
      </c>
    </row>
    <row r="101" spans="1:1" x14ac:dyDescent="0.25">
      <c r="A101" t="s">
        <v>130</v>
      </c>
    </row>
    <row r="103" spans="1:1" x14ac:dyDescent="0.25">
      <c r="A103" t="s">
        <v>107</v>
      </c>
    </row>
    <row r="104" spans="1:1" x14ac:dyDescent="0.25">
      <c r="A104" t="s">
        <v>108</v>
      </c>
    </row>
    <row r="107" spans="1:1" ht="18.75" x14ac:dyDescent="0.3">
      <c r="A107" s="21" t="s">
        <v>107</v>
      </c>
    </row>
    <row r="108" spans="1:1" x14ac:dyDescent="0.25">
      <c r="A108" s="22" t="s">
        <v>108</v>
      </c>
    </row>
    <row r="113" spans="1:2" x14ac:dyDescent="0.25">
      <c r="A113" s="4" t="s">
        <v>165</v>
      </c>
      <c r="B113" s="4" t="s">
        <v>166</v>
      </c>
    </row>
    <row r="114" spans="1:2" x14ac:dyDescent="0.25">
      <c r="A114" s="4">
        <v>1</v>
      </c>
      <c r="B114" s="4">
        <v>25.4</v>
      </c>
    </row>
    <row r="115" spans="1:2" x14ac:dyDescent="0.25">
      <c r="A115" s="4">
        <f>(10+15)/2</f>
        <v>12.5</v>
      </c>
      <c r="B115" s="4">
        <f>A115*B114</f>
        <v>317.5</v>
      </c>
    </row>
  </sheetData>
  <hyperlinks>
    <hyperlink ref="C54" r:id="rId1" location="3.3.4 indicative values of crop water needs" xr:uid="{00000000-0004-0000-0000-000000000000}"/>
    <hyperlink ref="A108" r:id="rId2" xr:uid="{00000000-0004-0000-0000-000001000000}"/>
    <hyperlink ref="D84" r:id="rId3" xr:uid="{00000000-0004-0000-0000-000002000000}"/>
    <hyperlink ref="D83" r:id="rId4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118"/>
  <sheetViews>
    <sheetView showGridLines="0" topLeftCell="H4" zoomScale="70" zoomScaleNormal="70" workbookViewId="0">
      <selection activeCell="M9" sqref="M9"/>
    </sheetView>
  </sheetViews>
  <sheetFormatPr defaultRowHeight="15" x14ac:dyDescent="0.25"/>
  <cols>
    <col min="1" max="1" width="13.5703125" customWidth="1"/>
    <col min="2" max="2" width="25.28515625" customWidth="1"/>
    <col min="3" max="3" width="43.85546875" customWidth="1"/>
    <col min="4" max="4" width="18.28515625" bestFit="1" customWidth="1"/>
    <col min="5" max="5" width="21.42578125" customWidth="1"/>
    <col min="6" max="6" width="14.7109375" customWidth="1"/>
    <col min="7" max="7" width="26.42578125" bestFit="1" customWidth="1"/>
    <col min="8" max="8" width="18.28515625" customWidth="1"/>
    <col min="9" max="9" width="15.42578125" bestFit="1" customWidth="1"/>
    <col min="10" max="10" width="48.7109375" bestFit="1" customWidth="1"/>
    <col min="11" max="11" width="26.7109375" bestFit="1" customWidth="1"/>
    <col min="12" max="12" width="55.140625" bestFit="1" customWidth="1"/>
    <col min="13" max="13" width="27.7109375" bestFit="1" customWidth="1"/>
    <col min="17" max="17" width="13.28515625" customWidth="1"/>
    <col min="18" max="18" width="57.28515625" bestFit="1" customWidth="1"/>
  </cols>
  <sheetData>
    <row r="1" spans="1:68" s="3" customFormat="1" ht="60.75" customHeight="1" x14ac:dyDescent="0.3">
      <c r="A1" s="12"/>
      <c r="B1" s="51" t="s">
        <v>144</v>
      </c>
      <c r="C1" s="12"/>
      <c r="D1" s="12"/>
      <c r="E1" s="12"/>
      <c r="F1" s="12"/>
      <c r="H1" s="12"/>
      <c r="I1" s="12"/>
      <c r="J1" s="12"/>
      <c r="K1" s="12"/>
      <c r="L1" s="12"/>
      <c r="M1" s="12"/>
    </row>
    <row r="2" spans="1:68" s="3" customFormat="1" x14ac:dyDescent="0.25">
      <c r="A2" s="12"/>
      <c r="C2" s="12"/>
      <c r="D2" s="12"/>
      <c r="E2" s="12"/>
      <c r="F2" s="12"/>
      <c r="H2" s="12"/>
      <c r="I2" s="12"/>
      <c r="J2" s="12"/>
      <c r="M2" s="12"/>
    </row>
    <row r="3" spans="1:68" s="3" customFormat="1" ht="25.5" customHeight="1" x14ac:dyDescent="0.25">
      <c r="A3" s="12"/>
      <c r="C3" s="12"/>
      <c r="E3" s="12"/>
      <c r="F3" s="12"/>
      <c r="H3" s="12"/>
      <c r="I3" s="12"/>
      <c r="J3" s="12"/>
      <c r="K3" s="12"/>
      <c r="L3" s="12"/>
      <c r="M3" s="12"/>
    </row>
    <row r="4" spans="1:68" ht="27.75" customHeight="1" thickBot="1" x14ac:dyDescent="0.3">
      <c r="A4" s="1"/>
      <c r="B4" s="1"/>
      <c r="C4" s="1"/>
      <c r="D4" s="1"/>
      <c r="E4" s="52"/>
      <c r="F4" s="1"/>
      <c r="H4" s="12"/>
      <c r="I4" s="1"/>
      <c r="J4" s="12"/>
      <c r="K4" s="1"/>
      <c r="L4" s="1"/>
      <c r="M4" s="12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.5" hidden="1" customHeight="1" x14ac:dyDescent="0.25"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s="3" customFormat="1" ht="81" customHeight="1" x14ac:dyDescent="0.25">
      <c r="B6" s="54" t="s">
        <v>50</v>
      </c>
      <c r="C6" s="72" t="s">
        <v>135</v>
      </c>
      <c r="D6" s="87" t="s">
        <v>139</v>
      </c>
      <c r="E6" s="72" t="s">
        <v>5</v>
      </c>
      <c r="F6" s="72" t="s">
        <v>156</v>
      </c>
      <c r="G6" s="72" t="s">
        <v>160</v>
      </c>
      <c r="H6" s="72" t="s">
        <v>159</v>
      </c>
      <c r="I6" s="72" t="s">
        <v>158</v>
      </c>
      <c r="J6" s="53" t="s">
        <v>126</v>
      </c>
      <c r="K6" s="96" t="s">
        <v>162</v>
      </c>
      <c r="L6" s="55" t="s">
        <v>138</v>
      </c>
    </row>
    <row r="7" spans="1:68" ht="15.75" x14ac:dyDescent="0.25">
      <c r="B7" s="69">
        <v>1</v>
      </c>
      <c r="C7" s="71" t="s">
        <v>51</v>
      </c>
      <c r="D7" s="88">
        <v>8062957800</v>
      </c>
      <c r="E7" s="73" t="s">
        <v>52</v>
      </c>
      <c r="F7" s="75">
        <f>D7*100/$D$56</f>
        <v>42.249369903128915</v>
      </c>
      <c r="G7" s="76">
        <v>1200</v>
      </c>
      <c r="H7" s="77">
        <f t="shared" ref="H7:H50" si="0">G7/$G$9</f>
        <v>1.8461538461538463</v>
      </c>
      <c r="I7" s="78">
        <f>H7*$I$9</f>
        <v>390.09230769230771</v>
      </c>
      <c r="J7" s="61" t="s">
        <v>153</v>
      </c>
      <c r="K7" s="97" t="s">
        <v>161</v>
      </c>
      <c r="L7" s="56">
        <f t="shared" ref="L7:L50" si="1">D7*I7/1000</f>
        <v>3145297815.0276923</v>
      </c>
    </row>
    <row r="8" spans="1:68" ht="15.75" x14ac:dyDescent="0.25">
      <c r="B8" s="69">
        <v>2</v>
      </c>
      <c r="C8" s="71" t="s">
        <v>53</v>
      </c>
      <c r="D8" s="88">
        <v>5572380600</v>
      </c>
      <c r="E8" s="73" t="s">
        <v>54</v>
      </c>
      <c r="F8" s="75">
        <f>D8*100/$D$56</f>
        <v>29.198908768990385</v>
      </c>
      <c r="G8" s="76">
        <v>575</v>
      </c>
      <c r="H8" s="77">
        <f t="shared" si="0"/>
        <v>0.88461538461538458</v>
      </c>
      <c r="I8" s="78">
        <f>H8*$I$9</f>
        <v>186.91923076923078</v>
      </c>
      <c r="J8" s="61" t="s">
        <v>153</v>
      </c>
      <c r="K8" s="97" t="s">
        <v>161</v>
      </c>
      <c r="L8" s="56">
        <f t="shared" si="1"/>
        <v>1041585095.3053846</v>
      </c>
    </row>
    <row r="9" spans="1:68" ht="20.25" customHeight="1" x14ac:dyDescent="0.25">
      <c r="B9" s="69">
        <v>3</v>
      </c>
      <c r="C9" s="71" t="s">
        <v>55</v>
      </c>
      <c r="D9" s="88">
        <v>2437922700</v>
      </c>
      <c r="E9" s="73" t="s">
        <v>2</v>
      </c>
      <c r="F9" s="75">
        <f>D9*100/$D$56</f>
        <v>12.774555008527365</v>
      </c>
      <c r="G9" s="76">
        <v>650</v>
      </c>
      <c r="H9" s="77">
        <f t="shared" si="0"/>
        <v>1</v>
      </c>
      <c r="I9" s="78">
        <f>211.3</f>
        <v>211.3</v>
      </c>
      <c r="J9" s="61" t="s">
        <v>157</v>
      </c>
      <c r="K9" s="97" t="s">
        <v>161</v>
      </c>
      <c r="L9" s="56">
        <f t="shared" si="1"/>
        <v>515133066.50999999</v>
      </c>
    </row>
    <row r="10" spans="1:68" ht="15.75" x14ac:dyDescent="0.25">
      <c r="B10" s="69">
        <v>4</v>
      </c>
      <c r="C10" s="71" t="s">
        <v>56</v>
      </c>
      <c r="D10" s="88">
        <v>2002650300</v>
      </c>
      <c r="E10" s="73" t="s">
        <v>1</v>
      </c>
      <c r="F10" s="75">
        <f>D10*100/$D$56</f>
        <v>10.493756188493519</v>
      </c>
      <c r="G10" s="76">
        <v>1000</v>
      </c>
      <c r="H10" s="77">
        <f t="shared" si="0"/>
        <v>1.5384615384615385</v>
      </c>
      <c r="I10" s="78">
        <f t="shared" ref="I10:I50" si="2">H10*$I$9</f>
        <v>325.07692307692309</v>
      </c>
      <c r="J10" s="61" t="s">
        <v>153</v>
      </c>
      <c r="K10" s="97" t="s">
        <v>161</v>
      </c>
      <c r="L10" s="56">
        <f t="shared" si="1"/>
        <v>651015397.52307689</v>
      </c>
    </row>
    <row r="11" spans="1:68" ht="15.75" x14ac:dyDescent="0.25">
      <c r="B11" s="69">
        <v>6</v>
      </c>
      <c r="C11" s="71" t="s">
        <v>58</v>
      </c>
      <c r="D11" s="88">
        <v>226698300</v>
      </c>
      <c r="E11" s="73" t="s">
        <v>59</v>
      </c>
      <c r="F11" s="75">
        <f>D11*100/$D$56</f>
        <v>1.1878842194995103</v>
      </c>
      <c r="G11" s="76">
        <v>550</v>
      </c>
      <c r="H11" s="77">
        <f>G11/$G$9</f>
        <v>0.84615384615384615</v>
      </c>
      <c r="I11" s="78">
        <f>H11*$I$9</f>
        <v>178.7923076923077</v>
      </c>
      <c r="J11" s="61" t="s">
        <v>153</v>
      </c>
      <c r="K11" s="97" t="s">
        <v>161</v>
      </c>
      <c r="L11" s="56">
        <f>D11*I11/1000</f>
        <v>40531912.206923082</v>
      </c>
    </row>
    <row r="12" spans="1:68" s="2" customFormat="1" ht="15.75" x14ac:dyDescent="0.25">
      <c r="C12" s="80"/>
      <c r="D12" s="89"/>
      <c r="E12" s="80" t="s">
        <v>163</v>
      </c>
      <c r="F12" s="80">
        <v>0</v>
      </c>
      <c r="G12" s="90">
        <f>25.4*(10+15)/2</f>
        <v>317.5</v>
      </c>
      <c r="H12" s="91">
        <f>G12/$G$9</f>
        <v>0.48846153846153845</v>
      </c>
      <c r="I12" s="86">
        <f>H12*$I$9</f>
        <v>103.21192307692309</v>
      </c>
      <c r="J12" s="61" t="s">
        <v>172</v>
      </c>
      <c r="K12" s="22" t="s">
        <v>168</v>
      </c>
    </row>
    <row r="13" spans="1:68" s="2" customFormat="1" x14ac:dyDescent="0.25">
      <c r="C13" s="93"/>
      <c r="E13" s="80" t="s">
        <v>170</v>
      </c>
      <c r="F13" s="94">
        <f>SUM(F16:F50)</f>
        <v>4.0955259113603057</v>
      </c>
      <c r="G13" s="90" t="s">
        <v>171</v>
      </c>
      <c r="H13" s="90" t="s">
        <v>171</v>
      </c>
      <c r="I13" s="90" t="s">
        <v>171</v>
      </c>
      <c r="J13" s="29"/>
      <c r="K13" s="92"/>
    </row>
    <row r="14" spans="1:68" x14ac:dyDescent="0.25">
      <c r="E14" s="94">
        <f>SUM(D16:D50)</f>
        <v>781598700</v>
      </c>
    </row>
    <row r="15" spans="1:68" s="95" customFormat="1" x14ac:dyDescent="0.25"/>
    <row r="16" spans="1:68" ht="15.75" x14ac:dyDescent="0.25">
      <c r="B16" s="69">
        <v>5</v>
      </c>
      <c r="C16" s="71" t="s">
        <v>57</v>
      </c>
      <c r="D16" s="74">
        <v>272588400</v>
      </c>
      <c r="E16" s="73" t="s">
        <v>57</v>
      </c>
      <c r="F16" s="75">
        <f t="shared" ref="F16:F50" si="3">D16*100/$D$56</f>
        <v>1.428345332887897</v>
      </c>
      <c r="G16" s="76">
        <v>500</v>
      </c>
      <c r="H16" s="77">
        <f>G16/$G$9</f>
        <v>0.76923076923076927</v>
      </c>
      <c r="I16" s="78">
        <f>H16*$I$9</f>
        <v>162.53846153846155</v>
      </c>
      <c r="J16" s="61" t="s">
        <v>153</v>
      </c>
      <c r="K16" s="58" t="s">
        <v>161</v>
      </c>
      <c r="L16" s="56">
        <f>D16*I16/1000</f>
        <v>44306099.169230774</v>
      </c>
    </row>
    <row r="17" spans="2:70" ht="15.75" x14ac:dyDescent="0.25">
      <c r="B17" s="69">
        <v>7</v>
      </c>
      <c r="C17" s="71" t="s">
        <v>60</v>
      </c>
      <c r="D17" s="74">
        <v>212919300</v>
      </c>
      <c r="E17" s="73" t="s">
        <v>60</v>
      </c>
      <c r="F17" s="75">
        <f t="shared" si="3"/>
        <v>1.115683163468284</v>
      </c>
      <c r="G17" s="76">
        <v>600</v>
      </c>
      <c r="H17" s="77">
        <f>G17/$G$9</f>
        <v>0.92307692307692313</v>
      </c>
      <c r="I17" s="78">
        <f>H17*$I$9</f>
        <v>195.04615384615386</v>
      </c>
      <c r="J17" s="61" t="s">
        <v>153</v>
      </c>
      <c r="K17" s="58" t="s">
        <v>161</v>
      </c>
      <c r="L17" s="56">
        <f>D17*I17/1000</f>
        <v>41529090.544615388</v>
      </c>
    </row>
    <row r="18" spans="2:70" ht="15.75" x14ac:dyDescent="0.25">
      <c r="B18" s="69">
        <v>8</v>
      </c>
      <c r="C18" s="71" t="s">
        <v>61</v>
      </c>
      <c r="D18" s="74">
        <v>164966400</v>
      </c>
      <c r="E18" s="73" t="s">
        <v>62</v>
      </c>
      <c r="F18" s="79">
        <f t="shared" si="3"/>
        <v>0.86441311340951399</v>
      </c>
      <c r="G18" s="76">
        <v>550</v>
      </c>
      <c r="H18" s="77">
        <f>G18/$G$9</f>
        <v>0.84615384615384615</v>
      </c>
      <c r="I18" s="78">
        <f>H18*$I$9</f>
        <v>178.7923076923077</v>
      </c>
      <c r="J18" s="61" t="s">
        <v>153</v>
      </c>
      <c r="K18" s="58" t="s">
        <v>161</v>
      </c>
      <c r="L18" s="56">
        <f>D18*I18/1000</f>
        <v>29494723.347692311</v>
      </c>
    </row>
    <row r="19" spans="2:70" ht="15.75" x14ac:dyDescent="0.25">
      <c r="B19" s="69">
        <v>9</v>
      </c>
      <c r="C19" s="71" t="s">
        <v>63</v>
      </c>
      <c r="D19" s="74">
        <v>55754100</v>
      </c>
      <c r="E19" s="73" t="s">
        <v>63</v>
      </c>
      <c r="F19" s="79">
        <f t="shared" si="3"/>
        <v>0.29214782626247154</v>
      </c>
      <c r="G19" s="76">
        <v>600</v>
      </c>
      <c r="H19" s="77">
        <f t="shared" si="0"/>
        <v>0.92307692307692313</v>
      </c>
      <c r="I19" s="78">
        <f t="shared" si="2"/>
        <v>195.04615384615386</v>
      </c>
      <c r="J19" s="61" t="s">
        <v>153</v>
      </c>
      <c r="K19" s="58" t="s">
        <v>155</v>
      </c>
      <c r="L19" s="56">
        <f t="shared" si="1"/>
        <v>10874622.766153846</v>
      </c>
    </row>
    <row r="20" spans="2:70" ht="15.75" x14ac:dyDescent="0.25">
      <c r="B20" s="70">
        <v>10</v>
      </c>
      <c r="C20" s="80" t="s">
        <v>65</v>
      </c>
      <c r="D20" s="81">
        <v>13920300</v>
      </c>
      <c r="E20" s="82" t="s">
        <v>65</v>
      </c>
      <c r="F20" s="83">
        <f t="shared" si="3"/>
        <v>7.2941458761265676E-2</v>
      </c>
      <c r="G20" s="84">
        <v>550</v>
      </c>
      <c r="H20" s="85">
        <f t="shared" si="0"/>
        <v>0.84615384615384615</v>
      </c>
      <c r="I20" s="78">
        <f t="shared" si="2"/>
        <v>178.7923076923077</v>
      </c>
      <c r="J20" s="61" t="s">
        <v>153</v>
      </c>
      <c r="K20" s="59" t="s">
        <v>64</v>
      </c>
      <c r="L20" s="56">
        <f t="shared" si="1"/>
        <v>2488842.5607692311</v>
      </c>
    </row>
    <row r="21" spans="2:70" ht="15.75" x14ac:dyDescent="0.25">
      <c r="B21" s="69">
        <v>11</v>
      </c>
      <c r="C21" s="71" t="s">
        <v>66</v>
      </c>
      <c r="D21" s="74">
        <v>12924900</v>
      </c>
      <c r="E21" s="73" t="s">
        <v>66</v>
      </c>
      <c r="F21" s="79">
        <f t="shared" si="3"/>
        <v>6.7725628064300533E-2</v>
      </c>
      <c r="G21" s="76">
        <v>550</v>
      </c>
      <c r="H21" s="77">
        <f t="shared" si="0"/>
        <v>0.84615384615384615</v>
      </c>
      <c r="I21" s="78">
        <f t="shared" si="2"/>
        <v>178.7923076923077</v>
      </c>
      <c r="J21" s="61" t="s">
        <v>153</v>
      </c>
      <c r="K21" s="58" t="s">
        <v>161</v>
      </c>
      <c r="L21" s="56">
        <f t="shared" si="1"/>
        <v>2310872.6976923081</v>
      </c>
    </row>
    <row r="22" spans="2:70" ht="15.75" x14ac:dyDescent="0.25">
      <c r="B22" s="69">
        <v>12</v>
      </c>
      <c r="C22" s="71" t="s">
        <v>67</v>
      </c>
      <c r="D22" s="74">
        <v>16182000</v>
      </c>
      <c r="E22" s="73" t="s">
        <v>68</v>
      </c>
      <c r="F22" s="79">
        <f t="shared" si="3"/>
        <v>8.4792618382851029E-2</v>
      </c>
      <c r="G22" s="76">
        <v>550</v>
      </c>
      <c r="H22" s="77">
        <f t="shared" si="0"/>
        <v>0.84615384615384615</v>
      </c>
      <c r="I22" s="78">
        <f t="shared" si="2"/>
        <v>178.7923076923077</v>
      </c>
      <c r="J22" s="61" t="s">
        <v>153</v>
      </c>
      <c r="K22" s="58" t="s">
        <v>161</v>
      </c>
      <c r="L22" s="56">
        <f t="shared" si="1"/>
        <v>2893217.1230769232</v>
      </c>
    </row>
    <row r="23" spans="2:70" ht="15.75" x14ac:dyDescent="0.25">
      <c r="B23" s="69">
        <v>13</v>
      </c>
      <c r="C23" s="71" t="s">
        <v>70</v>
      </c>
      <c r="D23" s="74">
        <v>7269300</v>
      </c>
      <c r="E23" s="73" t="s">
        <v>71</v>
      </c>
      <c r="F23" s="79">
        <f t="shared" si="3"/>
        <v>3.8090655098903657E-2</v>
      </c>
      <c r="G23" s="76">
        <v>550</v>
      </c>
      <c r="H23" s="77">
        <f t="shared" si="0"/>
        <v>0.84615384615384615</v>
      </c>
      <c r="I23" s="78">
        <f t="shared" si="2"/>
        <v>178.7923076923077</v>
      </c>
      <c r="J23" s="61" t="s">
        <v>153</v>
      </c>
      <c r="K23" s="58" t="s">
        <v>69</v>
      </c>
      <c r="L23" s="56">
        <f t="shared" si="1"/>
        <v>1299694.9223076922</v>
      </c>
    </row>
    <row r="24" spans="2:70" ht="15.75" x14ac:dyDescent="0.25">
      <c r="B24" s="69">
        <v>14</v>
      </c>
      <c r="C24" s="71" t="s">
        <v>72</v>
      </c>
      <c r="D24" s="74">
        <v>6989400</v>
      </c>
      <c r="E24" s="73" t="s">
        <v>72</v>
      </c>
      <c r="F24" s="79">
        <f t="shared" si="3"/>
        <v>3.662399746169194E-2</v>
      </c>
      <c r="G24" s="76">
        <v>600</v>
      </c>
      <c r="H24" s="77">
        <f t="shared" si="0"/>
        <v>0.92307692307692313</v>
      </c>
      <c r="I24" s="78">
        <f t="shared" si="2"/>
        <v>195.04615384615386</v>
      </c>
      <c r="J24" s="61" t="s">
        <v>153</v>
      </c>
      <c r="K24" s="58" t="s">
        <v>161</v>
      </c>
      <c r="L24" s="56">
        <f t="shared" si="1"/>
        <v>1363255.5876923078</v>
      </c>
    </row>
    <row r="25" spans="2:70" ht="15.75" x14ac:dyDescent="0.25">
      <c r="B25" s="69">
        <v>15</v>
      </c>
      <c r="C25" s="71" t="s">
        <v>73</v>
      </c>
      <c r="D25" s="74">
        <v>3182400</v>
      </c>
      <c r="E25" s="73" t="s">
        <v>73</v>
      </c>
      <c r="F25" s="79">
        <f t="shared" si="3"/>
        <v>1.6675567219230324E-2</v>
      </c>
      <c r="G25" s="76">
        <v>550</v>
      </c>
      <c r="H25" s="77">
        <f t="shared" si="0"/>
        <v>0.84615384615384615</v>
      </c>
      <c r="I25" s="78">
        <f t="shared" si="2"/>
        <v>178.7923076923077</v>
      </c>
      <c r="J25" s="61" t="s">
        <v>153</v>
      </c>
      <c r="K25" s="58" t="s">
        <v>161</v>
      </c>
      <c r="L25" s="56">
        <f t="shared" si="1"/>
        <v>568988.64</v>
      </c>
    </row>
    <row r="26" spans="2:70" ht="15.75" x14ac:dyDescent="0.25">
      <c r="B26" s="69">
        <v>16</v>
      </c>
      <c r="C26" s="71" t="s">
        <v>75</v>
      </c>
      <c r="D26" s="74">
        <v>2008800</v>
      </c>
      <c r="E26" s="73" t="s">
        <v>75</v>
      </c>
      <c r="F26" s="79">
        <f t="shared" si="3"/>
        <v>1.0525980213043577E-2</v>
      </c>
      <c r="G26" s="76">
        <v>800</v>
      </c>
      <c r="H26" s="77">
        <f t="shared" si="0"/>
        <v>1.2307692307692308</v>
      </c>
      <c r="I26" s="78">
        <f t="shared" si="2"/>
        <v>260.06153846153848</v>
      </c>
      <c r="J26" s="61" t="s">
        <v>153</v>
      </c>
      <c r="K26" s="58" t="s">
        <v>74</v>
      </c>
      <c r="L26" s="56">
        <f t="shared" si="1"/>
        <v>522411.61846153851</v>
      </c>
    </row>
    <row r="27" spans="2:70" s="2" customFormat="1" ht="15.75" x14ac:dyDescent="0.25">
      <c r="B27" s="70">
        <v>17</v>
      </c>
      <c r="C27" s="80" t="s">
        <v>76</v>
      </c>
      <c r="D27" s="81">
        <v>1840500</v>
      </c>
      <c r="E27" s="82" t="s">
        <v>76</v>
      </c>
      <c r="F27" s="83">
        <f t="shared" si="3"/>
        <v>9.6440992543342791E-3</v>
      </c>
      <c r="G27" s="84">
        <v>500</v>
      </c>
      <c r="H27" s="85">
        <f t="shared" si="0"/>
        <v>0.76923076923076927</v>
      </c>
      <c r="I27" s="86">
        <f t="shared" si="2"/>
        <v>162.53846153846155</v>
      </c>
      <c r="J27" s="61" t="s">
        <v>153</v>
      </c>
      <c r="K27" s="59" t="s">
        <v>30</v>
      </c>
      <c r="L27" s="57">
        <f t="shared" si="1"/>
        <v>299152.0384615385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2:70" ht="15.75" x14ac:dyDescent="0.25">
      <c r="B28" s="69">
        <v>18</v>
      </c>
      <c r="C28" s="71" t="s">
        <v>78</v>
      </c>
      <c r="D28" s="74">
        <v>1640700</v>
      </c>
      <c r="E28" s="73" t="s">
        <v>78</v>
      </c>
      <c r="F28" s="79">
        <f t="shared" si="3"/>
        <v>8.5971603621767204E-3</v>
      </c>
      <c r="G28" s="76">
        <v>500</v>
      </c>
      <c r="H28" s="77">
        <f t="shared" si="0"/>
        <v>0.76923076923076927</v>
      </c>
      <c r="I28" s="78">
        <f t="shared" si="2"/>
        <v>162.53846153846155</v>
      </c>
      <c r="J28" s="61" t="s">
        <v>153</v>
      </c>
      <c r="K28" s="58" t="s">
        <v>77</v>
      </c>
      <c r="L28" s="56">
        <f t="shared" si="1"/>
        <v>266676.85384615383</v>
      </c>
    </row>
    <row r="29" spans="2:70" ht="15.75" x14ac:dyDescent="0.25">
      <c r="B29" s="69">
        <v>19</v>
      </c>
      <c r="C29" s="71" t="s">
        <v>79</v>
      </c>
      <c r="D29" s="74">
        <v>1611000</v>
      </c>
      <c r="E29" s="73" t="s">
        <v>79</v>
      </c>
      <c r="F29" s="79">
        <f t="shared" si="3"/>
        <v>8.4415343106397853E-3</v>
      </c>
      <c r="G29" s="76">
        <v>750</v>
      </c>
      <c r="H29" s="77">
        <f t="shared" si="0"/>
        <v>1.1538461538461537</v>
      </c>
      <c r="I29" s="78">
        <f t="shared" si="2"/>
        <v>243.80769230769229</v>
      </c>
      <c r="J29" s="61" t="s">
        <v>153</v>
      </c>
      <c r="K29" s="58" t="s">
        <v>161</v>
      </c>
      <c r="L29" s="56">
        <f t="shared" si="1"/>
        <v>392774.19230769231</v>
      </c>
    </row>
    <row r="30" spans="2:70" ht="15.75" x14ac:dyDescent="0.25">
      <c r="B30" s="69">
        <v>20</v>
      </c>
      <c r="C30" s="71" t="s">
        <v>81</v>
      </c>
      <c r="D30" s="74">
        <v>1359900</v>
      </c>
      <c r="E30" s="73" t="s">
        <v>82</v>
      </c>
      <c r="F30" s="79">
        <f t="shared" si="3"/>
        <v>7.1257867840093386E-3</v>
      </c>
      <c r="G30" s="76">
        <v>550</v>
      </c>
      <c r="H30" s="77">
        <f t="shared" si="0"/>
        <v>0.84615384615384615</v>
      </c>
      <c r="I30" s="78">
        <f t="shared" si="2"/>
        <v>178.7923076923077</v>
      </c>
      <c r="J30" s="61" t="s">
        <v>153</v>
      </c>
      <c r="K30" s="58" t="s">
        <v>80</v>
      </c>
      <c r="L30" s="56">
        <f t="shared" si="1"/>
        <v>243139.65923076923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ht="15.75" x14ac:dyDescent="0.25">
      <c r="B31" s="69">
        <v>21</v>
      </c>
      <c r="C31" s="71" t="s">
        <v>84</v>
      </c>
      <c r="D31" s="74">
        <v>1230300</v>
      </c>
      <c r="E31" s="73" t="s">
        <v>84</v>
      </c>
      <c r="F31" s="79">
        <f t="shared" si="3"/>
        <v>6.4466912863936241E-3</v>
      </c>
      <c r="G31" s="76">
        <v>370</v>
      </c>
      <c r="H31" s="77">
        <f t="shared" si="0"/>
        <v>0.56923076923076921</v>
      </c>
      <c r="I31" s="78">
        <f t="shared" si="2"/>
        <v>120.27846153846154</v>
      </c>
      <c r="J31" s="61" t="s">
        <v>154</v>
      </c>
      <c r="K31" s="58" t="s">
        <v>83</v>
      </c>
      <c r="L31" s="56">
        <f t="shared" si="1"/>
        <v>147978.59123076923</v>
      </c>
    </row>
    <row r="32" spans="2:70" ht="15.75" x14ac:dyDescent="0.25">
      <c r="B32" s="69">
        <v>22</v>
      </c>
      <c r="C32" s="71" t="s">
        <v>85</v>
      </c>
      <c r="D32" s="74">
        <v>1048500</v>
      </c>
      <c r="E32" s="73" t="s">
        <v>85</v>
      </c>
      <c r="F32" s="79">
        <f t="shared" si="3"/>
        <v>5.4940712133493578E-3</v>
      </c>
      <c r="G32" s="76">
        <v>370</v>
      </c>
      <c r="H32" s="77">
        <f t="shared" si="0"/>
        <v>0.56923076923076921</v>
      </c>
      <c r="I32" s="78">
        <f t="shared" si="2"/>
        <v>120.27846153846154</v>
      </c>
      <c r="J32" s="61" t="s">
        <v>154</v>
      </c>
      <c r="K32" s="58" t="s">
        <v>83</v>
      </c>
      <c r="L32" s="56">
        <f t="shared" si="1"/>
        <v>126111.96692307692</v>
      </c>
    </row>
    <row r="33" spans="2:12" ht="15.75" x14ac:dyDescent="0.25">
      <c r="B33" s="69">
        <v>23</v>
      </c>
      <c r="C33" s="71" t="s">
        <v>87</v>
      </c>
      <c r="D33" s="74">
        <v>851400</v>
      </c>
      <c r="E33" s="73" t="s">
        <v>87</v>
      </c>
      <c r="F33" s="79">
        <f t="shared" si="3"/>
        <v>4.4612801440587916E-3</v>
      </c>
      <c r="G33" s="76">
        <v>500</v>
      </c>
      <c r="H33" s="77">
        <f t="shared" si="0"/>
        <v>0.76923076923076927</v>
      </c>
      <c r="I33" s="78">
        <f t="shared" si="2"/>
        <v>162.53846153846155</v>
      </c>
      <c r="J33" s="61" t="s">
        <v>153</v>
      </c>
      <c r="K33" s="58" t="s">
        <v>86</v>
      </c>
      <c r="L33" s="56">
        <f t="shared" si="1"/>
        <v>138385.24615384618</v>
      </c>
    </row>
    <row r="34" spans="2:12" ht="15.75" x14ac:dyDescent="0.25">
      <c r="B34" s="69">
        <v>24</v>
      </c>
      <c r="C34" s="71" t="s">
        <v>88</v>
      </c>
      <c r="D34" s="74">
        <v>785700</v>
      </c>
      <c r="E34" s="73" t="s">
        <v>88</v>
      </c>
      <c r="F34" s="79">
        <f t="shared" si="3"/>
        <v>4.1170164542952692E-3</v>
      </c>
      <c r="G34" s="76">
        <v>400</v>
      </c>
      <c r="H34" s="77">
        <f t="shared" si="0"/>
        <v>0.61538461538461542</v>
      </c>
      <c r="I34" s="78">
        <f t="shared" si="2"/>
        <v>130.03076923076924</v>
      </c>
      <c r="J34" s="61" t="s">
        <v>153</v>
      </c>
      <c r="K34" s="58"/>
      <c r="L34" s="56">
        <f t="shared" si="1"/>
        <v>102165.17538461539</v>
      </c>
    </row>
    <row r="35" spans="2:12" ht="15.75" x14ac:dyDescent="0.25">
      <c r="B35" s="69">
        <v>25</v>
      </c>
      <c r="C35" s="71" t="s">
        <v>89</v>
      </c>
      <c r="D35" s="74">
        <v>662400</v>
      </c>
      <c r="E35" s="73" t="s">
        <v>89</v>
      </c>
      <c r="F35" s="79">
        <f t="shared" si="3"/>
        <v>3.4709325433692076E-3</v>
      </c>
      <c r="G35" s="76">
        <v>500</v>
      </c>
      <c r="H35" s="77">
        <f t="shared" si="0"/>
        <v>0.76923076923076927</v>
      </c>
      <c r="I35" s="78">
        <f t="shared" si="2"/>
        <v>162.53846153846155</v>
      </c>
      <c r="J35" s="61" t="s">
        <v>153</v>
      </c>
      <c r="K35" s="58" t="s">
        <v>86</v>
      </c>
      <c r="L35" s="56">
        <f t="shared" si="1"/>
        <v>107665.47692307693</v>
      </c>
    </row>
    <row r="36" spans="2:12" ht="15.75" x14ac:dyDescent="0.25">
      <c r="B36" s="69">
        <v>26</v>
      </c>
      <c r="C36" s="71" t="s">
        <v>90</v>
      </c>
      <c r="D36" s="74">
        <v>528300</v>
      </c>
      <c r="E36" s="73" t="s">
        <v>90</v>
      </c>
      <c r="F36" s="79">
        <f t="shared" si="3"/>
        <v>2.7682573409751696E-3</v>
      </c>
      <c r="G36" s="76">
        <v>1050</v>
      </c>
      <c r="H36" s="77">
        <f t="shared" si="0"/>
        <v>1.6153846153846154</v>
      </c>
      <c r="I36" s="78">
        <f t="shared" si="2"/>
        <v>341.33076923076925</v>
      </c>
      <c r="J36" s="61" t="s">
        <v>153</v>
      </c>
      <c r="K36" s="58" t="s">
        <v>141</v>
      </c>
      <c r="L36" s="56">
        <f t="shared" si="1"/>
        <v>180325.0453846154</v>
      </c>
    </row>
    <row r="37" spans="2:12" ht="15.75" x14ac:dyDescent="0.25">
      <c r="B37" s="69">
        <v>27</v>
      </c>
      <c r="C37" s="71" t="s">
        <v>27</v>
      </c>
      <c r="D37" s="74">
        <v>378900</v>
      </c>
      <c r="E37" s="73" t="s">
        <v>27</v>
      </c>
      <c r="F37" s="79">
        <f t="shared" si="3"/>
        <v>1.9854111423348321E-3</v>
      </c>
      <c r="G37" s="76">
        <v>800</v>
      </c>
      <c r="H37" s="77">
        <f t="shared" si="0"/>
        <v>1.2307692307692308</v>
      </c>
      <c r="I37" s="78">
        <f t="shared" si="2"/>
        <v>260.06153846153848</v>
      </c>
      <c r="J37" s="61" t="s">
        <v>153</v>
      </c>
      <c r="K37" s="58"/>
      <c r="L37" s="56">
        <f t="shared" si="1"/>
        <v>98537.316923076927</v>
      </c>
    </row>
    <row r="38" spans="2:12" ht="15.75" x14ac:dyDescent="0.25">
      <c r="B38" s="69">
        <v>28</v>
      </c>
      <c r="C38" s="71" t="s">
        <v>91</v>
      </c>
      <c r="D38" s="74">
        <v>318600</v>
      </c>
      <c r="E38" s="73" t="s">
        <v>91</v>
      </c>
      <c r="F38" s="79">
        <f t="shared" si="3"/>
        <v>1.6694430983052984E-3</v>
      </c>
      <c r="G38" s="76">
        <v>1050</v>
      </c>
      <c r="H38" s="77">
        <f t="shared" si="0"/>
        <v>1.6153846153846154</v>
      </c>
      <c r="I38" s="78">
        <f t="shared" si="2"/>
        <v>341.33076923076925</v>
      </c>
      <c r="J38" s="61" t="s">
        <v>153</v>
      </c>
      <c r="K38" s="58" t="s">
        <v>141</v>
      </c>
      <c r="L38" s="56">
        <f t="shared" si="1"/>
        <v>108747.98307692309</v>
      </c>
    </row>
    <row r="39" spans="2:12" ht="15.75" x14ac:dyDescent="0.25">
      <c r="B39" s="69">
        <v>29</v>
      </c>
      <c r="C39" s="71" t="s">
        <v>92</v>
      </c>
      <c r="D39" s="74">
        <v>223200</v>
      </c>
      <c r="E39" s="73" t="s">
        <v>92</v>
      </c>
      <c r="F39" s="79">
        <f t="shared" si="3"/>
        <v>1.1695533570048417E-3</v>
      </c>
      <c r="G39" s="76">
        <v>1050</v>
      </c>
      <c r="H39" s="77">
        <f t="shared" si="0"/>
        <v>1.6153846153846154</v>
      </c>
      <c r="I39" s="78">
        <f t="shared" si="2"/>
        <v>341.33076923076925</v>
      </c>
      <c r="J39" s="61" t="s">
        <v>153</v>
      </c>
      <c r="K39" s="58" t="s">
        <v>141</v>
      </c>
      <c r="L39" s="56">
        <f t="shared" si="1"/>
        <v>76185.027692307689</v>
      </c>
    </row>
    <row r="40" spans="2:12" ht="15.75" x14ac:dyDescent="0.25">
      <c r="B40" s="69">
        <v>30</v>
      </c>
      <c r="C40" s="71" t="s">
        <v>93</v>
      </c>
      <c r="D40" s="74">
        <v>120600</v>
      </c>
      <c r="E40" s="73" t="s">
        <v>93</v>
      </c>
      <c r="F40" s="79">
        <f t="shared" si="3"/>
        <v>6.3193608805906768E-4</v>
      </c>
      <c r="G40" s="76">
        <v>425</v>
      </c>
      <c r="H40" s="77">
        <f t="shared" si="0"/>
        <v>0.65384615384615385</v>
      </c>
      <c r="I40" s="78">
        <f t="shared" si="2"/>
        <v>138.15769230769232</v>
      </c>
      <c r="J40" s="61" t="s">
        <v>153</v>
      </c>
      <c r="K40" s="58" t="s">
        <v>142</v>
      </c>
      <c r="L40" s="56">
        <f t="shared" si="1"/>
        <v>16661.817692307694</v>
      </c>
    </row>
    <row r="41" spans="2:12" ht="15.75" x14ac:dyDescent="0.25">
      <c r="B41" s="69">
        <v>31</v>
      </c>
      <c r="C41" s="71" t="s">
        <v>21</v>
      </c>
      <c r="D41" s="74">
        <v>82800</v>
      </c>
      <c r="E41" s="73" t="s">
        <v>21</v>
      </c>
      <c r="F41" s="79">
        <f t="shared" si="3"/>
        <v>4.3386656792115095E-4</v>
      </c>
      <c r="G41" s="76">
        <v>425</v>
      </c>
      <c r="H41" s="77">
        <f t="shared" si="0"/>
        <v>0.65384615384615385</v>
      </c>
      <c r="I41" s="78">
        <f t="shared" si="2"/>
        <v>138.15769230769232</v>
      </c>
      <c r="J41" s="61" t="s">
        <v>153</v>
      </c>
      <c r="K41" s="58" t="s">
        <v>161</v>
      </c>
      <c r="L41" s="56">
        <f t="shared" si="1"/>
        <v>11439.456923076925</v>
      </c>
    </row>
    <row r="42" spans="2:12" ht="15.75" x14ac:dyDescent="0.25">
      <c r="B42" s="69">
        <v>32</v>
      </c>
      <c r="C42" s="71" t="s">
        <v>94</v>
      </c>
      <c r="D42" s="74">
        <v>41400</v>
      </c>
      <c r="E42" s="73" t="s">
        <v>94</v>
      </c>
      <c r="F42" s="79">
        <f t="shared" si="3"/>
        <v>2.1693328396057548E-4</v>
      </c>
      <c r="G42" s="76">
        <v>425</v>
      </c>
      <c r="H42" s="77">
        <f t="shared" si="0"/>
        <v>0.65384615384615385</v>
      </c>
      <c r="I42" s="78">
        <f t="shared" si="2"/>
        <v>138.15769230769232</v>
      </c>
      <c r="J42" s="61" t="s">
        <v>153</v>
      </c>
      <c r="K42" s="58" t="s">
        <v>161</v>
      </c>
      <c r="L42" s="56">
        <f t="shared" si="1"/>
        <v>5719.7284615384624</v>
      </c>
    </row>
    <row r="43" spans="2:12" ht="15.75" x14ac:dyDescent="0.25">
      <c r="B43" s="69">
        <v>33</v>
      </c>
      <c r="C43" s="71" t="s">
        <v>96</v>
      </c>
      <c r="D43" s="74">
        <v>41400</v>
      </c>
      <c r="E43" s="73" t="s">
        <v>96</v>
      </c>
      <c r="F43" s="79">
        <f t="shared" si="3"/>
        <v>2.1693328396057548E-4</v>
      </c>
      <c r="G43" s="76">
        <v>500</v>
      </c>
      <c r="H43" s="77">
        <f t="shared" si="0"/>
        <v>0.76923076923076927</v>
      </c>
      <c r="I43" s="78">
        <f t="shared" si="2"/>
        <v>162.53846153846155</v>
      </c>
      <c r="J43" s="61" t="s">
        <v>153</v>
      </c>
      <c r="K43" s="58" t="s">
        <v>95</v>
      </c>
      <c r="L43" s="56">
        <f t="shared" si="1"/>
        <v>6729.0923076923082</v>
      </c>
    </row>
    <row r="44" spans="2:12" ht="15.75" x14ac:dyDescent="0.25">
      <c r="B44" s="69">
        <v>34</v>
      </c>
      <c r="C44" s="71" t="s">
        <v>97</v>
      </c>
      <c r="D44" s="74">
        <v>32400</v>
      </c>
      <c r="E44" s="73" t="s">
        <v>97</v>
      </c>
      <c r="F44" s="79">
        <f t="shared" si="3"/>
        <v>1.6977387440392865E-4</v>
      </c>
      <c r="G44" s="76">
        <v>1200</v>
      </c>
      <c r="H44" s="77">
        <f t="shared" si="0"/>
        <v>1.8461538461538463</v>
      </c>
      <c r="I44" s="78">
        <f t="shared" si="2"/>
        <v>390.09230769230771</v>
      </c>
      <c r="J44" s="61" t="s">
        <v>153</v>
      </c>
      <c r="K44" s="58" t="s">
        <v>131</v>
      </c>
      <c r="L44" s="56">
        <f t="shared" si="1"/>
        <v>12638.99076923077</v>
      </c>
    </row>
    <row r="45" spans="2:12" ht="15.75" x14ac:dyDescent="0.25">
      <c r="B45" s="69">
        <v>35</v>
      </c>
      <c r="C45" s="71" t="s">
        <v>98</v>
      </c>
      <c r="D45" s="74">
        <v>31500</v>
      </c>
      <c r="E45" s="73" t="s">
        <v>98</v>
      </c>
      <c r="F45" s="79">
        <f t="shared" si="3"/>
        <v>1.6505793344826394E-4</v>
      </c>
      <c r="G45" s="76">
        <v>600</v>
      </c>
      <c r="H45" s="77">
        <f t="shared" si="0"/>
        <v>0.92307692307692313</v>
      </c>
      <c r="I45" s="78">
        <f t="shared" si="2"/>
        <v>195.04615384615386</v>
      </c>
      <c r="J45" s="61" t="s">
        <v>153</v>
      </c>
      <c r="K45" s="58"/>
      <c r="L45" s="56">
        <f t="shared" si="1"/>
        <v>6143.9538461538468</v>
      </c>
    </row>
    <row r="46" spans="2:12" ht="15.75" x14ac:dyDescent="0.25">
      <c r="B46" s="69">
        <v>36</v>
      </c>
      <c r="C46" s="71" t="s">
        <v>99</v>
      </c>
      <c r="D46" s="74">
        <v>22500</v>
      </c>
      <c r="E46" s="73" t="s">
        <v>99</v>
      </c>
      <c r="F46" s="79">
        <f t="shared" si="3"/>
        <v>1.1789852389161712E-4</v>
      </c>
      <c r="G46" s="76">
        <v>425</v>
      </c>
      <c r="H46" s="77">
        <f t="shared" si="0"/>
        <v>0.65384615384615385</v>
      </c>
      <c r="I46" s="78">
        <f t="shared" si="2"/>
        <v>138.15769230769232</v>
      </c>
      <c r="J46" s="61" t="s">
        <v>153</v>
      </c>
      <c r="K46" s="58" t="s">
        <v>142</v>
      </c>
      <c r="L46" s="56">
        <f t="shared" si="1"/>
        <v>3108.5480769230771</v>
      </c>
    </row>
    <row r="47" spans="2:12" ht="15.75" x14ac:dyDescent="0.25">
      <c r="B47" s="69">
        <v>37</v>
      </c>
      <c r="C47" s="71" t="s">
        <v>100</v>
      </c>
      <c r="D47" s="74">
        <v>15300</v>
      </c>
      <c r="E47" s="73" t="s">
        <v>100</v>
      </c>
      <c r="F47" s="79">
        <f t="shared" si="3"/>
        <v>8.0170996246299635E-5</v>
      </c>
      <c r="G47" s="76">
        <v>800</v>
      </c>
      <c r="H47" s="77">
        <f t="shared" si="0"/>
        <v>1.2307692307692308</v>
      </c>
      <c r="I47" s="78">
        <f t="shared" si="2"/>
        <v>260.06153846153848</v>
      </c>
      <c r="J47" s="61" t="s">
        <v>153</v>
      </c>
      <c r="K47" s="58" t="s">
        <v>143</v>
      </c>
      <c r="L47" s="56">
        <f t="shared" si="1"/>
        <v>3978.9415384615386</v>
      </c>
    </row>
    <row r="48" spans="2:12" ht="15.75" x14ac:dyDescent="0.25">
      <c r="B48" s="69">
        <v>38</v>
      </c>
      <c r="C48" s="71" t="s">
        <v>101</v>
      </c>
      <c r="D48" s="74">
        <v>14400</v>
      </c>
      <c r="E48" s="73" t="s">
        <v>101</v>
      </c>
      <c r="F48" s="79">
        <f t="shared" si="3"/>
        <v>7.5455055290634947E-5</v>
      </c>
      <c r="G48" s="76">
        <v>450</v>
      </c>
      <c r="H48" s="77">
        <f t="shared" si="0"/>
        <v>0.69230769230769229</v>
      </c>
      <c r="I48" s="78">
        <f t="shared" si="2"/>
        <v>146.28461538461539</v>
      </c>
      <c r="J48" s="61" t="s">
        <v>153</v>
      </c>
      <c r="K48" s="58"/>
      <c r="L48" s="56">
        <f t="shared" si="1"/>
        <v>2106.4984615384615</v>
      </c>
    </row>
    <row r="49" spans="1:70" ht="15.75" x14ac:dyDescent="0.25">
      <c r="B49" s="69">
        <v>39</v>
      </c>
      <c r="C49" s="71" t="s">
        <v>103</v>
      </c>
      <c r="D49" s="74">
        <v>10800</v>
      </c>
      <c r="E49" s="73" t="s">
        <v>103</v>
      </c>
      <c r="F49" s="79">
        <f t="shared" si="3"/>
        <v>5.6591291467976213E-5</v>
      </c>
      <c r="G49" s="76">
        <v>500</v>
      </c>
      <c r="H49" s="77">
        <f t="shared" si="0"/>
        <v>0.76923076923076927</v>
      </c>
      <c r="I49" s="78">
        <f t="shared" si="2"/>
        <v>162.53846153846155</v>
      </c>
      <c r="J49" s="61" t="s">
        <v>153</v>
      </c>
      <c r="K49" s="58" t="s">
        <v>102</v>
      </c>
      <c r="L49" s="56">
        <f t="shared" si="1"/>
        <v>1755.4153846153847</v>
      </c>
    </row>
    <row r="50" spans="1:70" ht="16.5" thickBot="1" x14ac:dyDescent="0.3">
      <c r="B50" s="69">
        <v>40</v>
      </c>
      <c r="C50" s="71" t="s">
        <v>105</v>
      </c>
      <c r="D50" s="74">
        <v>900</v>
      </c>
      <c r="E50" s="73" t="s">
        <v>105</v>
      </c>
      <c r="F50" s="79">
        <f t="shared" si="3"/>
        <v>4.7159409556646842E-6</v>
      </c>
      <c r="G50" s="76">
        <v>1000</v>
      </c>
      <c r="H50" s="77">
        <f t="shared" si="0"/>
        <v>1.5384615384615385</v>
      </c>
      <c r="I50" s="78">
        <f t="shared" si="2"/>
        <v>325.07692307692309</v>
      </c>
      <c r="J50" s="62" t="s">
        <v>153</v>
      </c>
      <c r="K50" s="60" t="s">
        <v>104</v>
      </c>
      <c r="L50" s="56">
        <f t="shared" si="1"/>
        <v>292.56923076923078</v>
      </c>
    </row>
    <row r="52" spans="1:70" x14ac:dyDescent="0.25">
      <c r="H52" s="20"/>
      <c r="I52" s="20"/>
      <c r="K52" s="20"/>
      <c r="L52" s="20"/>
    </row>
    <row r="53" spans="1:70" x14ac:dyDescent="0.25">
      <c r="D53" s="47"/>
      <c r="K53" s="20"/>
      <c r="L53" s="20"/>
    </row>
    <row r="54" spans="1:70" x14ac:dyDescent="0.25"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6" spans="1:70" x14ac:dyDescent="0.25">
      <c r="C56" t="s">
        <v>169</v>
      </c>
      <c r="D56" s="13">
        <f>SUM(D7:D50)</f>
        <v>19084208400</v>
      </c>
      <c r="F56" s="5">
        <f>D56*100/$D$56</f>
        <v>100</v>
      </c>
      <c r="K56" s="6"/>
      <c r="L56" s="6"/>
    </row>
    <row r="57" spans="1:70" ht="25.5" customHeight="1" x14ac:dyDescent="0.25">
      <c r="C57" s="22"/>
    </row>
    <row r="58" spans="1:70" ht="90.6" customHeight="1" x14ac:dyDescent="0.25">
      <c r="C58" s="63"/>
      <c r="D58" s="99">
        <f>D56-'[1]TableS3. Water needs entire AP'!$D$48</f>
        <v>0</v>
      </c>
    </row>
    <row r="61" spans="1:7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7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70" x14ac:dyDescent="0.25">
      <c r="B63" t="s">
        <v>134</v>
      </c>
      <c r="G63" s="45"/>
      <c r="J63" s="3"/>
      <c r="K63" s="3"/>
    </row>
    <row r="64" spans="1:70" x14ac:dyDescent="0.25">
      <c r="C64" s="22" t="s">
        <v>109</v>
      </c>
    </row>
    <row r="65" spans="1:9" ht="18.75" x14ac:dyDescent="0.3">
      <c r="A65" s="12"/>
      <c r="B65" s="24" t="s">
        <v>110</v>
      </c>
      <c r="C65" s="14" t="s">
        <v>133</v>
      </c>
      <c r="E65" s="12"/>
      <c r="G65" s="6"/>
      <c r="H65" s="6"/>
      <c r="I65" s="6"/>
    </row>
    <row r="66" spans="1:9" x14ac:dyDescent="0.25">
      <c r="A66" s="23" t="s">
        <v>5</v>
      </c>
      <c r="B66" s="23" t="s">
        <v>6</v>
      </c>
      <c r="C66" s="23" t="s">
        <v>7</v>
      </c>
      <c r="D66" s="4"/>
      <c r="E66" s="25" t="s">
        <v>8</v>
      </c>
    </row>
    <row r="67" spans="1:9" x14ac:dyDescent="0.25">
      <c r="A67" s="23"/>
      <c r="B67" s="23" t="s">
        <v>9</v>
      </c>
      <c r="C67" s="23"/>
      <c r="D67" s="4"/>
      <c r="E67" s="25" t="s">
        <v>10</v>
      </c>
    </row>
    <row r="68" spans="1:9" x14ac:dyDescent="0.25">
      <c r="A68" s="4"/>
      <c r="B68" s="4"/>
      <c r="C68" s="4"/>
      <c r="D68" s="4"/>
      <c r="E68" s="4"/>
    </row>
    <row r="69" spans="1:9" x14ac:dyDescent="0.25">
      <c r="A69" s="9" t="s">
        <v>0</v>
      </c>
      <c r="B69" s="10" t="s">
        <v>11</v>
      </c>
      <c r="C69" s="9" t="s">
        <v>12</v>
      </c>
      <c r="D69" s="10">
        <f>800+1600</f>
        <v>2400</v>
      </c>
      <c r="E69" s="28">
        <f t="shared" ref="E69:E89" si="4">D69/2</f>
        <v>1200</v>
      </c>
    </row>
    <row r="70" spans="1:9" x14ac:dyDescent="0.25">
      <c r="A70" s="9" t="s">
        <v>13</v>
      </c>
      <c r="B70" s="10" t="s">
        <v>14</v>
      </c>
      <c r="C70" s="9" t="s">
        <v>15</v>
      </c>
      <c r="D70" s="10">
        <f>1200+2200</f>
        <v>3400</v>
      </c>
      <c r="E70" s="28">
        <f t="shared" si="4"/>
        <v>1700</v>
      </c>
    </row>
    <row r="71" spans="1:9" ht="25.5" x14ac:dyDescent="0.25">
      <c r="A71" s="9" t="s">
        <v>16</v>
      </c>
      <c r="B71" s="10" t="s">
        <v>17</v>
      </c>
      <c r="C71" s="9" t="s">
        <v>12</v>
      </c>
      <c r="D71" s="10">
        <f>450+650</f>
        <v>1100</v>
      </c>
      <c r="E71" s="28">
        <f t="shared" si="4"/>
        <v>550</v>
      </c>
    </row>
    <row r="72" spans="1:9" ht="14.45" customHeight="1" x14ac:dyDescent="0.25">
      <c r="A72" s="9" t="s">
        <v>18</v>
      </c>
      <c r="B72" s="10" t="s">
        <v>19</v>
      </c>
      <c r="C72" s="9" t="s">
        <v>20</v>
      </c>
      <c r="D72" s="10">
        <f>300+500</f>
        <v>800</v>
      </c>
      <c r="E72" s="28">
        <f t="shared" si="4"/>
        <v>400</v>
      </c>
    </row>
    <row r="73" spans="1:9" ht="14.45" customHeight="1" x14ac:dyDescent="0.25">
      <c r="A73" s="9" t="s">
        <v>21</v>
      </c>
      <c r="B73" s="10" t="s">
        <v>22</v>
      </c>
      <c r="C73" s="9" t="s">
        <v>20</v>
      </c>
      <c r="D73" s="10">
        <f>350+500</f>
        <v>850</v>
      </c>
      <c r="E73" s="28">
        <f t="shared" si="4"/>
        <v>425</v>
      </c>
    </row>
    <row r="74" spans="1:9" ht="14.45" customHeight="1" x14ac:dyDescent="0.25">
      <c r="A74" s="9" t="s">
        <v>23</v>
      </c>
      <c r="B74" s="10" t="s">
        <v>24</v>
      </c>
      <c r="C74" s="9" t="s">
        <v>12</v>
      </c>
      <c r="D74" s="10">
        <f>900+1200</f>
        <v>2100</v>
      </c>
      <c r="E74" s="28">
        <f t="shared" si="4"/>
        <v>1050</v>
      </c>
    </row>
    <row r="75" spans="1:9" ht="14.45" customHeight="1" x14ac:dyDescent="0.25">
      <c r="A75" s="9" t="s">
        <v>1</v>
      </c>
      <c r="B75" s="10" t="s">
        <v>25</v>
      </c>
      <c r="C75" s="9" t="s">
        <v>26</v>
      </c>
      <c r="D75" s="10">
        <f>700+1300</f>
        <v>2000</v>
      </c>
      <c r="E75" s="28">
        <f t="shared" si="4"/>
        <v>1000</v>
      </c>
    </row>
    <row r="76" spans="1:9" ht="14.45" customHeight="1" x14ac:dyDescent="0.25">
      <c r="A76" s="9" t="s">
        <v>28</v>
      </c>
      <c r="B76" s="10" t="s">
        <v>29</v>
      </c>
      <c r="C76" s="9" t="s">
        <v>20</v>
      </c>
      <c r="D76" s="10">
        <f>500+800</f>
        <v>1300</v>
      </c>
      <c r="E76" s="28">
        <f t="shared" si="4"/>
        <v>650</v>
      </c>
    </row>
    <row r="77" spans="1:9" ht="14.45" customHeight="1" x14ac:dyDescent="0.25">
      <c r="A77" s="9" t="s">
        <v>30</v>
      </c>
      <c r="B77" s="10" t="s">
        <v>31</v>
      </c>
      <c r="C77" s="9" t="s">
        <v>20</v>
      </c>
      <c r="D77" s="10">
        <f>400+600</f>
        <v>1000</v>
      </c>
      <c r="E77" s="28">
        <f t="shared" si="4"/>
        <v>500</v>
      </c>
    </row>
    <row r="78" spans="1:9" ht="14.45" customHeight="1" x14ac:dyDescent="0.25">
      <c r="A78" s="9" t="s">
        <v>32</v>
      </c>
      <c r="B78" s="10" t="s">
        <v>33</v>
      </c>
      <c r="C78" s="9" t="s">
        <v>20</v>
      </c>
      <c r="D78" s="10">
        <f>350+550</f>
        <v>900</v>
      </c>
      <c r="E78" s="28">
        <f t="shared" si="4"/>
        <v>450</v>
      </c>
    </row>
    <row r="79" spans="1:9" ht="14.45" customHeight="1" x14ac:dyDescent="0.25">
      <c r="A79" s="9" t="s">
        <v>34</v>
      </c>
      <c r="B79" s="10" t="s">
        <v>35</v>
      </c>
      <c r="C79" s="9" t="s">
        <v>12</v>
      </c>
      <c r="D79" s="10">
        <f>500+700</f>
        <v>1200</v>
      </c>
      <c r="E79" s="28">
        <f t="shared" si="4"/>
        <v>600</v>
      </c>
    </row>
    <row r="80" spans="1:9" ht="14.45" customHeight="1" x14ac:dyDescent="0.25">
      <c r="A80" s="9" t="s">
        <v>36</v>
      </c>
      <c r="B80" s="10" t="s">
        <v>22</v>
      </c>
      <c r="C80" s="9" t="s">
        <v>20</v>
      </c>
      <c r="D80" s="10">
        <f>350+500</f>
        <v>850</v>
      </c>
      <c r="E80" s="28">
        <f t="shared" si="4"/>
        <v>425</v>
      </c>
    </row>
    <row r="81" spans="1:12" ht="14.45" customHeight="1" x14ac:dyDescent="0.25">
      <c r="A81" s="9" t="s">
        <v>37</v>
      </c>
      <c r="B81" s="10" t="s">
        <v>38</v>
      </c>
      <c r="C81" s="9" t="s">
        <v>20</v>
      </c>
      <c r="D81" s="10">
        <f>600+900</f>
        <v>1500</v>
      </c>
      <c r="E81" s="28">
        <f t="shared" si="4"/>
        <v>750</v>
      </c>
    </row>
    <row r="82" spans="1:12" ht="14.45" customHeight="1" x14ac:dyDescent="0.25">
      <c r="A82" s="9" t="s">
        <v>39</v>
      </c>
      <c r="B82" s="10" t="s">
        <v>35</v>
      </c>
      <c r="C82" s="9" t="s">
        <v>15</v>
      </c>
      <c r="D82" s="10">
        <f>500+700</f>
        <v>1200</v>
      </c>
      <c r="E82" s="28">
        <f t="shared" si="4"/>
        <v>600</v>
      </c>
    </row>
    <row r="83" spans="1:12" ht="14.45" customHeight="1" x14ac:dyDescent="0.25">
      <c r="A83" s="9" t="s">
        <v>4</v>
      </c>
      <c r="B83" s="10" t="s">
        <v>40</v>
      </c>
      <c r="C83" s="9" t="s">
        <v>15</v>
      </c>
      <c r="D83" s="10">
        <f>450+700</f>
        <v>1150</v>
      </c>
      <c r="E83" s="28">
        <f t="shared" si="4"/>
        <v>575</v>
      </c>
      <c r="J83" s="2"/>
      <c r="K83" s="2"/>
    </row>
    <row r="84" spans="1:12" ht="14.45" customHeight="1" x14ac:dyDescent="0.25">
      <c r="A84" s="9" t="s">
        <v>41</v>
      </c>
      <c r="B84" s="10" t="s">
        <v>17</v>
      </c>
      <c r="C84" s="9" t="s">
        <v>26</v>
      </c>
      <c r="D84" s="10">
        <f>450+650</f>
        <v>1100</v>
      </c>
      <c r="E84" s="28">
        <f t="shared" si="4"/>
        <v>550</v>
      </c>
    </row>
    <row r="85" spans="1:12" x14ac:dyDescent="0.25">
      <c r="A85" s="34" t="s">
        <v>3</v>
      </c>
      <c r="B85" s="35" t="s">
        <v>40</v>
      </c>
      <c r="C85" s="34" t="s">
        <v>12</v>
      </c>
      <c r="D85" s="35">
        <f>450+700</f>
        <v>1150</v>
      </c>
      <c r="E85" s="36">
        <f t="shared" si="4"/>
        <v>575</v>
      </c>
    </row>
    <row r="86" spans="1:12" x14ac:dyDescent="0.25">
      <c r="A86" s="9" t="s">
        <v>42</v>
      </c>
      <c r="B86" s="10" t="s">
        <v>43</v>
      </c>
      <c r="C86" s="9" t="s">
        <v>12</v>
      </c>
      <c r="D86" s="10">
        <f>550+750</f>
        <v>1300</v>
      </c>
      <c r="E86" s="28">
        <f t="shared" si="4"/>
        <v>650</v>
      </c>
    </row>
    <row r="87" spans="1:12" x14ac:dyDescent="0.25">
      <c r="A87" s="9" t="s">
        <v>44</v>
      </c>
      <c r="B87" s="10" t="s">
        <v>45</v>
      </c>
      <c r="C87" s="9" t="s">
        <v>15</v>
      </c>
      <c r="D87" s="10">
        <f>1500+2500</f>
        <v>4000</v>
      </c>
      <c r="E87" s="28">
        <f t="shared" si="4"/>
        <v>2000</v>
      </c>
    </row>
    <row r="88" spans="1:12" x14ac:dyDescent="0.25">
      <c r="A88" s="9" t="s">
        <v>27</v>
      </c>
      <c r="B88" s="10" t="s">
        <v>46</v>
      </c>
      <c r="C88" s="9" t="s">
        <v>12</v>
      </c>
      <c r="D88" s="10">
        <f>600+1000</f>
        <v>1600</v>
      </c>
      <c r="E88" s="28">
        <f t="shared" si="4"/>
        <v>800</v>
      </c>
    </row>
    <row r="89" spans="1:12" x14ac:dyDescent="0.25">
      <c r="A89" s="9" t="s">
        <v>47</v>
      </c>
      <c r="B89" s="10" t="s">
        <v>48</v>
      </c>
      <c r="C89" s="9" t="s">
        <v>20</v>
      </c>
      <c r="D89" s="10">
        <f>400+800</f>
        <v>1200</v>
      </c>
      <c r="E89" s="28">
        <f t="shared" si="4"/>
        <v>600</v>
      </c>
    </row>
    <row r="92" spans="1:12" ht="23.25" x14ac:dyDescent="0.35">
      <c r="A92" s="43" t="s">
        <v>132</v>
      </c>
      <c r="L92" s="1"/>
    </row>
    <row r="93" spans="1:12" x14ac:dyDescent="0.25">
      <c r="A93" s="4">
        <v>9</v>
      </c>
      <c r="B93" s="4" t="s">
        <v>111</v>
      </c>
      <c r="C93" s="4"/>
      <c r="D93" s="44" t="s">
        <v>112</v>
      </c>
      <c r="E93" s="4"/>
      <c r="F93" s="4"/>
      <c r="L93" s="1"/>
    </row>
    <row r="94" spans="1:12" x14ac:dyDescent="0.25">
      <c r="A94" s="4">
        <v>13</v>
      </c>
      <c r="B94" s="4" t="s">
        <v>69</v>
      </c>
      <c r="C94" s="4"/>
      <c r="D94" s="44" t="s">
        <v>113</v>
      </c>
      <c r="E94" s="4"/>
      <c r="F94" s="4"/>
      <c r="L94" s="1"/>
    </row>
    <row r="95" spans="1:12" x14ac:dyDescent="0.25">
      <c r="A95" s="4">
        <v>16</v>
      </c>
      <c r="B95" s="4" t="s">
        <v>74</v>
      </c>
      <c r="C95" s="4" t="s">
        <v>75</v>
      </c>
      <c r="D95" s="4" t="s">
        <v>114</v>
      </c>
      <c r="E95" s="4"/>
      <c r="F95" s="4"/>
      <c r="L95" s="41"/>
    </row>
    <row r="96" spans="1:12" x14ac:dyDescent="0.25">
      <c r="A96" s="29">
        <v>18</v>
      </c>
      <c r="B96" s="29" t="s">
        <v>77</v>
      </c>
      <c r="C96" s="29" t="s">
        <v>78</v>
      </c>
      <c r="D96" s="4"/>
      <c r="E96" s="4"/>
      <c r="F96" s="4"/>
    </row>
    <row r="97" spans="1:11" x14ac:dyDescent="0.25">
      <c r="A97" s="4">
        <v>20</v>
      </c>
      <c r="B97" s="4" t="s">
        <v>80</v>
      </c>
      <c r="C97" s="4" t="s">
        <v>81</v>
      </c>
      <c r="D97" s="4" t="s">
        <v>82</v>
      </c>
      <c r="E97" s="4"/>
      <c r="F97" s="4"/>
    </row>
    <row r="98" spans="1:11" ht="21" x14ac:dyDescent="0.35">
      <c r="A98" s="42" t="s">
        <v>123</v>
      </c>
    </row>
    <row r="99" spans="1:11" x14ac:dyDescent="0.25">
      <c r="C99" t="s">
        <v>115</v>
      </c>
    </row>
    <row r="100" spans="1:11" x14ac:dyDescent="0.25">
      <c r="A100" t="s">
        <v>124</v>
      </c>
      <c r="C100" t="s">
        <v>116</v>
      </c>
      <c r="E100" t="s">
        <v>117</v>
      </c>
      <c r="F100" t="s">
        <v>118</v>
      </c>
    </row>
    <row r="101" spans="1:11" x14ac:dyDescent="0.25">
      <c r="C101" s="4">
        <v>2004</v>
      </c>
      <c r="D101" s="4"/>
      <c r="E101" s="4"/>
      <c r="F101" s="4">
        <v>2005</v>
      </c>
      <c r="G101" s="4"/>
      <c r="H101" s="4"/>
      <c r="I101" s="1"/>
    </row>
    <row r="102" spans="1:11" x14ac:dyDescent="0.25">
      <c r="C102" s="4" t="s">
        <v>119</v>
      </c>
      <c r="D102" s="4" t="s">
        <v>120</v>
      </c>
      <c r="E102" s="4" t="s">
        <v>121</v>
      </c>
      <c r="F102" s="4" t="s">
        <v>119</v>
      </c>
      <c r="G102" s="4" t="s">
        <v>120</v>
      </c>
      <c r="H102" s="4" t="s">
        <v>121</v>
      </c>
      <c r="I102" s="1"/>
    </row>
    <row r="103" spans="1:11" x14ac:dyDescent="0.25">
      <c r="A103" s="38">
        <v>0.5</v>
      </c>
      <c r="B103" s="4" t="s">
        <v>122</v>
      </c>
      <c r="C103" s="4">
        <v>184</v>
      </c>
      <c r="D103" s="4">
        <v>115</v>
      </c>
      <c r="E103" s="4">
        <v>103</v>
      </c>
      <c r="F103" s="4">
        <v>450</v>
      </c>
      <c r="G103" s="4">
        <v>212</v>
      </c>
      <c r="H103" s="4">
        <v>178</v>
      </c>
      <c r="I103" s="1"/>
    </row>
    <row r="104" spans="1:11" x14ac:dyDescent="0.25">
      <c r="A104" s="39">
        <v>1</v>
      </c>
      <c r="B104" s="25" t="s">
        <v>122</v>
      </c>
      <c r="C104" s="25">
        <v>365</v>
      </c>
      <c r="D104" s="25">
        <v>228</v>
      </c>
      <c r="E104" s="25">
        <v>203</v>
      </c>
      <c r="F104" s="25">
        <v>927</v>
      </c>
      <c r="G104" s="25">
        <v>436</v>
      </c>
      <c r="H104" s="25">
        <v>370</v>
      </c>
      <c r="I104" s="41"/>
    </row>
    <row r="105" spans="1:11" x14ac:dyDescent="0.25">
      <c r="A105" s="38">
        <v>1.5</v>
      </c>
      <c r="B105" s="4" t="s">
        <v>122</v>
      </c>
      <c r="C105" s="4">
        <v>547</v>
      </c>
      <c r="D105" s="4">
        <v>339</v>
      </c>
      <c r="E105" s="4">
        <v>295</v>
      </c>
      <c r="F105" s="4">
        <v>1397</v>
      </c>
      <c r="G105" s="4">
        <v>642</v>
      </c>
      <c r="H105" s="4">
        <v>534</v>
      </c>
      <c r="I105" s="1"/>
    </row>
    <row r="107" spans="1:11" x14ac:dyDescent="0.25">
      <c r="J107" s="11"/>
      <c r="K107" s="11"/>
    </row>
    <row r="108" spans="1:11" x14ac:dyDescent="0.25">
      <c r="A108" t="s">
        <v>127</v>
      </c>
    </row>
    <row r="109" spans="1:11" x14ac:dyDescent="0.25">
      <c r="A109" t="s">
        <v>128</v>
      </c>
    </row>
    <row r="110" spans="1:11" x14ac:dyDescent="0.25">
      <c r="A110" t="s">
        <v>129</v>
      </c>
    </row>
    <row r="111" spans="1:11" x14ac:dyDescent="0.25">
      <c r="A111" t="s">
        <v>130</v>
      </c>
    </row>
    <row r="113" spans="1:1" x14ac:dyDescent="0.25">
      <c r="A113" t="s">
        <v>107</v>
      </c>
    </row>
    <row r="114" spans="1:1" x14ac:dyDescent="0.25">
      <c r="A114" t="s">
        <v>108</v>
      </c>
    </row>
    <row r="117" spans="1:1" ht="18.75" x14ac:dyDescent="0.3">
      <c r="A117" s="21" t="s">
        <v>107</v>
      </c>
    </row>
    <row r="118" spans="1:1" x14ac:dyDescent="0.25">
      <c r="A118" s="22" t="s">
        <v>108</v>
      </c>
    </row>
  </sheetData>
  <hyperlinks>
    <hyperlink ref="C64" r:id="rId1" location="3.3.4 indicative values of crop water needs" xr:uid="{00000000-0004-0000-0100-000000000000}"/>
    <hyperlink ref="A118" r:id="rId2" xr:uid="{00000000-0004-0000-0100-000001000000}"/>
    <hyperlink ref="D94" r:id="rId3" xr:uid="{00000000-0004-0000-0100-000002000000}"/>
    <hyperlink ref="D93" r:id="rId4" xr:uid="{00000000-0004-0000-0100-000003000000}"/>
    <hyperlink ref="K12" r:id="rId5" xr:uid="{00000000-0004-0000-0100-000004000000}"/>
  </hyperlinks>
  <pageMargins left="0.7" right="0.7" top="0.75" bottom="0.75" header="0.3" footer="0.3"/>
  <pageSetup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topLeftCell="B1" zoomScale="115" zoomScaleNormal="115" workbookViewId="0">
      <selection activeCell="C14" sqref="C14"/>
    </sheetView>
  </sheetViews>
  <sheetFormatPr defaultRowHeight="15" x14ac:dyDescent="0.25"/>
  <cols>
    <col min="1" max="1" width="16.28515625" bestFit="1" customWidth="1"/>
    <col min="2" max="2" width="13.140625" customWidth="1"/>
    <col min="3" max="3" width="14.85546875" customWidth="1"/>
    <col min="4" max="4" width="16.28515625" customWidth="1"/>
    <col min="5" max="5" width="18.5703125" customWidth="1"/>
    <col min="6" max="6" width="14.28515625" bestFit="1" customWidth="1"/>
    <col min="7" max="7" width="14.140625" bestFit="1" customWidth="1"/>
    <col min="10" max="10" width="12.28515625" customWidth="1"/>
    <col min="11" max="11" width="10.140625" bestFit="1" customWidth="1"/>
    <col min="12" max="12" width="23.7109375" customWidth="1"/>
    <col min="13" max="13" width="9.140625" bestFit="1" customWidth="1"/>
    <col min="14" max="14" width="10.28515625" bestFit="1" customWidth="1"/>
    <col min="15" max="15" width="10.140625" bestFit="1" customWidth="1"/>
    <col min="16" max="16" width="10.28515625" bestFit="1" customWidth="1"/>
    <col min="257" max="257" width="16.28515625" bestFit="1" customWidth="1"/>
    <col min="258" max="258" width="13.140625" customWidth="1"/>
    <col min="259" max="259" width="14.85546875" customWidth="1"/>
    <col min="260" max="260" width="16.28515625" customWidth="1"/>
    <col min="261" max="261" width="18.5703125" customWidth="1"/>
    <col min="262" max="262" width="14.28515625" bestFit="1" customWidth="1"/>
    <col min="263" max="263" width="14.140625" bestFit="1" customWidth="1"/>
    <col min="266" max="266" width="12.28515625" customWidth="1"/>
    <col min="267" max="267" width="10.140625" bestFit="1" customWidth="1"/>
    <col min="268" max="268" width="23.7109375" customWidth="1"/>
    <col min="270" max="270" width="10.28515625" bestFit="1" customWidth="1"/>
    <col min="271" max="271" width="10.140625" bestFit="1" customWidth="1"/>
    <col min="272" max="272" width="10.28515625" bestFit="1" customWidth="1"/>
    <col min="513" max="513" width="16.28515625" bestFit="1" customWidth="1"/>
    <col min="514" max="514" width="13.140625" customWidth="1"/>
    <col min="515" max="515" width="14.85546875" customWidth="1"/>
    <col min="516" max="516" width="16.28515625" customWidth="1"/>
    <col min="517" max="517" width="18.5703125" customWidth="1"/>
    <col min="518" max="518" width="14.28515625" bestFit="1" customWidth="1"/>
    <col min="519" max="519" width="14.140625" bestFit="1" customWidth="1"/>
    <col min="522" max="522" width="12.28515625" customWidth="1"/>
    <col min="523" max="523" width="10.140625" bestFit="1" customWidth="1"/>
    <col min="524" max="524" width="23.7109375" customWidth="1"/>
    <col min="526" max="526" width="10.28515625" bestFit="1" customWidth="1"/>
    <col min="527" max="527" width="10.140625" bestFit="1" customWidth="1"/>
    <col min="528" max="528" width="10.28515625" bestFit="1" customWidth="1"/>
    <col min="769" max="769" width="16.28515625" bestFit="1" customWidth="1"/>
    <col min="770" max="770" width="13.140625" customWidth="1"/>
    <col min="771" max="771" width="14.85546875" customWidth="1"/>
    <col min="772" max="772" width="16.28515625" customWidth="1"/>
    <col min="773" max="773" width="18.5703125" customWidth="1"/>
    <col min="774" max="774" width="14.28515625" bestFit="1" customWidth="1"/>
    <col min="775" max="775" width="14.140625" bestFit="1" customWidth="1"/>
    <col min="778" max="778" width="12.28515625" customWidth="1"/>
    <col min="779" max="779" width="10.140625" bestFit="1" customWidth="1"/>
    <col min="780" max="780" width="23.7109375" customWidth="1"/>
    <col min="782" max="782" width="10.28515625" bestFit="1" customWidth="1"/>
    <col min="783" max="783" width="10.140625" bestFit="1" customWidth="1"/>
    <col min="784" max="784" width="10.28515625" bestFit="1" customWidth="1"/>
    <col min="1025" max="1025" width="16.28515625" bestFit="1" customWidth="1"/>
    <col min="1026" max="1026" width="13.140625" customWidth="1"/>
    <col min="1027" max="1027" width="14.85546875" customWidth="1"/>
    <col min="1028" max="1028" width="16.28515625" customWidth="1"/>
    <col min="1029" max="1029" width="18.5703125" customWidth="1"/>
    <col min="1030" max="1030" width="14.28515625" bestFit="1" customWidth="1"/>
    <col min="1031" max="1031" width="14.140625" bestFit="1" customWidth="1"/>
    <col min="1034" max="1034" width="12.28515625" customWidth="1"/>
    <col min="1035" max="1035" width="10.140625" bestFit="1" customWidth="1"/>
    <col min="1036" max="1036" width="23.7109375" customWidth="1"/>
    <col min="1038" max="1038" width="10.28515625" bestFit="1" customWidth="1"/>
    <col min="1039" max="1039" width="10.140625" bestFit="1" customWidth="1"/>
    <col min="1040" max="1040" width="10.28515625" bestFit="1" customWidth="1"/>
    <col min="1281" max="1281" width="16.28515625" bestFit="1" customWidth="1"/>
    <col min="1282" max="1282" width="13.140625" customWidth="1"/>
    <col min="1283" max="1283" width="14.85546875" customWidth="1"/>
    <col min="1284" max="1284" width="16.28515625" customWidth="1"/>
    <col min="1285" max="1285" width="18.5703125" customWidth="1"/>
    <col min="1286" max="1286" width="14.28515625" bestFit="1" customWidth="1"/>
    <col min="1287" max="1287" width="14.140625" bestFit="1" customWidth="1"/>
    <col min="1290" max="1290" width="12.28515625" customWidth="1"/>
    <col min="1291" max="1291" width="10.140625" bestFit="1" customWidth="1"/>
    <col min="1292" max="1292" width="23.7109375" customWidth="1"/>
    <col min="1294" max="1294" width="10.28515625" bestFit="1" customWidth="1"/>
    <col min="1295" max="1295" width="10.140625" bestFit="1" customWidth="1"/>
    <col min="1296" max="1296" width="10.28515625" bestFit="1" customWidth="1"/>
    <col min="1537" max="1537" width="16.28515625" bestFit="1" customWidth="1"/>
    <col min="1538" max="1538" width="13.140625" customWidth="1"/>
    <col min="1539" max="1539" width="14.85546875" customWidth="1"/>
    <col min="1540" max="1540" width="16.28515625" customWidth="1"/>
    <col min="1541" max="1541" width="18.5703125" customWidth="1"/>
    <col min="1542" max="1542" width="14.28515625" bestFit="1" customWidth="1"/>
    <col min="1543" max="1543" width="14.140625" bestFit="1" customWidth="1"/>
    <col min="1546" max="1546" width="12.28515625" customWidth="1"/>
    <col min="1547" max="1547" width="10.140625" bestFit="1" customWidth="1"/>
    <col min="1548" max="1548" width="23.7109375" customWidth="1"/>
    <col min="1550" max="1550" width="10.28515625" bestFit="1" customWidth="1"/>
    <col min="1551" max="1551" width="10.140625" bestFit="1" customWidth="1"/>
    <col min="1552" max="1552" width="10.28515625" bestFit="1" customWidth="1"/>
    <col min="1793" max="1793" width="16.28515625" bestFit="1" customWidth="1"/>
    <col min="1794" max="1794" width="13.140625" customWidth="1"/>
    <col min="1795" max="1795" width="14.85546875" customWidth="1"/>
    <col min="1796" max="1796" width="16.28515625" customWidth="1"/>
    <col min="1797" max="1797" width="18.5703125" customWidth="1"/>
    <col min="1798" max="1798" width="14.28515625" bestFit="1" customWidth="1"/>
    <col min="1799" max="1799" width="14.140625" bestFit="1" customWidth="1"/>
    <col min="1802" max="1802" width="12.28515625" customWidth="1"/>
    <col min="1803" max="1803" width="10.140625" bestFit="1" customWidth="1"/>
    <col min="1804" max="1804" width="23.7109375" customWidth="1"/>
    <col min="1806" max="1806" width="10.28515625" bestFit="1" customWidth="1"/>
    <col min="1807" max="1807" width="10.140625" bestFit="1" customWidth="1"/>
    <col min="1808" max="1808" width="10.28515625" bestFit="1" customWidth="1"/>
    <col min="2049" max="2049" width="16.28515625" bestFit="1" customWidth="1"/>
    <col min="2050" max="2050" width="13.140625" customWidth="1"/>
    <col min="2051" max="2051" width="14.85546875" customWidth="1"/>
    <col min="2052" max="2052" width="16.28515625" customWidth="1"/>
    <col min="2053" max="2053" width="18.5703125" customWidth="1"/>
    <col min="2054" max="2054" width="14.28515625" bestFit="1" customWidth="1"/>
    <col min="2055" max="2055" width="14.140625" bestFit="1" customWidth="1"/>
    <col min="2058" max="2058" width="12.28515625" customWidth="1"/>
    <col min="2059" max="2059" width="10.140625" bestFit="1" customWidth="1"/>
    <col min="2060" max="2060" width="23.7109375" customWidth="1"/>
    <col min="2062" max="2062" width="10.28515625" bestFit="1" customWidth="1"/>
    <col min="2063" max="2063" width="10.140625" bestFit="1" customWidth="1"/>
    <col min="2064" max="2064" width="10.28515625" bestFit="1" customWidth="1"/>
    <col min="2305" max="2305" width="16.28515625" bestFit="1" customWidth="1"/>
    <col min="2306" max="2306" width="13.140625" customWidth="1"/>
    <col min="2307" max="2307" width="14.85546875" customWidth="1"/>
    <col min="2308" max="2308" width="16.28515625" customWidth="1"/>
    <col min="2309" max="2309" width="18.5703125" customWidth="1"/>
    <col min="2310" max="2310" width="14.28515625" bestFit="1" customWidth="1"/>
    <col min="2311" max="2311" width="14.140625" bestFit="1" customWidth="1"/>
    <col min="2314" max="2314" width="12.28515625" customWidth="1"/>
    <col min="2315" max="2315" width="10.140625" bestFit="1" customWidth="1"/>
    <col min="2316" max="2316" width="23.7109375" customWidth="1"/>
    <col min="2318" max="2318" width="10.28515625" bestFit="1" customWidth="1"/>
    <col min="2319" max="2319" width="10.140625" bestFit="1" customWidth="1"/>
    <col min="2320" max="2320" width="10.28515625" bestFit="1" customWidth="1"/>
    <col min="2561" max="2561" width="16.28515625" bestFit="1" customWidth="1"/>
    <col min="2562" max="2562" width="13.140625" customWidth="1"/>
    <col min="2563" max="2563" width="14.85546875" customWidth="1"/>
    <col min="2564" max="2564" width="16.28515625" customWidth="1"/>
    <col min="2565" max="2565" width="18.5703125" customWidth="1"/>
    <col min="2566" max="2566" width="14.28515625" bestFit="1" customWidth="1"/>
    <col min="2567" max="2567" width="14.140625" bestFit="1" customWidth="1"/>
    <col min="2570" max="2570" width="12.28515625" customWidth="1"/>
    <col min="2571" max="2571" width="10.140625" bestFit="1" customWidth="1"/>
    <col min="2572" max="2572" width="23.7109375" customWidth="1"/>
    <col min="2574" max="2574" width="10.28515625" bestFit="1" customWidth="1"/>
    <col min="2575" max="2575" width="10.140625" bestFit="1" customWidth="1"/>
    <col min="2576" max="2576" width="10.28515625" bestFit="1" customWidth="1"/>
    <col min="2817" max="2817" width="16.28515625" bestFit="1" customWidth="1"/>
    <col min="2818" max="2818" width="13.140625" customWidth="1"/>
    <col min="2819" max="2819" width="14.85546875" customWidth="1"/>
    <col min="2820" max="2820" width="16.28515625" customWidth="1"/>
    <col min="2821" max="2821" width="18.5703125" customWidth="1"/>
    <col min="2822" max="2822" width="14.28515625" bestFit="1" customWidth="1"/>
    <col min="2823" max="2823" width="14.140625" bestFit="1" customWidth="1"/>
    <col min="2826" max="2826" width="12.28515625" customWidth="1"/>
    <col min="2827" max="2827" width="10.140625" bestFit="1" customWidth="1"/>
    <col min="2828" max="2828" width="23.7109375" customWidth="1"/>
    <col min="2830" max="2830" width="10.28515625" bestFit="1" customWidth="1"/>
    <col min="2831" max="2831" width="10.140625" bestFit="1" customWidth="1"/>
    <col min="2832" max="2832" width="10.28515625" bestFit="1" customWidth="1"/>
    <col min="3073" max="3073" width="16.28515625" bestFit="1" customWidth="1"/>
    <col min="3074" max="3074" width="13.140625" customWidth="1"/>
    <col min="3075" max="3075" width="14.85546875" customWidth="1"/>
    <col min="3076" max="3076" width="16.28515625" customWidth="1"/>
    <col min="3077" max="3077" width="18.5703125" customWidth="1"/>
    <col min="3078" max="3078" width="14.28515625" bestFit="1" customWidth="1"/>
    <col min="3079" max="3079" width="14.140625" bestFit="1" customWidth="1"/>
    <col min="3082" max="3082" width="12.28515625" customWidth="1"/>
    <col min="3083" max="3083" width="10.140625" bestFit="1" customWidth="1"/>
    <col min="3084" max="3084" width="23.7109375" customWidth="1"/>
    <col min="3086" max="3086" width="10.28515625" bestFit="1" customWidth="1"/>
    <col min="3087" max="3087" width="10.140625" bestFit="1" customWidth="1"/>
    <col min="3088" max="3088" width="10.28515625" bestFit="1" customWidth="1"/>
    <col min="3329" max="3329" width="16.28515625" bestFit="1" customWidth="1"/>
    <col min="3330" max="3330" width="13.140625" customWidth="1"/>
    <col min="3331" max="3331" width="14.85546875" customWidth="1"/>
    <col min="3332" max="3332" width="16.28515625" customWidth="1"/>
    <col min="3333" max="3333" width="18.5703125" customWidth="1"/>
    <col min="3334" max="3334" width="14.28515625" bestFit="1" customWidth="1"/>
    <col min="3335" max="3335" width="14.140625" bestFit="1" customWidth="1"/>
    <col min="3338" max="3338" width="12.28515625" customWidth="1"/>
    <col min="3339" max="3339" width="10.140625" bestFit="1" customWidth="1"/>
    <col min="3340" max="3340" width="23.7109375" customWidth="1"/>
    <col min="3342" max="3342" width="10.28515625" bestFit="1" customWidth="1"/>
    <col min="3343" max="3343" width="10.140625" bestFit="1" customWidth="1"/>
    <col min="3344" max="3344" width="10.28515625" bestFit="1" customWidth="1"/>
    <col min="3585" max="3585" width="16.28515625" bestFit="1" customWidth="1"/>
    <col min="3586" max="3586" width="13.140625" customWidth="1"/>
    <col min="3587" max="3587" width="14.85546875" customWidth="1"/>
    <col min="3588" max="3588" width="16.28515625" customWidth="1"/>
    <col min="3589" max="3589" width="18.5703125" customWidth="1"/>
    <col min="3590" max="3590" width="14.28515625" bestFit="1" customWidth="1"/>
    <col min="3591" max="3591" width="14.140625" bestFit="1" customWidth="1"/>
    <col min="3594" max="3594" width="12.28515625" customWidth="1"/>
    <col min="3595" max="3595" width="10.140625" bestFit="1" customWidth="1"/>
    <col min="3596" max="3596" width="23.7109375" customWidth="1"/>
    <col min="3598" max="3598" width="10.28515625" bestFit="1" customWidth="1"/>
    <col min="3599" max="3599" width="10.140625" bestFit="1" customWidth="1"/>
    <col min="3600" max="3600" width="10.28515625" bestFit="1" customWidth="1"/>
    <col min="3841" max="3841" width="16.28515625" bestFit="1" customWidth="1"/>
    <col min="3842" max="3842" width="13.140625" customWidth="1"/>
    <col min="3843" max="3843" width="14.85546875" customWidth="1"/>
    <col min="3844" max="3844" width="16.28515625" customWidth="1"/>
    <col min="3845" max="3845" width="18.5703125" customWidth="1"/>
    <col min="3846" max="3846" width="14.28515625" bestFit="1" customWidth="1"/>
    <col min="3847" max="3847" width="14.140625" bestFit="1" customWidth="1"/>
    <col min="3850" max="3850" width="12.28515625" customWidth="1"/>
    <col min="3851" max="3851" width="10.140625" bestFit="1" customWidth="1"/>
    <col min="3852" max="3852" width="23.7109375" customWidth="1"/>
    <col min="3854" max="3854" width="10.28515625" bestFit="1" customWidth="1"/>
    <col min="3855" max="3855" width="10.140625" bestFit="1" customWidth="1"/>
    <col min="3856" max="3856" width="10.28515625" bestFit="1" customWidth="1"/>
    <col min="4097" max="4097" width="16.28515625" bestFit="1" customWidth="1"/>
    <col min="4098" max="4098" width="13.140625" customWidth="1"/>
    <col min="4099" max="4099" width="14.85546875" customWidth="1"/>
    <col min="4100" max="4100" width="16.28515625" customWidth="1"/>
    <col min="4101" max="4101" width="18.5703125" customWidth="1"/>
    <col min="4102" max="4102" width="14.28515625" bestFit="1" customWidth="1"/>
    <col min="4103" max="4103" width="14.140625" bestFit="1" customWidth="1"/>
    <col min="4106" max="4106" width="12.28515625" customWidth="1"/>
    <col min="4107" max="4107" width="10.140625" bestFit="1" customWidth="1"/>
    <col min="4108" max="4108" width="23.7109375" customWidth="1"/>
    <col min="4110" max="4110" width="10.28515625" bestFit="1" customWidth="1"/>
    <col min="4111" max="4111" width="10.140625" bestFit="1" customWidth="1"/>
    <col min="4112" max="4112" width="10.28515625" bestFit="1" customWidth="1"/>
    <col min="4353" max="4353" width="16.28515625" bestFit="1" customWidth="1"/>
    <col min="4354" max="4354" width="13.140625" customWidth="1"/>
    <col min="4355" max="4355" width="14.85546875" customWidth="1"/>
    <col min="4356" max="4356" width="16.28515625" customWidth="1"/>
    <col min="4357" max="4357" width="18.5703125" customWidth="1"/>
    <col min="4358" max="4358" width="14.28515625" bestFit="1" customWidth="1"/>
    <col min="4359" max="4359" width="14.140625" bestFit="1" customWidth="1"/>
    <col min="4362" max="4362" width="12.28515625" customWidth="1"/>
    <col min="4363" max="4363" width="10.140625" bestFit="1" customWidth="1"/>
    <col min="4364" max="4364" width="23.7109375" customWidth="1"/>
    <col min="4366" max="4366" width="10.28515625" bestFit="1" customWidth="1"/>
    <col min="4367" max="4367" width="10.140625" bestFit="1" customWidth="1"/>
    <col min="4368" max="4368" width="10.28515625" bestFit="1" customWidth="1"/>
    <col min="4609" max="4609" width="16.28515625" bestFit="1" customWidth="1"/>
    <col min="4610" max="4610" width="13.140625" customWidth="1"/>
    <col min="4611" max="4611" width="14.85546875" customWidth="1"/>
    <col min="4612" max="4612" width="16.28515625" customWidth="1"/>
    <col min="4613" max="4613" width="18.5703125" customWidth="1"/>
    <col min="4614" max="4614" width="14.28515625" bestFit="1" customWidth="1"/>
    <col min="4615" max="4615" width="14.140625" bestFit="1" customWidth="1"/>
    <col min="4618" max="4618" width="12.28515625" customWidth="1"/>
    <col min="4619" max="4619" width="10.140625" bestFit="1" customWidth="1"/>
    <col min="4620" max="4620" width="23.7109375" customWidth="1"/>
    <col min="4622" max="4622" width="10.28515625" bestFit="1" customWidth="1"/>
    <col min="4623" max="4623" width="10.140625" bestFit="1" customWidth="1"/>
    <col min="4624" max="4624" width="10.28515625" bestFit="1" customWidth="1"/>
    <col min="4865" max="4865" width="16.28515625" bestFit="1" customWidth="1"/>
    <col min="4866" max="4866" width="13.140625" customWidth="1"/>
    <col min="4867" max="4867" width="14.85546875" customWidth="1"/>
    <col min="4868" max="4868" width="16.28515625" customWidth="1"/>
    <col min="4869" max="4869" width="18.5703125" customWidth="1"/>
    <col min="4870" max="4870" width="14.28515625" bestFit="1" customWidth="1"/>
    <col min="4871" max="4871" width="14.140625" bestFit="1" customWidth="1"/>
    <col min="4874" max="4874" width="12.28515625" customWidth="1"/>
    <col min="4875" max="4875" width="10.140625" bestFit="1" customWidth="1"/>
    <col min="4876" max="4876" width="23.7109375" customWidth="1"/>
    <col min="4878" max="4878" width="10.28515625" bestFit="1" customWidth="1"/>
    <col min="4879" max="4879" width="10.140625" bestFit="1" customWidth="1"/>
    <col min="4880" max="4880" width="10.28515625" bestFit="1" customWidth="1"/>
    <col min="5121" max="5121" width="16.28515625" bestFit="1" customWidth="1"/>
    <col min="5122" max="5122" width="13.140625" customWidth="1"/>
    <col min="5123" max="5123" width="14.85546875" customWidth="1"/>
    <col min="5124" max="5124" width="16.28515625" customWidth="1"/>
    <col min="5125" max="5125" width="18.5703125" customWidth="1"/>
    <col min="5126" max="5126" width="14.28515625" bestFit="1" customWidth="1"/>
    <col min="5127" max="5127" width="14.140625" bestFit="1" customWidth="1"/>
    <col min="5130" max="5130" width="12.28515625" customWidth="1"/>
    <col min="5131" max="5131" width="10.140625" bestFit="1" customWidth="1"/>
    <col min="5132" max="5132" width="23.7109375" customWidth="1"/>
    <col min="5134" max="5134" width="10.28515625" bestFit="1" customWidth="1"/>
    <col min="5135" max="5135" width="10.140625" bestFit="1" customWidth="1"/>
    <col min="5136" max="5136" width="10.28515625" bestFit="1" customWidth="1"/>
    <col min="5377" max="5377" width="16.28515625" bestFit="1" customWidth="1"/>
    <col min="5378" max="5378" width="13.140625" customWidth="1"/>
    <col min="5379" max="5379" width="14.85546875" customWidth="1"/>
    <col min="5380" max="5380" width="16.28515625" customWidth="1"/>
    <col min="5381" max="5381" width="18.5703125" customWidth="1"/>
    <col min="5382" max="5382" width="14.28515625" bestFit="1" customWidth="1"/>
    <col min="5383" max="5383" width="14.140625" bestFit="1" customWidth="1"/>
    <col min="5386" max="5386" width="12.28515625" customWidth="1"/>
    <col min="5387" max="5387" width="10.140625" bestFit="1" customWidth="1"/>
    <col min="5388" max="5388" width="23.7109375" customWidth="1"/>
    <col min="5390" max="5390" width="10.28515625" bestFit="1" customWidth="1"/>
    <col min="5391" max="5391" width="10.140625" bestFit="1" customWidth="1"/>
    <col min="5392" max="5392" width="10.28515625" bestFit="1" customWidth="1"/>
    <col min="5633" max="5633" width="16.28515625" bestFit="1" customWidth="1"/>
    <col min="5634" max="5634" width="13.140625" customWidth="1"/>
    <col min="5635" max="5635" width="14.85546875" customWidth="1"/>
    <col min="5636" max="5636" width="16.28515625" customWidth="1"/>
    <col min="5637" max="5637" width="18.5703125" customWidth="1"/>
    <col min="5638" max="5638" width="14.28515625" bestFit="1" customWidth="1"/>
    <col min="5639" max="5639" width="14.140625" bestFit="1" customWidth="1"/>
    <col min="5642" max="5642" width="12.28515625" customWidth="1"/>
    <col min="5643" max="5643" width="10.140625" bestFit="1" customWidth="1"/>
    <col min="5644" max="5644" width="23.7109375" customWidth="1"/>
    <col min="5646" max="5646" width="10.28515625" bestFit="1" customWidth="1"/>
    <col min="5647" max="5647" width="10.140625" bestFit="1" customWidth="1"/>
    <col min="5648" max="5648" width="10.28515625" bestFit="1" customWidth="1"/>
    <col min="5889" max="5889" width="16.28515625" bestFit="1" customWidth="1"/>
    <col min="5890" max="5890" width="13.140625" customWidth="1"/>
    <col min="5891" max="5891" width="14.85546875" customWidth="1"/>
    <col min="5892" max="5892" width="16.28515625" customWidth="1"/>
    <col min="5893" max="5893" width="18.5703125" customWidth="1"/>
    <col min="5894" max="5894" width="14.28515625" bestFit="1" customWidth="1"/>
    <col min="5895" max="5895" width="14.140625" bestFit="1" customWidth="1"/>
    <col min="5898" max="5898" width="12.28515625" customWidth="1"/>
    <col min="5899" max="5899" width="10.140625" bestFit="1" customWidth="1"/>
    <col min="5900" max="5900" width="23.7109375" customWidth="1"/>
    <col min="5902" max="5902" width="10.28515625" bestFit="1" customWidth="1"/>
    <col min="5903" max="5903" width="10.140625" bestFit="1" customWidth="1"/>
    <col min="5904" max="5904" width="10.28515625" bestFit="1" customWidth="1"/>
    <col min="6145" max="6145" width="16.28515625" bestFit="1" customWidth="1"/>
    <col min="6146" max="6146" width="13.140625" customWidth="1"/>
    <col min="6147" max="6147" width="14.85546875" customWidth="1"/>
    <col min="6148" max="6148" width="16.28515625" customWidth="1"/>
    <col min="6149" max="6149" width="18.5703125" customWidth="1"/>
    <col min="6150" max="6150" width="14.28515625" bestFit="1" customWidth="1"/>
    <col min="6151" max="6151" width="14.140625" bestFit="1" customWidth="1"/>
    <col min="6154" max="6154" width="12.28515625" customWidth="1"/>
    <col min="6155" max="6155" width="10.140625" bestFit="1" customWidth="1"/>
    <col min="6156" max="6156" width="23.7109375" customWidth="1"/>
    <col min="6158" max="6158" width="10.28515625" bestFit="1" customWidth="1"/>
    <col min="6159" max="6159" width="10.140625" bestFit="1" customWidth="1"/>
    <col min="6160" max="6160" width="10.28515625" bestFit="1" customWidth="1"/>
    <col min="6401" max="6401" width="16.28515625" bestFit="1" customWidth="1"/>
    <col min="6402" max="6402" width="13.140625" customWidth="1"/>
    <col min="6403" max="6403" width="14.85546875" customWidth="1"/>
    <col min="6404" max="6404" width="16.28515625" customWidth="1"/>
    <col min="6405" max="6405" width="18.5703125" customWidth="1"/>
    <col min="6406" max="6406" width="14.28515625" bestFit="1" customWidth="1"/>
    <col min="6407" max="6407" width="14.140625" bestFit="1" customWidth="1"/>
    <col min="6410" max="6410" width="12.28515625" customWidth="1"/>
    <col min="6411" max="6411" width="10.140625" bestFit="1" customWidth="1"/>
    <col min="6412" max="6412" width="23.7109375" customWidth="1"/>
    <col min="6414" max="6414" width="10.28515625" bestFit="1" customWidth="1"/>
    <col min="6415" max="6415" width="10.140625" bestFit="1" customWidth="1"/>
    <col min="6416" max="6416" width="10.28515625" bestFit="1" customWidth="1"/>
    <col min="6657" max="6657" width="16.28515625" bestFit="1" customWidth="1"/>
    <col min="6658" max="6658" width="13.140625" customWidth="1"/>
    <col min="6659" max="6659" width="14.85546875" customWidth="1"/>
    <col min="6660" max="6660" width="16.28515625" customWidth="1"/>
    <col min="6661" max="6661" width="18.5703125" customWidth="1"/>
    <col min="6662" max="6662" width="14.28515625" bestFit="1" customWidth="1"/>
    <col min="6663" max="6663" width="14.140625" bestFit="1" customWidth="1"/>
    <col min="6666" max="6666" width="12.28515625" customWidth="1"/>
    <col min="6667" max="6667" width="10.140625" bestFit="1" customWidth="1"/>
    <col min="6668" max="6668" width="23.7109375" customWidth="1"/>
    <col min="6670" max="6670" width="10.28515625" bestFit="1" customWidth="1"/>
    <col min="6671" max="6671" width="10.140625" bestFit="1" customWidth="1"/>
    <col min="6672" max="6672" width="10.28515625" bestFit="1" customWidth="1"/>
    <col min="6913" max="6913" width="16.28515625" bestFit="1" customWidth="1"/>
    <col min="6914" max="6914" width="13.140625" customWidth="1"/>
    <col min="6915" max="6915" width="14.85546875" customWidth="1"/>
    <col min="6916" max="6916" width="16.28515625" customWidth="1"/>
    <col min="6917" max="6917" width="18.5703125" customWidth="1"/>
    <col min="6918" max="6918" width="14.28515625" bestFit="1" customWidth="1"/>
    <col min="6919" max="6919" width="14.140625" bestFit="1" customWidth="1"/>
    <col min="6922" max="6922" width="12.28515625" customWidth="1"/>
    <col min="6923" max="6923" width="10.140625" bestFit="1" customWidth="1"/>
    <col min="6924" max="6924" width="23.7109375" customWidth="1"/>
    <col min="6926" max="6926" width="10.28515625" bestFit="1" customWidth="1"/>
    <col min="6927" max="6927" width="10.140625" bestFit="1" customWidth="1"/>
    <col min="6928" max="6928" width="10.28515625" bestFit="1" customWidth="1"/>
    <col min="7169" max="7169" width="16.28515625" bestFit="1" customWidth="1"/>
    <col min="7170" max="7170" width="13.140625" customWidth="1"/>
    <col min="7171" max="7171" width="14.85546875" customWidth="1"/>
    <col min="7172" max="7172" width="16.28515625" customWidth="1"/>
    <col min="7173" max="7173" width="18.5703125" customWidth="1"/>
    <col min="7174" max="7174" width="14.28515625" bestFit="1" customWidth="1"/>
    <col min="7175" max="7175" width="14.140625" bestFit="1" customWidth="1"/>
    <col min="7178" max="7178" width="12.28515625" customWidth="1"/>
    <col min="7179" max="7179" width="10.140625" bestFit="1" customWidth="1"/>
    <col min="7180" max="7180" width="23.7109375" customWidth="1"/>
    <col min="7182" max="7182" width="10.28515625" bestFit="1" customWidth="1"/>
    <col min="7183" max="7183" width="10.140625" bestFit="1" customWidth="1"/>
    <col min="7184" max="7184" width="10.28515625" bestFit="1" customWidth="1"/>
    <col min="7425" max="7425" width="16.28515625" bestFit="1" customWidth="1"/>
    <col min="7426" max="7426" width="13.140625" customWidth="1"/>
    <col min="7427" max="7427" width="14.85546875" customWidth="1"/>
    <col min="7428" max="7428" width="16.28515625" customWidth="1"/>
    <col min="7429" max="7429" width="18.5703125" customWidth="1"/>
    <col min="7430" max="7430" width="14.28515625" bestFit="1" customWidth="1"/>
    <col min="7431" max="7431" width="14.140625" bestFit="1" customWidth="1"/>
    <col min="7434" max="7434" width="12.28515625" customWidth="1"/>
    <col min="7435" max="7435" width="10.140625" bestFit="1" customWidth="1"/>
    <col min="7436" max="7436" width="23.7109375" customWidth="1"/>
    <col min="7438" max="7438" width="10.28515625" bestFit="1" customWidth="1"/>
    <col min="7439" max="7439" width="10.140625" bestFit="1" customWidth="1"/>
    <col min="7440" max="7440" width="10.28515625" bestFit="1" customWidth="1"/>
    <col min="7681" max="7681" width="16.28515625" bestFit="1" customWidth="1"/>
    <col min="7682" max="7682" width="13.140625" customWidth="1"/>
    <col min="7683" max="7683" width="14.85546875" customWidth="1"/>
    <col min="7684" max="7684" width="16.28515625" customWidth="1"/>
    <col min="7685" max="7685" width="18.5703125" customWidth="1"/>
    <col min="7686" max="7686" width="14.28515625" bestFit="1" customWidth="1"/>
    <col min="7687" max="7687" width="14.140625" bestFit="1" customWidth="1"/>
    <col min="7690" max="7690" width="12.28515625" customWidth="1"/>
    <col min="7691" max="7691" width="10.140625" bestFit="1" customWidth="1"/>
    <col min="7692" max="7692" width="23.7109375" customWidth="1"/>
    <col min="7694" max="7694" width="10.28515625" bestFit="1" customWidth="1"/>
    <col min="7695" max="7695" width="10.140625" bestFit="1" customWidth="1"/>
    <col min="7696" max="7696" width="10.28515625" bestFit="1" customWidth="1"/>
    <col min="7937" max="7937" width="16.28515625" bestFit="1" customWidth="1"/>
    <col min="7938" max="7938" width="13.140625" customWidth="1"/>
    <col min="7939" max="7939" width="14.85546875" customWidth="1"/>
    <col min="7940" max="7940" width="16.28515625" customWidth="1"/>
    <col min="7941" max="7941" width="18.5703125" customWidth="1"/>
    <col min="7942" max="7942" width="14.28515625" bestFit="1" customWidth="1"/>
    <col min="7943" max="7943" width="14.140625" bestFit="1" customWidth="1"/>
    <col min="7946" max="7946" width="12.28515625" customWidth="1"/>
    <col min="7947" max="7947" width="10.140625" bestFit="1" customWidth="1"/>
    <col min="7948" max="7948" width="23.7109375" customWidth="1"/>
    <col min="7950" max="7950" width="10.28515625" bestFit="1" customWidth="1"/>
    <col min="7951" max="7951" width="10.140625" bestFit="1" customWidth="1"/>
    <col min="7952" max="7952" width="10.28515625" bestFit="1" customWidth="1"/>
    <col min="8193" max="8193" width="16.28515625" bestFit="1" customWidth="1"/>
    <col min="8194" max="8194" width="13.140625" customWidth="1"/>
    <col min="8195" max="8195" width="14.85546875" customWidth="1"/>
    <col min="8196" max="8196" width="16.28515625" customWidth="1"/>
    <col min="8197" max="8197" width="18.5703125" customWidth="1"/>
    <col min="8198" max="8198" width="14.28515625" bestFit="1" customWidth="1"/>
    <col min="8199" max="8199" width="14.140625" bestFit="1" customWidth="1"/>
    <col min="8202" max="8202" width="12.28515625" customWidth="1"/>
    <col min="8203" max="8203" width="10.140625" bestFit="1" customWidth="1"/>
    <col min="8204" max="8204" width="23.7109375" customWidth="1"/>
    <col min="8206" max="8206" width="10.28515625" bestFit="1" customWidth="1"/>
    <col min="8207" max="8207" width="10.140625" bestFit="1" customWidth="1"/>
    <col min="8208" max="8208" width="10.28515625" bestFit="1" customWidth="1"/>
    <col min="8449" max="8449" width="16.28515625" bestFit="1" customWidth="1"/>
    <col min="8450" max="8450" width="13.140625" customWidth="1"/>
    <col min="8451" max="8451" width="14.85546875" customWidth="1"/>
    <col min="8452" max="8452" width="16.28515625" customWidth="1"/>
    <col min="8453" max="8453" width="18.5703125" customWidth="1"/>
    <col min="8454" max="8454" width="14.28515625" bestFit="1" customWidth="1"/>
    <col min="8455" max="8455" width="14.140625" bestFit="1" customWidth="1"/>
    <col min="8458" max="8458" width="12.28515625" customWidth="1"/>
    <col min="8459" max="8459" width="10.140625" bestFit="1" customWidth="1"/>
    <col min="8460" max="8460" width="23.7109375" customWidth="1"/>
    <col min="8462" max="8462" width="10.28515625" bestFit="1" customWidth="1"/>
    <col min="8463" max="8463" width="10.140625" bestFit="1" customWidth="1"/>
    <col min="8464" max="8464" width="10.28515625" bestFit="1" customWidth="1"/>
    <col min="8705" max="8705" width="16.28515625" bestFit="1" customWidth="1"/>
    <col min="8706" max="8706" width="13.140625" customWidth="1"/>
    <col min="8707" max="8707" width="14.85546875" customWidth="1"/>
    <col min="8708" max="8708" width="16.28515625" customWidth="1"/>
    <col min="8709" max="8709" width="18.5703125" customWidth="1"/>
    <col min="8710" max="8710" width="14.28515625" bestFit="1" customWidth="1"/>
    <col min="8711" max="8711" width="14.140625" bestFit="1" customWidth="1"/>
    <col min="8714" max="8714" width="12.28515625" customWidth="1"/>
    <col min="8715" max="8715" width="10.140625" bestFit="1" customWidth="1"/>
    <col min="8716" max="8716" width="23.7109375" customWidth="1"/>
    <col min="8718" max="8718" width="10.28515625" bestFit="1" customWidth="1"/>
    <col min="8719" max="8719" width="10.140625" bestFit="1" customWidth="1"/>
    <col min="8720" max="8720" width="10.28515625" bestFit="1" customWidth="1"/>
    <col min="8961" max="8961" width="16.28515625" bestFit="1" customWidth="1"/>
    <col min="8962" max="8962" width="13.140625" customWidth="1"/>
    <col min="8963" max="8963" width="14.85546875" customWidth="1"/>
    <col min="8964" max="8964" width="16.28515625" customWidth="1"/>
    <col min="8965" max="8965" width="18.5703125" customWidth="1"/>
    <col min="8966" max="8966" width="14.28515625" bestFit="1" customWidth="1"/>
    <col min="8967" max="8967" width="14.140625" bestFit="1" customWidth="1"/>
    <col min="8970" max="8970" width="12.28515625" customWidth="1"/>
    <col min="8971" max="8971" width="10.140625" bestFit="1" customWidth="1"/>
    <col min="8972" max="8972" width="23.7109375" customWidth="1"/>
    <col min="8974" max="8974" width="10.28515625" bestFit="1" customWidth="1"/>
    <col min="8975" max="8975" width="10.140625" bestFit="1" customWidth="1"/>
    <col min="8976" max="8976" width="10.28515625" bestFit="1" customWidth="1"/>
    <col min="9217" max="9217" width="16.28515625" bestFit="1" customWidth="1"/>
    <col min="9218" max="9218" width="13.140625" customWidth="1"/>
    <col min="9219" max="9219" width="14.85546875" customWidth="1"/>
    <col min="9220" max="9220" width="16.28515625" customWidth="1"/>
    <col min="9221" max="9221" width="18.5703125" customWidth="1"/>
    <col min="9222" max="9222" width="14.28515625" bestFit="1" customWidth="1"/>
    <col min="9223" max="9223" width="14.140625" bestFit="1" customWidth="1"/>
    <col min="9226" max="9226" width="12.28515625" customWidth="1"/>
    <col min="9227" max="9227" width="10.140625" bestFit="1" customWidth="1"/>
    <col min="9228" max="9228" width="23.7109375" customWidth="1"/>
    <col min="9230" max="9230" width="10.28515625" bestFit="1" customWidth="1"/>
    <col min="9231" max="9231" width="10.140625" bestFit="1" customWidth="1"/>
    <col min="9232" max="9232" width="10.28515625" bestFit="1" customWidth="1"/>
    <col min="9473" max="9473" width="16.28515625" bestFit="1" customWidth="1"/>
    <col min="9474" max="9474" width="13.140625" customWidth="1"/>
    <col min="9475" max="9475" width="14.85546875" customWidth="1"/>
    <col min="9476" max="9476" width="16.28515625" customWidth="1"/>
    <col min="9477" max="9477" width="18.5703125" customWidth="1"/>
    <col min="9478" max="9478" width="14.28515625" bestFit="1" customWidth="1"/>
    <col min="9479" max="9479" width="14.140625" bestFit="1" customWidth="1"/>
    <col min="9482" max="9482" width="12.28515625" customWidth="1"/>
    <col min="9483" max="9483" width="10.140625" bestFit="1" customWidth="1"/>
    <col min="9484" max="9484" width="23.7109375" customWidth="1"/>
    <col min="9486" max="9486" width="10.28515625" bestFit="1" customWidth="1"/>
    <col min="9487" max="9487" width="10.140625" bestFit="1" customWidth="1"/>
    <col min="9488" max="9488" width="10.28515625" bestFit="1" customWidth="1"/>
    <col min="9729" max="9729" width="16.28515625" bestFit="1" customWidth="1"/>
    <col min="9730" max="9730" width="13.140625" customWidth="1"/>
    <col min="9731" max="9731" width="14.85546875" customWidth="1"/>
    <col min="9732" max="9732" width="16.28515625" customWidth="1"/>
    <col min="9733" max="9733" width="18.5703125" customWidth="1"/>
    <col min="9734" max="9734" width="14.28515625" bestFit="1" customWidth="1"/>
    <col min="9735" max="9735" width="14.140625" bestFit="1" customWidth="1"/>
    <col min="9738" max="9738" width="12.28515625" customWidth="1"/>
    <col min="9739" max="9739" width="10.140625" bestFit="1" customWidth="1"/>
    <col min="9740" max="9740" width="23.7109375" customWidth="1"/>
    <col min="9742" max="9742" width="10.28515625" bestFit="1" customWidth="1"/>
    <col min="9743" max="9743" width="10.140625" bestFit="1" customWidth="1"/>
    <col min="9744" max="9744" width="10.28515625" bestFit="1" customWidth="1"/>
    <col min="9985" max="9985" width="16.28515625" bestFit="1" customWidth="1"/>
    <col min="9986" max="9986" width="13.140625" customWidth="1"/>
    <col min="9987" max="9987" width="14.85546875" customWidth="1"/>
    <col min="9988" max="9988" width="16.28515625" customWidth="1"/>
    <col min="9989" max="9989" width="18.5703125" customWidth="1"/>
    <col min="9990" max="9990" width="14.28515625" bestFit="1" customWidth="1"/>
    <col min="9991" max="9991" width="14.140625" bestFit="1" customWidth="1"/>
    <col min="9994" max="9994" width="12.28515625" customWidth="1"/>
    <col min="9995" max="9995" width="10.140625" bestFit="1" customWidth="1"/>
    <col min="9996" max="9996" width="23.7109375" customWidth="1"/>
    <col min="9998" max="9998" width="10.28515625" bestFit="1" customWidth="1"/>
    <col min="9999" max="9999" width="10.140625" bestFit="1" customWidth="1"/>
    <col min="10000" max="10000" width="10.28515625" bestFit="1" customWidth="1"/>
    <col min="10241" max="10241" width="16.28515625" bestFit="1" customWidth="1"/>
    <col min="10242" max="10242" width="13.140625" customWidth="1"/>
    <col min="10243" max="10243" width="14.85546875" customWidth="1"/>
    <col min="10244" max="10244" width="16.28515625" customWidth="1"/>
    <col min="10245" max="10245" width="18.5703125" customWidth="1"/>
    <col min="10246" max="10246" width="14.28515625" bestFit="1" customWidth="1"/>
    <col min="10247" max="10247" width="14.140625" bestFit="1" customWidth="1"/>
    <col min="10250" max="10250" width="12.28515625" customWidth="1"/>
    <col min="10251" max="10251" width="10.140625" bestFit="1" customWidth="1"/>
    <col min="10252" max="10252" width="23.7109375" customWidth="1"/>
    <col min="10254" max="10254" width="10.28515625" bestFit="1" customWidth="1"/>
    <col min="10255" max="10255" width="10.140625" bestFit="1" customWidth="1"/>
    <col min="10256" max="10256" width="10.28515625" bestFit="1" customWidth="1"/>
    <col min="10497" max="10497" width="16.28515625" bestFit="1" customWidth="1"/>
    <col min="10498" max="10498" width="13.140625" customWidth="1"/>
    <col min="10499" max="10499" width="14.85546875" customWidth="1"/>
    <col min="10500" max="10500" width="16.28515625" customWidth="1"/>
    <col min="10501" max="10501" width="18.5703125" customWidth="1"/>
    <col min="10502" max="10502" width="14.28515625" bestFit="1" customWidth="1"/>
    <col min="10503" max="10503" width="14.140625" bestFit="1" customWidth="1"/>
    <col min="10506" max="10506" width="12.28515625" customWidth="1"/>
    <col min="10507" max="10507" width="10.140625" bestFit="1" customWidth="1"/>
    <col min="10508" max="10508" width="23.7109375" customWidth="1"/>
    <col min="10510" max="10510" width="10.28515625" bestFit="1" customWidth="1"/>
    <col min="10511" max="10511" width="10.140625" bestFit="1" customWidth="1"/>
    <col min="10512" max="10512" width="10.28515625" bestFit="1" customWidth="1"/>
    <col min="10753" max="10753" width="16.28515625" bestFit="1" customWidth="1"/>
    <col min="10754" max="10754" width="13.140625" customWidth="1"/>
    <col min="10755" max="10755" width="14.85546875" customWidth="1"/>
    <col min="10756" max="10756" width="16.28515625" customWidth="1"/>
    <col min="10757" max="10757" width="18.5703125" customWidth="1"/>
    <col min="10758" max="10758" width="14.28515625" bestFit="1" customWidth="1"/>
    <col min="10759" max="10759" width="14.140625" bestFit="1" customWidth="1"/>
    <col min="10762" max="10762" width="12.28515625" customWidth="1"/>
    <col min="10763" max="10763" width="10.140625" bestFit="1" customWidth="1"/>
    <col min="10764" max="10764" width="23.7109375" customWidth="1"/>
    <col min="10766" max="10766" width="10.28515625" bestFit="1" customWidth="1"/>
    <col min="10767" max="10767" width="10.140625" bestFit="1" customWidth="1"/>
    <col min="10768" max="10768" width="10.28515625" bestFit="1" customWidth="1"/>
    <col min="11009" max="11009" width="16.28515625" bestFit="1" customWidth="1"/>
    <col min="11010" max="11010" width="13.140625" customWidth="1"/>
    <col min="11011" max="11011" width="14.85546875" customWidth="1"/>
    <col min="11012" max="11012" width="16.28515625" customWidth="1"/>
    <col min="11013" max="11013" width="18.5703125" customWidth="1"/>
    <col min="11014" max="11014" width="14.28515625" bestFit="1" customWidth="1"/>
    <col min="11015" max="11015" width="14.140625" bestFit="1" customWidth="1"/>
    <col min="11018" max="11018" width="12.28515625" customWidth="1"/>
    <col min="11019" max="11019" width="10.140625" bestFit="1" customWidth="1"/>
    <col min="11020" max="11020" width="23.7109375" customWidth="1"/>
    <col min="11022" max="11022" width="10.28515625" bestFit="1" customWidth="1"/>
    <col min="11023" max="11023" width="10.140625" bestFit="1" customWidth="1"/>
    <col min="11024" max="11024" width="10.28515625" bestFit="1" customWidth="1"/>
    <col min="11265" max="11265" width="16.28515625" bestFit="1" customWidth="1"/>
    <col min="11266" max="11266" width="13.140625" customWidth="1"/>
    <col min="11267" max="11267" width="14.85546875" customWidth="1"/>
    <col min="11268" max="11268" width="16.28515625" customWidth="1"/>
    <col min="11269" max="11269" width="18.5703125" customWidth="1"/>
    <col min="11270" max="11270" width="14.28515625" bestFit="1" customWidth="1"/>
    <col min="11271" max="11271" width="14.140625" bestFit="1" customWidth="1"/>
    <col min="11274" max="11274" width="12.28515625" customWidth="1"/>
    <col min="11275" max="11275" width="10.140625" bestFit="1" customWidth="1"/>
    <col min="11276" max="11276" width="23.7109375" customWidth="1"/>
    <col min="11278" max="11278" width="10.28515625" bestFit="1" customWidth="1"/>
    <col min="11279" max="11279" width="10.140625" bestFit="1" customWidth="1"/>
    <col min="11280" max="11280" width="10.28515625" bestFit="1" customWidth="1"/>
    <col min="11521" max="11521" width="16.28515625" bestFit="1" customWidth="1"/>
    <col min="11522" max="11522" width="13.140625" customWidth="1"/>
    <col min="11523" max="11523" width="14.85546875" customWidth="1"/>
    <col min="11524" max="11524" width="16.28515625" customWidth="1"/>
    <col min="11525" max="11525" width="18.5703125" customWidth="1"/>
    <col min="11526" max="11526" width="14.28515625" bestFit="1" customWidth="1"/>
    <col min="11527" max="11527" width="14.140625" bestFit="1" customWidth="1"/>
    <col min="11530" max="11530" width="12.28515625" customWidth="1"/>
    <col min="11531" max="11531" width="10.140625" bestFit="1" customWidth="1"/>
    <col min="11532" max="11532" width="23.7109375" customWidth="1"/>
    <col min="11534" max="11534" width="10.28515625" bestFit="1" customWidth="1"/>
    <col min="11535" max="11535" width="10.140625" bestFit="1" customWidth="1"/>
    <col min="11536" max="11536" width="10.28515625" bestFit="1" customWidth="1"/>
    <col min="11777" max="11777" width="16.28515625" bestFit="1" customWidth="1"/>
    <col min="11778" max="11778" width="13.140625" customWidth="1"/>
    <col min="11779" max="11779" width="14.85546875" customWidth="1"/>
    <col min="11780" max="11780" width="16.28515625" customWidth="1"/>
    <col min="11781" max="11781" width="18.5703125" customWidth="1"/>
    <col min="11782" max="11782" width="14.28515625" bestFit="1" customWidth="1"/>
    <col min="11783" max="11783" width="14.140625" bestFit="1" customWidth="1"/>
    <col min="11786" max="11786" width="12.28515625" customWidth="1"/>
    <col min="11787" max="11787" width="10.140625" bestFit="1" customWidth="1"/>
    <col min="11788" max="11788" width="23.7109375" customWidth="1"/>
    <col min="11790" max="11790" width="10.28515625" bestFit="1" customWidth="1"/>
    <col min="11791" max="11791" width="10.140625" bestFit="1" customWidth="1"/>
    <col min="11792" max="11792" width="10.28515625" bestFit="1" customWidth="1"/>
    <col min="12033" max="12033" width="16.28515625" bestFit="1" customWidth="1"/>
    <col min="12034" max="12034" width="13.140625" customWidth="1"/>
    <col min="12035" max="12035" width="14.85546875" customWidth="1"/>
    <col min="12036" max="12036" width="16.28515625" customWidth="1"/>
    <col min="12037" max="12037" width="18.5703125" customWidth="1"/>
    <col min="12038" max="12038" width="14.28515625" bestFit="1" customWidth="1"/>
    <col min="12039" max="12039" width="14.140625" bestFit="1" customWidth="1"/>
    <col min="12042" max="12042" width="12.28515625" customWidth="1"/>
    <col min="12043" max="12043" width="10.140625" bestFit="1" customWidth="1"/>
    <col min="12044" max="12044" width="23.7109375" customWidth="1"/>
    <col min="12046" max="12046" width="10.28515625" bestFit="1" customWidth="1"/>
    <col min="12047" max="12047" width="10.140625" bestFit="1" customWidth="1"/>
    <col min="12048" max="12048" width="10.28515625" bestFit="1" customWidth="1"/>
    <col min="12289" max="12289" width="16.28515625" bestFit="1" customWidth="1"/>
    <col min="12290" max="12290" width="13.140625" customWidth="1"/>
    <col min="12291" max="12291" width="14.85546875" customWidth="1"/>
    <col min="12292" max="12292" width="16.28515625" customWidth="1"/>
    <col min="12293" max="12293" width="18.5703125" customWidth="1"/>
    <col min="12294" max="12294" width="14.28515625" bestFit="1" customWidth="1"/>
    <col min="12295" max="12295" width="14.140625" bestFit="1" customWidth="1"/>
    <col min="12298" max="12298" width="12.28515625" customWidth="1"/>
    <col min="12299" max="12299" width="10.140625" bestFit="1" customWidth="1"/>
    <col min="12300" max="12300" width="23.7109375" customWidth="1"/>
    <col min="12302" max="12302" width="10.28515625" bestFit="1" customWidth="1"/>
    <col min="12303" max="12303" width="10.140625" bestFit="1" customWidth="1"/>
    <col min="12304" max="12304" width="10.28515625" bestFit="1" customWidth="1"/>
    <col min="12545" max="12545" width="16.28515625" bestFit="1" customWidth="1"/>
    <col min="12546" max="12546" width="13.140625" customWidth="1"/>
    <col min="12547" max="12547" width="14.85546875" customWidth="1"/>
    <col min="12548" max="12548" width="16.28515625" customWidth="1"/>
    <col min="12549" max="12549" width="18.5703125" customWidth="1"/>
    <col min="12550" max="12550" width="14.28515625" bestFit="1" customWidth="1"/>
    <col min="12551" max="12551" width="14.140625" bestFit="1" customWidth="1"/>
    <col min="12554" max="12554" width="12.28515625" customWidth="1"/>
    <col min="12555" max="12555" width="10.140625" bestFit="1" customWidth="1"/>
    <col min="12556" max="12556" width="23.7109375" customWidth="1"/>
    <col min="12558" max="12558" width="10.28515625" bestFit="1" customWidth="1"/>
    <col min="12559" max="12559" width="10.140625" bestFit="1" customWidth="1"/>
    <col min="12560" max="12560" width="10.28515625" bestFit="1" customWidth="1"/>
    <col min="12801" max="12801" width="16.28515625" bestFit="1" customWidth="1"/>
    <col min="12802" max="12802" width="13.140625" customWidth="1"/>
    <col min="12803" max="12803" width="14.85546875" customWidth="1"/>
    <col min="12804" max="12804" width="16.28515625" customWidth="1"/>
    <col min="12805" max="12805" width="18.5703125" customWidth="1"/>
    <col min="12806" max="12806" width="14.28515625" bestFit="1" customWidth="1"/>
    <col min="12807" max="12807" width="14.140625" bestFit="1" customWidth="1"/>
    <col min="12810" max="12810" width="12.28515625" customWidth="1"/>
    <col min="12811" max="12811" width="10.140625" bestFit="1" customWidth="1"/>
    <col min="12812" max="12812" width="23.7109375" customWidth="1"/>
    <col min="12814" max="12814" width="10.28515625" bestFit="1" customWidth="1"/>
    <col min="12815" max="12815" width="10.140625" bestFit="1" customWidth="1"/>
    <col min="12816" max="12816" width="10.28515625" bestFit="1" customWidth="1"/>
    <col min="13057" max="13057" width="16.28515625" bestFit="1" customWidth="1"/>
    <col min="13058" max="13058" width="13.140625" customWidth="1"/>
    <col min="13059" max="13059" width="14.85546875" customWidth="1"/>
    <col min="13060" max="13060" width="16.28515625" customWidth="1"/>
    <col min="13061" max="13061" width="18.5703125" customWidth="1"/>
    <col min="13062" max="13062" width="14.28515625" bestFit="1" customWidth="1"/>
    <col min="13063" max="13063" width="14.140625" bestFit="1" customWidth="1"/>
    <col min="13066" max="13066" width="12.28515625" customWidth="1"/>
    <col min="13067" max="13067" width="10.140625" bestFit="1" customWidth="1"/>
    <col min="13068" max="13068" width="23.7109375" customWidth="1"/>
    <col min="13070" max="13070" width="10.28515625" bestFit="1" customWidth="1"/>
    <col min="13071" max="13071" width="10.140625" bestFit="1" customWidth="1"/>
    <col min="13072" max="13072" width="10.28515625" bestFit="1" customWidth="1"/>
    <col min="13313" max="13313" width="16.28515625" bestFit="1" customWidth="1"/>
    <col min="13314" max="13314" width="13.140625" customWidth="1"/>
    <col min="13315" max="13315" width="14.85546875" customWidth="1"/>
    <col min="13316" max="13316" width="16.28515625" customWidth="1"/>
    <col min="13317" max="13317" width="18.5703125" customWidth="1"/>
    <col min="13318" max="13318" width="14.28515625" bestFit="1" customWidth="1"/>
    <col min="13319" max="13319" width="14.140625" bestFit="1" customWidth="1"/>
    <col min="13322" max="13322" width="12.28515625" customWidth="1"/>
    <col min="13323" max="13323" width="10.140625" bestFit="1" customWidth="1"/>
    <col min="13324" max="13324" width="23.7109375" customWidth="1"/>
    <col min="13326" max="13326" width="10.28515625" bestFit="1" customWidth="1"/>
    <col min="13327" max="13327" width="10.140625" bestFit="1" customWidth="1"/>
    <col min="13328" max="13328" width="10.28515625" bestFit="1" customWidth="1"/>
    <col min="13569" max="13569" width="16.28515625" bestFit="1" customWidth="1"/>
    <col min="13570" max="13570" width="13.140625" customWidth="1"/>
    <col min="13571" max="13571" width="14.85546875" customWidth="1"/>
    <col min="13572" max="13572" width="16.28515625" customWidth="1"/>
    <col min="13573" max="13573" width="18.5703125" customWidth="1"/>
    <col min="13574" max="13574" width="14.28515625" bestFit="1" customWidth="1"/>
    <col min="13575" max="13575" width="14.140625" bestFit="1" customWidth="1"/>
    <col min="13578" max="13578" width="12.28515625" customWidth="1"/>
    <col min="13579" max="13579" width="10.140625" bestFit="1" customWidth="1"/>
    <col min="13580" max="13580" width="23.7109375" customWidth="1"/>
    <col min="13582" max="13582" width="10.28515625" bestFit="1" customWidth="1"/>
    <col min="13583" max="13583" width="10.140625" bestFit="1" customWidth="1"/>
    <col min="13584" max="13584" width="10.28515625" bestFit="1" customWidth="1"/>
    <col min="13825" max="13825" width="16.28515625" bestFit="1" customWidth="1"/>
    <col min="13826" max="13826" width="13.140625" customWidth="1"/>
    <col min="13827" max="13827" width="14.85546875" customWidth="1"/>
    <col min="13828" max="13828" width="16.28515625" customWidth="1"/>
    <col min="13829" max="13829" width="18.5703125" customWidth="1"/>
    <col min="13830" max="13830" width="14.28515625" bestFit="1" customWidth="1"/>
    <col min="13831" max="13831" width="14.140625" bestFit="1" customWidth="1"/>
    <col min="13834" max="13834" width="12.28515625" customWidth="1"/>
    <col min="13835" max="13835" width="10.140625" bestFit="1" customWidth="1"/>
    <col min="13836" max="13836" width="23.7109375" customWidth="1"/>
    <col min="13838" max="13838" width="10.28515625" bestFit="1" customWidth="1"/>
    <col min="13839" max="13839" width="10.140625" bestFit="1" customWidth="1"/>
    <col min="13840" max="13840" width="10.28515625" bestFit="1" customWidth="1"/>
    <col min="14081" max="14081" width="16.28515625" bestFit="1" customWidth="1"/>
    <col min="14082" max="14082" width="13.140625" customWidth="1"/>
    <col min="14083" max="14083" width="14.85546875" customWidth="1"/>
    <col min="14084" max="14084" width="16.28515625" customWidth="1"/>
    <col min="14085" max="14085" width="18.5703125" customWidth="1"/>
    <col min="14086" max="14086" width="14.28515625" bestFit="1" customWidth="1"/>
    <col min="14087" max="14087" width="14.140625" bestFit="1" customWidth="1"/>
    <col min="14090" max="14090" width="12.28515625" customWidth="1"/>
    <col min="14091" max="14091" width="10.140625" bestFit="1" customWidth="1"/>
    <col min="14092" max="14092" width="23.7109375" customWidth="1"/>
    <col min="14094" max="14094" width="10.28515625" bestFit="1" customWidth="1"/>
    <col min="14095" max="14095" width="10.140625" bestFit="1" customWidth="1"/>
    <col min="14096" max="14096" width="10.28515625" bestFit="1" customWidth="1"/>
    <col min="14337" max="14337" width="16.28515625" bestFit="1" customWidth="1"/>
    <col min="14338" max="14338" width="13.140625" customWidth="1"/>
    <col min="14339" max="14339" width="14.85546875" customWidth="1"/>
    <col min="14340" max="14340" width="16.28515625" customWidth="1"/>
    <col min="14341" max="14341" width="18.5703125" customWidth="1"/>
    <col min="14342" max="14342" width="14.28515625" bestFit="1" customWidth="1"/>
    <col min="14343" max="14343" width="14.140625" bestFit="1" customWidth="1"/>
    <col min="14346" max="14346" width="12.28515625" customWidth="1"/>
    <col min="14347" max="14347" width="10.140625" bestFit="1" customWidth="1"/>
    <col min="14348" max="14348" width="23.7109375" customWidth="1"/>
    <col min="14350" max="14350" width="10.28515625" bestFit="1" customWidth="1"/>
    <col min="14351" max="14351" width="10.140625" bestFit="1" customWidth="1"/>
    <col min="14352" max="14352" width="10.28515625" bestFit="1" customWidth="1"/>
    <col min="14593" max="14593" width="16.28515625" bestFit="1" customWidth="1"/>
    <col min="14594" max="14594" width="13.140625" customWidth="1"/>
    <col min="14595" max="14595" width="14.85546875" customWidth="1"/>
    <col min="14596" max="14596" width="16.28515625" customWidth="1"/>
    <col min="14597" max="14597" width="18.5703125" customWidth="1"/>
    <col min="14598" max="14598" width="14.28515625" bestFit="1" customWidth="1"/>
    <col min="14599" max="14599" width="14.140625" bestFit="1" customWidth="1"/>
    <col min="14602" max="14602" width="12.28515625" customWidth="1"/>
    <col min="14603" max="14603" width="10.140625" bestFit="1" customWidth="1"/>
    <col min="14604" max="14604" width="23.7109375" customWidth="1"/>
    <col min="14606" max="14606" width="10.28515625" bestFit="1" customWidth="1"/>
    <col min="14607" max="14607" width="10.140625" bestFit="1" customWidth="1"/>
    <col min="14608" max="14608" width="10.28515625" bestFit="1" customWidth="1"/>
    <col min="14849" max="14849" width="16.28515625" bestFit="1" customWidth="1"/>
    <col min="14850" max="14850" width="13.140625" customWidth="1"/>
    <col min="14851" max="14851" width="14.85546875" customWidth="1"/>
    <col min="14852" max="14852" width="16.28515625" customWidth="1"/>
    <col min="14853" max="14853" width="18.5703125" customWidth="1"/>
    <col min="14854" max="14854" width="14.28515625" bestFit="1" customWidth="1"/>
    <col min="14855" max="14855" width="14.140625" bestFit="1" customWidth="1"/>
    <col min="14858" max="14858" width="12.28515625" customWidth="1"/>
    <col min="14859" max="14859" width="10.140625" bestFit="1" customWidth="1"/>
    <col min="14860" max="14860" width="23.7109375" customWidth="1"/>
    <col min="14862" max="14862" width="10.28515625" bestFit="1" customWidth="1"/>
    <col min="14863" max="14863" width="10.140625" bestFit="1" customWidth="1"/>
    <col min="14864" max="14864" width="10.28515625" bestFit="1" customWidth="1"/>
    <col min="15105" max="15105" width="16.28515625" bestFit="1" customWidth="1"/>
    <col min="15106" max="15106" width="13.140625" customWidth="1"/>
    <col min="15107" max="15107" width="14.85546875" customWidth="1"/>
    <col min="15108" max="15108" width="16.28515625" customWidth="1"/>
    <col min="15109" max="15109" width="18.5703125" customWidth="1"/>
    <col min="15110" max="15110" width="14.28515625" bestFit="1" customWidth="1"/>
    <col min="15111" max="15111" width="14.140625" bestFit="1" customWidth="1"/>
    <col min="15114" max="15114" width="12.28515625" customWidth="1"/>
    <col min="15115" max="15115" width="10.140625" bestFit="1" customWidth="1"/>
    <col min="15116" max="15116" width="23.7109375" customWidth="1"/>
    <col min="15118" max="15118" width="10.28515625" bestFit="1" customWidth="1"/>
    <col min="15119" max="15119" width="10.140625" bestFit="1" customWidth="1"/>
    <col min="15120" max="15120" width="10.28515625" bestFit="1" customWidth="1"/>
    <col min="15361" max="15361" width="16.28515625" bestFit="1" customWidth="1"/>
    <col min="15362" max="15362" width="13.140625" customWidth="1"/>
    <col min="15363" max="15363" width="14.85546875" customWidth="1"/>
    <col min="15364" max="15364" width="16.28515625" customWidth="1"/>
    <col min="15365" max="15365" width="18.5703125" customWidth="1"/>
    <col min="15366" max="15366" width="14.28515625" bestFit="1" customWidth="1"/>
    <col min="15367" max="15367" width="14.140625" bestFit="1" customWidth="1"/>
    <col min="15370" max="15370" width="12.28515625" customWidth="1"/>
    <col min="15371" max="15371" width="10.140625" bestFit="1" customWidth="1"/>
    <col min="15372" max="15372" width="23.7109375" customWidth="1"/>
    <col min="15374" max="15374" width="10.28515625" bestFit="1" customWidth="1"/>
    <col min="15375" max="15375" width="10.140625" bestFit="1" customWidth="1"/>
    <col min="15376" max="15376" width="10.28515625" bestFit="1" customWidth="1"/>
    <col min="15617" max="15617" width="16.28515625" bestFit="1" customWidth="1"/>
    <col min="15618" max="15618" width="13.140625" customWidth="1"/>
    <col min="15619" max="15619" width="14.85546875" customWidth="1"/>
    <col min="15620" max="15620" width="16.28515625" customWidth="1"/>
    <col min="15621" max="15621" width="18.5703125" customWidth="1"/>
    <col min="15622" max="15622" width="14.28515625" bestFit="1" customWidth="1"/>
    <col min="15623" max="15623" width="14.140625" bestFit="1" customWidth="1"/>
    <col min="15626" max="15626" width="12.28515625" customWidth="1"/>
    <col min="15627" max="15627" width="10.140625" bestFit="1" customWidth="1"/>
    <col min="15628" max="15628" width="23.7109375" customWidth="1"/>
    <col min="15630" max="15630" width="10.28515625" bestFit="1" customWidth="1"/>
    <col min="15631" max="15631" width="10.140625" bestFit="1" customWidth="1"/>
    <col min="15632" max="15632" width="10.28515625" bestFit="1" customWidth="1"/>
    <col min="15873" max="15873" width="16.28515625" bestFit="1" customWidth="1"/>
    <col min="15874" max="15874" width="13.140625" customWidth="1"/>
    <col min="15875" max="15875" width="14.85546875" customWidth="1"/>
    <col min="15876" max="15876" width="16.28515625" customWidth="1"/>
    <col min="15877" max="15877" width="18.5703125" customWidth="1"/>
    <col min="15878" max="15878" width="14.28515625" bestFit="1" customWidth="1"/>
    <col min="15879" max="15879" width="14.140625" bestFit="1" customWidth="1"/>
    <col min="15882" max="15882" width="12.28515625" customWidth="1"/>
    <col min="15883" max="15883" width="10.140625" bestFit="1" customWidth="1"/>
    <col min="15884" max="15884" width="23.7109375" customWidth="1"/>
    <col min="15886" max="15886" width="10.28515625" bestFit="1" customWidth="1"/>
    <col min="15887" max="15887" width="10.140625" bestFit="1" customWidth="1"/>
    <col min="15888" max="15888" width="10.28515625" bestFit="1" customWidth="1"/>
    <col min="16129" max="16129" width="16.28515625" bestFit="1" customWidth="1"/>
    <col min="16130" max="16130" width="13.140625" customWidth="1"/>
    <col min="16131" max="16131" width="14.85546875" customWidth="1"/>
    <col min="16132" max="16132" width="16.28515625" customWidth="1"/>
    <col min="16133" max="16133" width="18.5703125" customWidth="1"/>
    <col min="16134" max="16134" width="14.28515625" bestFit="1" customWidth="1"/>
    <col min="16135" max="16135" width="14.140625" bestFit="1" customWidth="1"/>
    <col min="16138" max="16138" width="12.28515625" customWidth="1"/>
    <col min="16139" max="16139" width="10.140625" bestFit="1" customWidth="1"/>
    <col min="16140" max="16140" width="23.7109375" customWidth="1"/>
    <col min="16142" max="16142" width="10.28515625" bestFit="1" customWidth="1"/>
    <col min="16143" max="16143" width="10.140625" bestFit="1" customWidth="1"/>
    <col min="16144" max="16144" width="10.28515625" bestFit="1" customWidth="1"/>
  </cols>
  <sheetData>
    <row r="1" spans="1:16" ht="26.25" thickBot="1" x14ac:dyDescent="0.3">
      <c r="A1" s="52" t="s">
        <v>173</v>
      </c>
    </row>
    <row r="2" spans="1:16" ht="39" x14ac:dyDescent="0.25">
      <c r="A2" s="115" t="s">
        <v>174</v>
      </c>
      <c r="B2" s="116" t="s">
        <v>175</v>
      </c>
      <c r="C2" s="117" t="s">
        <v>176</v>
      </c>
      <c r="D2" s="132" t="s">
        <v>147</v>
      </c>
      <c r="E2" s="132"/>
      <c r="F2" s="132"/>
      <c r="G2" s="132"/>
      <c r="H2" s="133" t="s">
        <v>148</v>
      </c>
      <c r="I2" s="133"/>
      <c r="J2" s="134"/>
      <c r="K2" s="110" t="s">
        <v>106</v>
      </c>
      <c r="L2" s="100" t="s">
        <v>177</v>
      </c>
      <c r="M2" s="4">
        <v>343983</v>
      </c>
      <c r="N2" s="4"/>
      <c r="O2" s="4"/>
      <c r="P2" s="4"/>
    </row>
    <row r="3" spans="1:16" ht="38.25" x14ac:dyDescent="0.25">
      <c r="A3" s="118" t="s">
        <v>178</v>
      </c>
      <c r="B3" s="98" t="s">
        <v>149</v>
      </c>
      <c r="C3" s="98" t="s">
        <v>179</v>
      </c>
      <c r="D3" s="98" t="s">
        <v>180</v>
      </c>
      <c r="E3" s="98" t="s">
        <v>181</v>
      </c>
      <c r="F3" s="98" t="s">
        <v>182</v>
      </c>
      <c r="G3" s="98" t="s">
        <v>183</v>
      </c>
      <c r="H3" s="98" t="s">
        <v>150</v>
      </c>
      <c r="I3" s="98" t="s">
        <v>151</v>
      </c>
      <c r="J3" s="119" t="s">
        <v>152</v>
      </c>
      <c r="K3" s="111" t="s">
        <v>184</v>
      </c>
      <c r="L3" s="100" t="s">
        <v>184</v>
      </c>
      <c r="M3" s="4"/>
      <c r="N3" s="4"/>
      <c r="O3" s="4"/>
      <c r="P3" s="4"/>
    </row>
    <row r="4" spans="1:16" x14ac:dyDescent="0.25">
      <c r="A4" s="120" t="s">
        <v>52</v>
      </c>
      <c r="B4" s="101">
        <v>1.85</v>
      </c>
      <c r="C4" s="102">
        <v>0.39</v>
      </c>
      <c r="D4" s="103">
        <v>274426200</v>
      </c>
      <c r="E4" s="103">
        <v>6055659900</v>
      </c>
      <c r="F4" s="103">
        <v>1732871700</v>
      </c>
      <c r="G4" s="103">
        <v>8062957800</v>
      </c>
      <c r="H4" s="100">
        <v>798</v>
      </c>
      <c r="I4" s="100">
        <v>17605</v>
      </c>
      <c r="J4" s="121">
        <v>5038</v>
      </c>
      <c r="K4" s="112">
        <f>SUM(H4:J4)</f>
        <v>23441</v>
      </c>
      <c r="L4" s="100">
        <f>0.25*K4</f>
        <v>5860.25</v>
      </c>
      <c r="M4" s="109">
        <f>D4/$M$2</f>
        <v>797.79000706430259</v>
      </c>
      <c r="N4" s="109">
        <f t="shared" ref="N4:P8" si="0">E4/$M$2</f>
        <v>17604.532491431262</v>
      </c>
      <c r="O4" s="109">
        <f t="shared" si="0"/>
        <v>5037.66668701651</v>
      </c>
      <c r="P4" s="109">
        <f t="shared" si="0"/>
        <v>23439.989185512073</v>
      </c>
    </row>
    <row r="5" spans="1:16" x14ac:dyDescent="0.25">
      <c r="A5" s="120" t="s">
        <v>1</v>
      </c>
      <c r="B5" s="104">
        <v>1.5384615384615385</v>
      </c>
      <c r="C5" s="105">
        <f>325.076923076923/1000</f>
        <v>0.32507692307692299</v>
      </c>
      <c r="D5" s="106">
        <v>0</v>
      </c>
      <c r="E5" s="103">
        <v>40582800</v>
      </c>
      <c r="F5" s="103">
        <v>1962067500</v>
      </c>
      <c r="G5" s="103">
        <v>2002650300</v>
      </c>
      <c r="H5" s="100" t="s">
        <v>185</v>
      </c>
      <c r="I5" s="100">
        <v>118</v>
      </c>
      <c r="J5" s="121">
        <v>5704</v>
      </c>
      <c r="K5" s="112">
        <f>SUM(H5:J5)</f>
        <v>5822</v>
      </c>
      <c r="L5" s="100">
        <f>0.25*K5</f>
        <v>1455.5</v>
      </c>
      <c r="M5" s="109">
        <f>D5/$M$2</f>
        <v>0</v>
      </c>
      <c r="N5" s="109">
        <f t="shared" si="0"/>
        <v>117.97908617577032</v>
      </c>
      <c r="O5" s="109">
        <f t="shared" si="0"/>
        <v>5703.9664750874317</v>
      </c>
      <c r="P5" s="109">
        <f t="shared" si="0"/>
        <v>5821.9455612632019</v>
      </c>
    </row>
    <row r="6" spans="1:16" x14ac:dyDescent="0.25">
      <c r="A6" s="120" t="s">
        <v>2</v>
      </c>
      <c r="B6" s="101">
        <v>1</v>
      </c>
      <c r="C6" s="102">
        <v>0.21099999999999999</v>
      </c>
      <c r="D6" s="103">
        <v>5426100</v>
      </c>
      <c r="E6" s="103">
        <v>203607900</v>
      </c>
      <c r="F6" s="103">
        <v>2228888700</v>
      </c>
      <c r="G6" s="103">
        <v>2437922700</v>
      </c>
      <c r="H6" s="100">
        <v>16</v>
      </c>
      <c r="I6" s="100">
        <v>592</v>
      </c>
      <c r="J6" s="121">
        <v>6480</v>
      </c>
      <c r="K6" s="112">
        <f>SUM(H6:J6)</f>
        <v>7088</v>
      </c>
      <c r="L6" s="100">
        <f>0.25*K6</f>
        <v>1772</v>
      </c>
      <c r="M6" s="109">
        <f>D6/$M$2</f>
        <v>15.774326056810947</v>
      </c>
      <c r="N6" s="109">
        <f t="shared" si="0"/>
        <v>591.91268173136461</v>
      </c>
      <c r="O6" s="109">
        <f t="shared" si="0"/>
        <v>6479.64783143353</v>
      </c>
      <c r="P6" s="109">
        <f t="shared" si="0"/>
        <v>7087.3348392217058</v>
      </c>
    </row>
    <row r="7" spans="1:16" x14ac:dyDescent="0.25">
      <c r="A7" s="120" t="s">
        <v>54</v>
      </c>
      <c r="B7" s="104">
        <v>0.88461538461538458</v>
      </c>
      <c r="C7" s="105">
        <f>186.919230769231/1000</f>
        <v>0.186919230769231</v>
      </c>
      <c r="D7" s="103">
        <v>280800</v>
      </c>
      <c r="E7" s="103">
        <v>715558500</v>
      </c>
      <c r="F7" s="103">
        <v>4856541300</v>
      </c>
      <c r="G7" s="103">
        <v>5572380600</v>
      </c>
      <c r="H7" s="100">
        <v>1</v>
      </c>
      <c r="I7" s="100">
        <v>2080</v>
      </c>
      <c r="J7" s="121">
        <v>14119</v>
      </c>
      <c r="K7" s="112">
        <f>SUM(H7:J7)</f>
        <v>16200</v>
      </c>
      <c r="L7" s="100">
        <f>0.25*K7</f>
        <v>4050</v>
      </c>
      <c r="M7" s="109">
        <f>D7/$M$2</f>
        <v>0.81631941113368978</v>
      </c>
      <c r="N7" s="109">
        <f t="shared" si="0"/>
        <v>2080.2147199134843</v>
      </c>
      <c r="O7" s="109">
        <f t="shared" si="0"/>
        <v>14118.55033533634</v>
      </c>
      <c r="P7" s="109">
        <f t="shared" si="0"/>
        <v>16199.581374660956</v>
      </c>
    </row>
    <row r="8" spans="1:16" x14ac:dyDescent="0.25">
      <c r="A8" s="122" t="s">
        <v>59</v>
      </c>
      <c r="B8" s="101">
        <v>0.84615384615384615</v>
      </c>
      <c r="C8" s="102">
        <v>0.17879230769230797</v>
      </c>
      <c r="D8" s="103">
        <v>425700</v>
      </c>
      <c r="E8" s="103">
        <v>112972500</v>
      </c>
      <c r="F8" s="103">
        <v>113300100</v>
      </c>
      <c r="G8" s="103">
        <v>226698300</v>
      </c>
      <c r="H8" s="107">
        <v>1</v>
      </c>
      <c r="I8" s="107">
        <v>328</v>
      </c>
      <c r="J8" s="123">
        <v>329</v>
      </c>
      <c r="K8" s="113">
        <f>SUM(H8:J8)</f>
        <v>658</v>
      </c>
      <c r="L8" s="100">
        <f>0.25*K8</f>
        <v>164.5</v>
      </c>
      <c r="M8" s="109">
        <f>D8/$M$2</f>
        <v>1.2375611585456259</v>
      </c>
      <c r="N8" s="109">
        <f t="shared" si="0"/>
        <v>328.42466052101412</v>
      </c>
      <c r="O8" s="109">
        <f t="shared" si="0"/>
        <v>329.37703316733678</v>
      </c>
      <c r="P8" s="109">
        <f t="shared" si="0"/>
        <v>659.03925484689648</v>
      </c>
    </row>
    <row r="9" spans="1:16" x14ac:dyDescent="0.25">
      <c r="A9" s="122" t="s">
        <v>170</v>
      </c>
      <c r="B9" s="90" t="s">
        <v>171</v>
      </c>
      <c r="C9" s="90" t="s">
        <v>171</v>
      </c>
      <c r="D9" s="90" t="s">
        <v>171</v>
      </c>
      <c r="E9" s="90" t="s">
        <v>171</v>
      </c>
      <c r="F9" s="90" t="s">
        <v>171</v>
      </c>
      <c r="G9" s="103">
        <v>781598700</v>
      </c>
      <c r="H9" s="107"/>
      <c r="I9" s="107"/>
      <c r="J9" s="123"/>
      <c r="K9" s="113"/>
      <c r="L9" s="100"/>
      <c r="M9" s="109"/>
      <c r="N9" s="109"/>
      <c r="O9" s="109"/>
      <c r="P9" s="109"/>
    </row>
    <row r="10" spans="1:16" ht="15.75" thickBot="1" x14ac:dyDescent="0.3">
      <c r="A10" s="124" t="s">
        <v>163</v>
      </c>
      <c r="B10" s="125">
        <v>0.48846153846153845</v>
      </c>
      <c r="C10" s="126">
        <v>0.10321192307692301</v>
      </c>
      <c r="D10" s="127" t="s">
        <v>186</v>
      </c>
      <c r="E10" s="127" t="s">
        <v>186</v>
      </c>
      <c r="F10" s="127" t="s">
        <v>186</v>
      </c>
      <c r="G10" s="127" t="s">
        <v>186</v>
      </c>
      <c r="H10" s="127" t="s">
        <v>186</v>
      </c>
      <c r="I10" s="127" t="s">
        <v>186</v>
      </c>
      <c r="J10" s="128" t="s">
        <v>186</v>
      </c>
      <c r="K10" s="114" t="s">
        <v>186</v>
      </c>
      <c r="L10" s="103" t="s">
        <v>186</v>
      </c>
      <c r="M10" s="103" t="s">
        <v>186</v>
      </c>
      <c r="N10" s="103" t="s">
        <v>186</v>
      </c>
      <c r="O10" s="103" t="s">
        <v>186</v>
      </c>
      <c r="P10" s="103" t="s">
        <v>186</v>
      </c>
    </row>
    <row r="11" spans="1:16" ht="63" x14ac:dyDescent="0.3">
      <c r="A11" s="108" t="s">
        <v>187</v>
      </c>
      <c r="B11" s="64"/>
      <c r="D11" s="130" t="s">
        <v>188</v>
      </c>
      <c r="G11" s="129"/>
    </row>
    <row r="12" spans="1:16" ht="18.75" x14ac:dyDescent="0.3">
      <c r="B12" s="64"/>
      <c r="D12" s="130" t="s">
        <v>191</v>
      </c>
      <c r="G12" s="129"/>
    </row>
    <row r="13" spans="1:16" ht="18.75" x14ac:dyDescent="0.3">
      <c r="B13" s="64"/>
      <c r="D13" s="130" t="s">
        <v>190</v>
      </c>
      <c r="G13" s="129"/>
    </row>
    <row r="14" spans="1:16" ht="18.75" x14ac:dyDescent="0.3">
      <c r="B14" s="64"/>
      <c r="D14" s="130" t="s">
        <v>189</v>
      </c>
      <c r="G14" s="129"/>
    </row>
    <row r="15" spans="1:16" ht="18.75" x14ac:dyDescent="0.3">
      <c r="B15" s="64"/>
      <c r="D15" s="131" t="s">
        <v>193</v>
      </c>
      <c r="G15" s="129"/>
    </row>
    <row r="16" spans="1:16" x14ac:dyDescent="0.25">
      <c r="B16" s="64"/>
      <c r="D16" s="22" t="s">
        <v>192</v>
      </c>
    </row>
  </sheetData>
  <mergeCells count="2">
    <mergeCell ref="D2:G2"/>
    <mergeCell ref="H2:J2"/>
  </mergeCells>
  <hyperlinks>
    <hyperlink ref="D16" r:id="rId1" xr:uid="{00000000-0004-0000-02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needs entire AP basins </vt:lpstr>
      <vt:lpstr>Fig 3. Crop area &amp; water needs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Ghimire, Santosh</dc:creator>
  <cp:lastModifiedBy>Ghimire, Santosh</cp:lastModifiedBy>
  <dcterms:created xsi:type="dcterms:W3CDTF">2017-09-08T00:15:20Z</dcterms:created>
  <dcterms:modified xsi:type="dcterms:W3CDTF">2018-12-11T22:16:26Z</dcterms:modified>
</cp:coreProperties>
</file>