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AA.AD.EPA.GOV\ORD\ATH\USERS\N-Z\sghimire\Net MyDocuments\Research Contractor SR Ghimire\Journals for submissions\PLOS2018\PLOS submission DATA\Cluster 1 data\"/>
    </mc:Choice>
  </mc:AlternateContent>
  <bookViews>
    <workbookView xWindow="0" yWindow="0" windowWidth="19200" windowHeight="11595" tabRatio="828" firstSheet="3" activeTab="7"/>
  </bookViews>
  <sheets>
    <sheet name="Config. 1 LCC_ARWH ref crop" sheetId="7" r:id="rId1"/>
    <sheet name="Config. 2 LCC ARWH CONC TANK" sheetId="19" r:id="rId2"/>
    <sheet name="Config. 3 LCC ARWH NO PP PE TK" sheetId="20" r:id="rId3"/>
    <sheet name="Config. 4 LCC ARWH NO PP CO TK" sheetId="21" r:id="rId4"/>
    <sheet name="PE tank costs" sheetId="10" r:id="rId5"/>
    <sheet name="CONCRETE tank costs" sheetId="9" r:id="rId6"/>
    <sheet name="Typical pivot system cost" sheetId="18" r:id="rId7"/>
    <sheet name="Table S2, Compare all LCCAs" sheetId="16" r:id="rId8"/>
  </sheets>
  <definedNames>
    <definedName name="_Toc511725131" localSheetId="7">'Table S2, Compare all LCCAs'!$C$32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6" l="1"/>
  <c r="E7" i="21"/>
  <c r="H48" i="21"/>
  <c r="G48" i="21"/>
  <c r="B48" i="21"/>
  <c r="C48" i="21" s="1"/>
  <c r="E48" i="21" s="1"/>
  <c r="E33" i="21"/>
  <c r="G33" i="21" s="1"/>
  <c r="C33" i="21"/>
  <c r="B33" i="21"/>
  <c r="C32" i="21"/>
  <c r="H26" i="21"/>
  <c r="G26" i="21"/>
  <c r="E26" i="21"/>
  <c r="G25" i="21"/>
  <c r="D25" i="21"/>
  <c r="G24" i="21"/>
  <c r="D24" i="21"/>
  <c r="E24" i="21" s="1"/>
  <c r="H23" i="21"/>
  <c r="G23" i="21"/>
  <c r="E23" i="21"/>
  <c r="D23" i="21"/>
  <c r="G21" i="21"/>
  <c r="C21" i="21"/>
  <c r="G20" i="21"/>
  <c r="D20" i="21"/>
  <c r="E20" i="21" s="1"/>
  <c r="H20" i="21" s="1"/>
  <c r="C20" i="21"/>
  <c r="G19" i="21"/>
  <c r="G18" i="21"/>
  <c r="D18" i="21"/>
  <c r="G16" i="21"/>
  <c r="D16" i="21"/>
  <c r="E16" i="21" s="1"/>
  <c r="H16" i="21" s="1"/>
  <c r="G15" i="21"/>
  <c r="H15" i="21" s="1"/>
  <c r="E15" i="21"/>
  <c r="D15" i="21"/>
  <c r="G14" i="21"/>
  <c r="G13" i="21"/>
  <c r="E13" i="21"/>
  <c r="E11" i="21"/>
  <c r="H11" i="21" s="1"/>
  <c r="E10" i="21"/>
  <c r="H10" i="21" s="1"/>
  <c r="C9" i="21"/>
  <c r="D9" i="21" s="1"/>
  <c r="E8" i="21"/>
  <c r="H8" i="21" s="1"/>
  <c r="H7" i="21"/>
  <c r="D6" i="21"/>
  <c r="E6" i="21" s="1"/>
  <c r="H6" i="21" s="1"/>
  <c r="E5" i="21"/>
  <c r="H5" i="21" s="1"/>
  <c r="D5" i="21"/>
  <c r="H48" i="20"/>
  <c r="G48" i="20"/>
  <c r="B48" i="20"/>
  <c r="C48" i="20" s="1"/>
  <c r="E48" i="20" s="1"/>
  <c r="E33" i="20"/>
  <c r="G33" i="20" s="1"/>
  <c r="C33" i="20"/>
  <c r="B33" i="20"/>
  <c r="C32" i="20"/>
  <c r="G26" i="20"/>
  <c r="E26" i="20"/>
  <c r="G25" i="20"/>
  <c r="D25" i="20"/>
  <c r="G24" i="20"/>
  <c r="D24" i="20"/>
  <c r="E24" i="20" s="1"/>
  <c r="G23" i="20"/>
  <c r="E23" i="20"/>
  <c r="H23" i="20" s="1"/>
  <c r="D23" i="20"/>
  <c r="G21" i="20"/>
  <c r="C21" i="20"/>
  <c r="G20" i="20"/>
  <c r="C20" i="20"/>
  <c r="G19" i="20"/>
  <c r="G18" i="20"/>
  <c r="G16" i="20"/>
  <c r="D16" i="20"/>
  <c r="D21" i="20" s="1"/>
  <c r="E21" i="20" s="1"/>
  <c r="G15" i="20"/>
  <c r="D15" i="20"/>
  <c r="D20" i="20" s="1"/>
  <c r="E20" i="20" s="1"/>
  <c r="G14" i="20"/>
  <c r="G13" i="20"/>
  <c r="E11" i="20"/>
  <c r="H11" i="20" s="1"/>
  <c r="E10" i="20"/>
  <c r="H10" i="20" s="1"/>
  <c r="C9" i="20"/>
  <c r="D9" i="20" s="1"/>
  <c r="E8" i="20"/>
  <c r="H8" i="20" s="1"/>
  <c r="E7" i="20"/>
  <c r="H7" i="20" s="1"/>
  <c r="D6" i="20"/>
  <c r="E6" i="20" s="1"/>
  <c r="H6" i="20" s="1"/>
  <c r="D5" i="20"/>
  <c r="E5" i="20" s="1"/>
  <c r="E7" i="19"/>
  <c r="H7" i="19" s="1"/>
  <c r="H56" i="19"/>
  <c r="G56" i="19"/>
  <c r="C56" i="19"/>
  <c r="E56" i="19" s="1"/>
  <c r="B56" i="19"/>
  <c r="E47" i="19"/>
  <c r="B47" i="19"/>
  <c r="G44" i="19"/>
  <c r="G47" i="19" s="1"/>
  <c r="I47" i="19" s="1"/>
  <c r="I48" i="19" s="1"/>
  <c r="E33" i="19"/>
  <c r="G33" i="19" s="1"/>
  <c r="C33" i="19"/>
  <c r="B33" i="19"/>
  <c r="C32" i="19"/>
  <c r="H26" i="19"/>
  <c r="G26" i="19"/>
  <c r="E26" i="19"/>
  <c r="G25" i="19"/>
  <c r="D25" i="19"/>
  <c r="G24" i="19"/>
  <c r="E24" i="19"/>
  <c r="H24" i="19" s="1"/>
  <c r="D24" i="19"/>
  <c r="G23" i="19"/>
  <c r="E23" i="19"/>
  <c r="D23" i="19"/>
  <c r="G21" i="19"/>
  <c r="C21" i="19"/>
  <c r="G20" i="19"/>
  <c r="D20" i="19"/>
  <c r="E20" i="19" s="1"/>
  <c r="H20" i="19" s="1"/>
  <c r="C20" i="19"/>
  <c r="G19" i="19"/>
  <c r="G18" i="19"/>
  <c r="D18" i="19"/>
  <c r="G16" i="19"/>
  <c r="H16" i="19" s="1"/>
  <c r="E16" i="19"/>
  <c r="D16" i="19"/>
  <c r="D21" i="19" s="1"/>
  <c r="E21" i="19" s="1"/>
  <c r="H21" i="19" s="1"/>
  <c r="G15" i="19"/>
  <c r="H15" i="19" s="1"/>
  <c r="D15" i="19"/>
  <c r="E15" i="19" s="1"/>
  <c r="G14" i="19"/>
  <c r="G13" i="19"/>
  <c r="H13" i="19" s="1"/>
  <c r="E13" i="19"/>
  <c r="D13" i="19"/>
  <c r="E11" i="19"/>
  <c r="H11" i="19" s="1"/>
  <c r="E10" i="19"/>
  <c r="H10" i="19" s="1"/>
  <c r="C9" i="19"/>
  <c r="D9" i="19" s="1"/>
  <c r="E8" i="19"/>
  <c r="H8" i="19" s="1"/>
  <c r="E6" i="19"/>
  <c r="H6" i="19" s="1"/>
  <c r="D6" i="19"/>
  <c r="D5" i="19"/>
  <c r="E5" i="19" s="1"/>
  <c r="E26" i="7"/>
  <c r="H56" i="7"/>
  <c r="H12" i="21" l="1"/>
  <c r="H24" i="21"/>
  <c r="D14" i="21"/>
  <c r="E9" i="21"/>
  <c r="H9" i="21" s="1"/>
  <c r="E18" i="21"/>
  <c r="D21" i="21"/>
  <c r="E21" i="21" s="1"/>
  <c r="H21" i="21" s="1"/>
  <c r="H13" i="21"/>
  <c r="E12" i="21"/>
  <c r="H20" i="20"/>
  <c r="H21" i="20"/>
  <c r="H26" i="20"/>
  <c r="D14" i="20"/>
  <c r="E9" i="20"/>
  <c r="H9" i="20" s="1"/>
  <c r="H5" i="20"/>
  <c r="E12" i="20"/>
  <c r="D17" i="20"/>
  <c r="H24" i="20"/>
  <c r="E13" i="20"/>
  <c r="E16" i="20"/>
  <c r="H16" i="20" s="1"/>
  <c r="D18" i="20"/>
  <c r="E15" i="20"/>
  <c r="H15" i="20" s="1"/>
  <c r="E12" i="19"/>
  <c r="H5" i="19"/>
  <c r="H47" i="19"/>
  <c r="D14" i="19"/>
  <c r="E9" i="19"/>
  <c r="H9" i="19" s="1"/>
  <c r="H23" i="19"/>
  <c r="E18" i="19"/>
  <c r="H19" i="18"/>
  <c r="D3" i="18"/>
  <c r="C43" i="18"/>
  <c r="E43" i="18" s="1"/>
  <c r="C42" i="18"/>
  <c r="E42" i="18" s="1"/>
  <c r="C41" i="18"/>
  <c r="E41" i="18" s="1"/>
  <c r="C40" i="18"/>
  <c r="E40" i="18" s="1"/>
  <c r="C39" i="18"/>
  <c r="E39" i="18" s="1"/>
  <c r="C38" i="18"/>
  <c r="E38" i="18" s="1"/>
  <c r="C37" i="18"/>
  <c r="E37" i="18" s="1"/>
  <c r="C36" i="18"/>
  <c r="E36" i="18" s="1"/>
  <c r="C35" i="18"/>
  <c r="E35" i="18" s="1"/>
  <c r="C33" i="18"/>
  <c r="E33" i="18" s="1"/>
  <c r="C31" i="18"/>
  <c r="E31" i="18" s="1"/>
  <c r="B27" i="18"/>
  <c r="D43" i="18" s="1"/>
  <c r="F43" i="18" s="1"/>
  <c r="A27" i="18"/>
  <c r="C34" i="18" s="1"/>
  <c r="E34" i="18" s="1"/>
  <c r="E16" i="18"/>
  <c r="D16" i="18"/>
  <c r="F16" i="18" s="1"/>
  <c r="C16" i="18"/>
  <c r="E15" i="18"/>
  <c r="D15" i="18"/>
  <c r="C15" i="18"/>
  <c r="F15" i="18" s="1"/>
  <c r="E14" i="18"/>
  <c r="D14" i="18"/>
  <c r="F14" i="18" s="1"/>
  <c r="C14" i="18"/>
  <c r="E13" i="18"/>
  <c r="D13" i="18"/>
  <c r="C13" i="18"/>
  <c r="F13" i="18" s="1"/>
  <c r="E12" i="18"/>
  <c r="D12" i="18"/>
  <c r="F12" i="18" s="1"/>
  <c r="C12" i="18"/>
  <c r="E11" i="18"/>
  <c r="D11" i="18"/>
  <c r="C11" i="18"/>
  <c r="F11" i="18" s="1"/>
  <c r="E10" i="18"/>
  <c r="D10" i="18"/>
  <c r="F10" i="18" s="1"/>
  <c r="C10" i="18"/>
  <c r="E9" i="18"/>
  <c r="D9" i="18"/>
  <c r="C9" i="18"/>
  <c r="F9" i="18" s="1"/>
  <c r="E8" i="18"/>
  <c r="D8" i="18"/>
  <c r="F8" i="18" s="1"/>
  <c r="C8" i="18"/>
  <c r="E7" i="18"/>
  <c r="D7" i="18"/>
  <c r="C7" i="18"/>
  <c r="F7" i="18" s="1"/>
  <c r="E6" i="18"/>
  <c r="D6" i="18"/>
  <c r="F6" i="18" s="1"/>
  <c r="C6" i="18"/>
  <c r="E5" i="18"/>
  <c r="D5" i="18"/>
  <c r="C5" i="18"/>
  <c r="F5" i="18" s="1"/>
  <c r="E4" i="18"/>
  <c r="D4" i="18"/>
  <c r="F4" i="18" s="1"/>
  <c r="C4" i="18"/>
  <c r="E3" i="18"/>
  <c r="C3" i="18"/>
  <c r="F3" i="18" s="1"/>
  <c r="E25" i="21" l="1"/>
  <c r="D19" i="21"/>
  <c r="E14" i="21"/>
  <c r="D17" i="21"/>
  <c r="H18" i="21"/>
  <c r="E25" i="20"/>
  <c r="E18" i="20"/>
  <c r="H12" i="20"/>
  <c r="H13" i="20"/>
  <c r="D19" i="20"/>
  <c r="E14" i="20"/>
  <c r="H14" i="20" s="1"/>
  <c r="H18" i="19"/>
  <c r="D19" i="19"/>
  <c r="E14" i="19"/>
  <c r="D17" i="19"/>
  <c r="H12" i="19"/>
  <c r="E25" i="19"/>
  <c r="D32" i="18"/>
  <c r="F32" i="18" s="1"/>
  <c r="D36" i="18"/>
  <c r="F36" i="18" s="1"/>
  <c r="D38" i="18"/>
  <c r="F38" i="18" s="1"/>
  <c r="D40" i="18"/>
  <c r="F40" i="18" s="1"/>
  <c r="D42" i="18"/>
  <c r="F42" i="18" s="1"/>
  <c r="D30" i="18"/>
  <c r="F30" i="18" s="1"/>
  <c r="D34" i="18"/>
  <c r="F34" i="18" s="1"/>
  <c r="D31" i="18"/>
  <c r="F31" i="18" s="1"/>
  <c r="D33" i="18"/>
  <c r="F33" i="18" s="1"/>
  <c r="D35" i="18"/>
  <c r="F35" i="18" s="1"/>
  <c r="D37" i="18"/>
  <c r="F37" i="18" s="1"/>
  <c r="D39" i="18"/>
  <c r="F39" i="18" s="1"/>
  <c r="D41" i="18"/>
  <c r="F41" i="18" s="1"/>
  <c r="C30" i="18"/>
  <c r="E30" i="18" s="1"/>
  <c r="C32" i="18"/>
  <c r="E32" i="18" s="1"/>
  <c r="H14" i="21" l="1"/>
  <c r="E17" i="21"/>
  <c r="E19" i="21"/>
  <c r="A16" i="21"/>
  <c r="D22" i="21"/>
  <c r="H25" i="21"/>
  <c r="E27" i="21"/>
  <c r="H17" i="20"/>
  <c r="E19" i="20"/>
  <c r="H19" i="20" s="1"/>
  <c r="A16" i="20"/>
  <c r="H25" i="20"/>
  <c r="E27" i="20"/>
  <c r="H18" i="20"/>
  <c r="E17" i="20"/>
  <c r="D22" i="20"/>
  <c r="H14" i="19"/>
  <c r="E17" i="19"/>
  <c r="E19" i="19"/>
  <c r="A16" i="19"/>
  <c r="D22" i="19"/>
  <c r="H25" i="19"/>
  <c r="E27" i="19"/>
  <c r="G56" i="7"/>
  <c r="E33" i="7"/>
  <c r="D23" i="7"/>
  <c r="E28" i="21" l="1"/>
  <c r="H27" i="21"/>
  <c r="H17" i="21"/>
  <c r="H19" i="21"/>
  <c r="E22" i="21"/>
  <c r="H27" i="20"/>
  <c r="H22" i="20"/>
  <c r="E22" i="20"/>
  <c r="E28" i="20" s="1"/>
  <c r="H27" i="19"/>
  <c r="H19" i="19"/>
  <c r="E22" i="19"/>
  <c r="E28" i="19"/>
  <c r="H17" i="19"/>
  <c r="C61" i="16"/>
  <c r="H22" i="21" l="1"/>
  <c r="H28" i="21" s="1"/>
  <c r="H28" i="20"/>
  <c r="J22" i="20" s="1"/>
  <c r="H22" i="19"/>
  <c r="I61" i="16"/>
  <c r="H61" i="16"/>
  <c r="G61" i="16"/>
  <c r="F61" i="16"/>
  <c r="E61" i="16"/>
  <c r="D61" i="16"/>
  <c r="B29" i="16"/>
  <c r="C29" i="16"/>
  <c r="D29" i="16"/>
  <c r="E29" i="16"/>
  <c r="F29" i="16"/>
  <c r="G29" i="16"/>
  <c r="H29" i="16"/>
  <c r="I29" i="16"/>
  <c r="F50" i="10"/>
  <c r="L50" i="10" s="1"/>
  <c r="A50" i="10"/>
  <c r="L49" i="10"/>
  <c r="G49" i="10"/>
  <c r="I49" i="10" s="1"/>
  <c r="L48" i="10"/>
  <c r="G48" i="10"/>
  <c r="I48" i="10" s="1"/>
  <c r="N47" i="10"/>
  <c r="L47" i="10"/>
  <c r="G47" i="10"/>
  <c r="N46" i="10"/>
  <c r="L46" i="10"/>
  <c r="I46" i="10"/>
  <c r="H46" i="10"/>
  <c r="G46" i="10"/>
  <c r="I44" i="10"/>
  <c r="H44" i="10"/>
  <c r="F25" i="10"/>
  <c r="E25" i="10"/>
  <c r="G25" i="10" s="1"/>
  <c r="H25" i="10" s="1"/>
  <c r="D24" i="10"/>
  <c r="E24" i="10" s="1"/>
  <c r="G23" i="10"/>
  <c r="H23" i="10" s="1"/>
  <c r="E23" i="10"/>
  <c r="A38" i="10" s="1"/>
  <c r="A39" i="10" s="1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F63" i="9"/>
  <c r="L63" i="9" s="1"/>
  <c r="A63" i="9"/>
  <c r="L62" i="9"/>
  <c r="G62" i="9"/>
  <c r="L61" i="9"/>
  <c r="G61" i="9"/>
  <c r="N60" i="9"/>
  <c r="L60" i="9"/>
  <c r="G60" i="9"/>
  <c r="I60" i="9" s="1"/>
  <c r="N59" i="9"/>
  <c r="L59" i="9"/>
  <c r="G59" i="9"/>
  <c r="I59" i="9" s="1"/>
  <c r="I57" i="9"/>
  <c r="H57" i="9"/>
  <c r="G38" i="9"/>
  <c r="H38" i="9" s="1"/>
  <c r="F38" i="9"/>
  <c r="E38" i="9"/>
  <c r="D37" i="9"/>
  <c r="E37" i="9" s="1"/>
  <c r="E36" i="9"/>
  <c r="A51" i="9" s="1"/>
  <c r="A52" i="9" s="1"/>
  <c r="D29" i="9"/>
  <c r="C29" i="9"/>
  <c r="D28" i="9"/>
  <c r="C28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56" i="7"/>
  <c r="C56" i="7" s="1"/>
  <c r="E56" i="7" s="1"/>
  <c r="E47" i="7"/>
  <c r="B47" i="7"/>
  <c r="G44" i="7"/>
  <c r="G47" i="7" s="1"/>
  <c r="G33" i="7"/>
  <c r="C33" i="7"/>
  <c r="B33" i="7"/>
  <c r="C32" i="7"/>
  <c r="G26" i="7"/>
  <c r="H26" i="7" s="1"/>
  <c r="G25" i="7"/>
  <c r="D25" i="7"/>
  <c r="G24" i="7"/>
  <c r="D24" i="7"/>
  <c r="E24" i="7" s="1"/>
  <c r="G23" i="7"/>
  <c r="E23" i="7"/>
  <c r="G21" i="7"/>
  <c r="C21" i="7"/>
  <c r="G20" i="7"/>
  <c r="C20" i="7"/>
  <c r="G19" i="7"/>
  <c r="G18" i="7"/>
  <c r="G16" i="7"/>
  <c r="D16" i="7"/>
  <c r="G15" i="7"/>
  <c r="D15" i="7"/>
  <c r="G14" i="7"/>
  <c r="G13" i="7"/>
  <c r="D13" i="7"/>
  <c r="E11" i="7"/>
  <c r="H11" i="7" s="1"/>
  <c r="E10" i="7"/>
  <c r="H10" i="7" s="1"/>
  <c r="C9" i="7"/>
  <c r="D9" i="7" s="1"/>
  <c r="E8" i="7"/>
  <c r="H8" i="7" s="1"/>
  <c r="E7" i="7"/>
  <c r="H7" i="7" s="1"/>
  <c r="D6" i="7"/>
  <c r="E6" i="7" s="1"/>
  <c r="H6" i="7" s="1"/>
  <c r="D5" i="7"/>
  <c r="E5" i="7" s="1"/>
  <c r="H5" i="7" s="1"/>
  <c r="J23" i="21" l="1"/>
  <c r="H29" i="21"/>
  <c r="H33" i="21"/>
  <c r="J16" i="21"/>
  <c r="J5" i="21"/>
  <c r="J8" i="21"/>
  <c r="J6" i="21"/>
  <c r="J26" i="21"/>
  <c r="J7" i="21"/>
  <c r="J10" i="21"/>
  <c r="J15" i="21"/>
  <c r="J20" i="21"/>
  <c r="J11" i="21"/>
  <c r="J21" i="21"/>
  <c r="J24" i="21"/>
  <c r="J9" i="21"/>
  <c r="J13" i="21"/>
  <c r="J12" i="21"/>
  <c r="J18" i="21"/>
  <c r="J14" i="21"/>
  <c r="J25" i="21"/>
  <c r="J19" i="21"/>
  <c r="J17" i="21"/>
  <c r="J27" i="21"/>
  <c r="J22" i="21"/>
  <c r="J27" i="20"/>
  <c r="H29" i="20"/>
  <c r="H33" i="20"/>
  <c r="J21" i="20"/>
  <c r="J26" i="20"/>
  <c r="J10" i="20"/>
  <c r="J11" i="20"/>
  <c r="J20" i="20"/>
  <c r="J8" i="20"/>
  <c r="J6" i="20"/>
  <c r="J7" i="20"/>
  <c r="J23" i="20"/>
  <c r="J16" i="20"/>
  <c r="J15" i="20"/>
  <c r="J24" i="20"/>
  <c r="J9" i="20"/>
  <c r="J5" i="20"/>
  <c r="J13" i="20"/>
  <c r="J14" i="20"/>
  <c r="J12" i="20"/>
  <c r="J19" i="20"/>
  <c r="J17" i="20"/>
  <c r="J18" i="20"/>
  <c r="J25" i="20"/>
  <c r="H28" i="19"/>
  <c r="H24" i="7"/>
  <c r="D18" i="7"/>
  <c r="E18" i="7" s="1"/>
  <c r="E13" i="7"/>
  <c r="H13" i="7" s="1"/>
  <c r="D21" i="7"/>
  <c r="E21" i="7" s="1"/>
  <c r="H21" i="7" s="1"/>
  <c r="H47" i="7"/>
  <c r="G36" i="9"/>
  <c r="H36" i="9" s="1"/>
  <c r="H59" i="9"/>
  <c r="I47" i="10"/>
  <c r="I62" i="9"/>
  <c r="I47" i="7"/>
  <c r="I48" i="7" s="1"/>
  <c r="I61" i="9"/>
  <c r="G24" i="10"/>
  <c r="H24" i="10" s="1"/>
  <c r="F24" i="10"/>
  <c r="H47" i="10"/>
  <c r="H48" i="10"/>
  <c r="H49" i="10"/>
  <c r="F23" i="10"/>
  <c r="G37" i="9"/>
  <c r="H37" i="9" s="1"/>
  <c r="F37" i="9"/>
  <c r="H60" i="9"/>
  <c r="H61" i="9"/>
  <c r="H62" i="9"/>
  <c r="F36" i="9"/>
  <c r="D14" i="7"/>
  <c r="D17" i="7" s="1"/>
  <c r="E9" i="7"/>
  <c r="H9" i="7" s="1"/>
  <c r="D20" i="7"/>
  <c r="E20" i="7" s="1"/>
  <c r="H20" i="7" s="1"/>
  <c r="E15" i="7"/>
  <c r="H15" i="7" s="1"/>
  <c r="H23" i="7"/>
  <c r="E16" i="7"/>
  <c r="H16" i="7" s="1"/>
  <c r="J28" i="21" l="1"/>
  <c r="J29" i="21"/>
  <c r="J29" i="20"/>
  <c r="J28" i="20"/>
  <c r="H29" i="19"/>
  <c r="H33" i="19"/>
  <c r="J20" i="19"/>
  <c r="J26" i="19"/>
  <c r="J21" i="19"/>
  <c r="J11" i="19"/>
  <c r="J13" i="19"/>
  <c r="J8" i="19"/>
  <c r="J15" i="19"/>
  <c r="J24" i="19"/>
  <c r="J7" i="19"/>
  <c r="J16" i="19"/>
  <c r="J10" i="19"/>
  <c r="J6" i="19"/>
  <c r="J5" i="19"/>
  <c r="J9" i="19"/>
  <c r="J23" i="19"/>
  <c r="J18" i="19"/>
  <c r="J12" i="19"/>
  <c r="J25" i="19"/>
  <c r="J14" i="19"/>
  <c r="J27" i="19"/>
  <c r="J17" i="19"/>
  <c r="J19" i="19"/>
  <c r="J22" i="19"/>
  <c r="H12" i="7"/>
  <c r="D19" i="7"/>
  <c r="D22" i="7" s="1"/>
  <c r="E14" i="7"/>
  <c r="E17" i="7" s="1"/>
  <c r="H18" i="7"/>
  <c r="E12" i="7"/>
  <c r="J29" i="19" l="1"/>
  <c r="J28" i="19"/>
  <c r="H14" i="7"/>
  <c r="H17" i="7" s="1"/>
  <c r="E25" i="7"/>
  <c r="H25" i="7" s="1"/>
  <c r="E19" i="7"/>
  <c r="E22" i="7" s="1"/>
  <c r="A16" i="7"/>
  <c r="H19" i="7" l="1"/>
  <c r="H22" i="7" s="1"/>
  <c r="E27" i="7"/>
  <c r="H27" i="7" l="1"/>
  <c r="E28" i="7"/>
  <c r="H28" i="7"/>
  <c r="J25" i="7" l="1"/>
  <c r="H29" i="7"/>
  <c r="H33" i="7"/>
  <c r="J10" i="7"/>
  <c r="J7" i="7"/>
  <c r="J8" i="7"/>
  <c r="J11" i="7"/>
  <c r="J6" i="7"/>
  <c r="J21" i="7"/>
  <c r="J24" i="7"/>
  <c r="J26" i="7"/>
  <c r="J16" i="7"/>
  <c r="J5" i="7"/>
  <c r="J23" i="7"/>
  <c r="J9" i="7"/>
  <c r="J20" i="7"/>
  <c r="J15" i="7"/>
  <c r="J13" i="7"/>
  <c r="J12" i="7"/>
  <c r="J18" i="7"/>
  <c r="J14" i="7"/>
  <c r="J22" i="7"/>
  <c r="J17" i="7"/>
  <c r="J19" i="7"/>
  <c r="J27" i="7"/>
  <c r="J28" i="7" l="1"/>
  <c r="J29" i="7"/>
</calcChain>
</file>

<file path=xl/comments1.xml><?xml version="1.0" encoding="utf-8"?>
<comments xmlns="http://schemas.openxmlformats.org/spreadsheetml/2006/main">
  <authors>
    <author>Ghimire, Santosh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$2.9/CY X 1.31CY/m3</t>
        </r>
      </text>
    </comment>
  </commentList>
</comments>
</file>

<file path=xl/comments2.xml><?xml version="1.0" encoding="utf-8"?>
<comments xmlns="http://schemas.openxmlformats.org/spreadsheetml/2006/main">
  <authors>
    <author>Ghimire, Santosh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$2.9/CY X 1.31CY/m3</t>
        </r>
      </text>
    </comment>
  </commentList>
</comments>
</file>

<file path=xl/comments3.xml><?xml version="1.0" encoding="utf-8"?>
<comments xmlns="http://schemas.openxmlformats.org/spreadsheetml/2006/main">
  <authors>
    <author>Ghimire, Santosh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$2.9/CY X 1.31CY/m3</t>
        </r>
      </text>
    </comment>
  </commentList>
</comments>
</file>

<file path=xl/comments4.xml><?xml version="1.0" encoding="utf-8"?>
<comments xmlns="http://schemas.openxmlformats.org/spreadsheetml/2006/main">
  <authors>
    <author>Ghimire, Santosh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$2.9/CY X 1.31CY/m3</t>
        </r>
      </text>
    </comment>
  </commentList>
</comments>
</file>

<file path=xl/sharedStrings.xml><?xml version="1.0" encoding="utf-8"?>
<sst xmlns="http://schemas.openxmlformats.org/spreadsheetml/2006/main" count="866" uniqueCount="203">
  <si>
    <t>Y</t>
  </si>
  <si>
    <t>m3</t>
  </si>
  <si>
    <t>ARWH Cost breakdown</t>
  </si>
  <si>
    <t>Description</t>
  </si>
  <si>
    <t>Magnitude</t>
  </si>
  <si>
    <t>Unit Costs ($/unit volume or length or energy)</t>
  </si>
  <si>
    <t>Cost, base date  (2014 $ value)</t>
  </si>
  <si>
    <t>Discount rate (decimal)</t>
  </si>
  <si>
    <t>Discount factor</t>
  </si>
  <si>
    <t xml:space="preserve">50-yr present value, $ </t>
  </si>
  <si>
    <t>Reference</t>
  </si>
  <si>
    <t>% of LCC</t>
  </si>
  <si>
    <t>Catchment, Area (m2)</t>
  </si>
  <si>
    <t>n/a</t>
  </si>
  <si>
    <t>Channel, length (m)</t>
  </si>
  <si>
    <t>Capital Investment</t>
  </si>
  <si>
    <r>
      <t>Sediment chamber, 13000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@ $3.8/m</t>
    </r>
    <r>
      <rPr>
        <vertAlign val="superscript"/>
        <sz val="11"/>
        <color theme="1"/>
        <rFont val="Calibri"/>
        <family val="2"/>
        <scheme val="minor"/>
      </rPr>
      <t>3</t>
    </r>
  </si>
  <si>
    <t>already present value</t>
  </si>
  <si>
    <t>Ghimire et al. (2014); USDA (2014)</t>
  </si>
  <si>
    <r>
      <t xml:space="preserve">Collection &amp; distribution pipe, 155 m (PVC 101.6  mm dia.) @ $15.1/m 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</si>
  <si>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Ghimire et al. (2014); CPFC (2014)</t>
  </si>
  <si>
    <t>297.64 x V + 161.68</t>
  </si>
  <si>
    <t>SOM (2003)</t>
  </si>
  <si>
    <t>Pump, 1 unit</t>
  </si>
  <si>
    <t>unit</t>
  </si>
  <si>
    <t>Pentair (2014)</t>
  </si>
  <si>
    <t xml:space="preserve">Pivot-center, 1 unit </t>
  </si>
  <si>
    <t>Bliesner and Spare (2001)</t>
  </si>
  <si>
    <t>Control valve, 4", cast iron, 1 piece</t>
  </si>
  <si>
    <t>Flomatic Valves (2014)</t>
  </si>
  <si>
    <t>Check valve, 4 ", cast iron, 1 piece</t>
  </si>
  <si>
    <t>Investment sub-total, I</t>
  </si>
  <si>
    <t>As compiled</t>
  </si>
  <si>
    <t>Replacement</t>
  </si>
  <si>
    <t>Pumps, 3 units  (replacements occur at the end of 15, 30, and 45 years)</t>
  </si>
  <si>
    <t>Pivot-center, 2 unit (replacements occur at the end of 20 and 40 years)</t>
  </si>
  <si>
    <t>Check valve, 4 ", cast iron, 6 piece (replacements occur at the end of 7.5, 15, 22.5, 30, 37.5, and 45 years)</t>
  </si>
  <si>
    <t>Control valve, 4", cast iron, 6 piece (replacement occur at the end of 7.5, 15, 22.5, 30, 37.5, and 45 years)</t>
  </si>
  <si>
    <t>Replacement sub-total,  R</t>
  </si>
  <si>
    <t>Residuals</t>
  </si>
  <si>
    <t xml:space="preserve">Pump,  (10/15 of a unit) </t>
  </si>
  <si>
    <t>RICS (2014)</t>
  </si>
  <si>
    <t xml:space="preserve">Pivot-center, 10/20 unit </t>
  </si>
  <si>
    <t>Check valve, 4 ", cast iron, 2.5/7.5 piece</t>
  </si>
  <si>
    <t>Control valve, 4", cast iron, 2.5/7.5 piece</t>
  </si>
  <si>
    <t>Residuals value sub-total, V</t>
  </si>
  <si>
    <t>Annual costs</t>
  </si>
  <si>
    <r>
      <t>Dredging, 7108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 0.02 m depth/yr @ $20/m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</si>
  <si>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7108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x 0.02 m / yr</t>
    </r>
  </si>
  <si>
    <t xml:space="preserve"> Marsalek and Marsalek (1997); USDA (1997); Commission NVR  (2007)</t>
  </si>
  <si>
    <r>
      <t>Sediment disposal cost @ $7/m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</si>
  <si>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t>O &amp;M  (1.7% of Investment)</t>
  </si>
  <si>
    <t>1.7% of investment</t>
  </si>
  <si>
    <t>Hogan et al. (2007)</t>
  </si>
  <si>
    <t>Pumping energy cost, 0.3 kWh/m3 @ $0.103/kWh</t>
  </si>
  <si>
    <t>Annual costs sub-total, A</t>
  </si>
  <si>
    <t>Life cycle cost (Lc) = I + R - V + A</t>
  </si>
  <si>
    <t>$ per 1000 m3</t>
  </si>
  <si>
    <t>$/m3</t>
  </si>
  <si>
    <t>m3/yr (150 days operation)</t>
  </si>
  <si>
    <t>life time operation</t>
  </si>
  <si>
    <t>m3/day</t>
  </si>
  <si>
    <t>$</t>
  </si>
  <si>
    <t>wire-water Efficiency</t>
  </si>
  <si>
    <t>total dynamic head</t>
  </si>
  <si>
    <t>price of energy (EIA 2013)</t>
  </si>
  <si>
    <t>pump operation duration</t>
  </si>
  <si>
    <r>
      <t>Q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hpt/e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  <scheme val="minor"/>
      </rPr>
      <t>e</t>
    </r>
    <r>
      <rPr>
        <vertAlign val="subscript"/>
        <sz val="11"/>
        <color indexed="8"/>
        <rFont val="Calibri"/>
        <family val="2"/>
      </rPr>
      <t>d</t>
    </r>
  </si>
  <si>
    <t>Energy calculation for ARWH (kwh/m3)</t>
  </si>
  <si>
    <t>flow rate, Q</t>
  </si>
  <si>
    <t>efficiency</t>
  </si>
  <si>
    <t>h</t>
  </si>
  <si>
    <t>p</t>
  </si>
  <si>
    <t>t, hour</t>
  </si>
  <si>
    <t>m3/s</t>
  </si>
  <si>
    <t>m</t>
  </si>
  <si>
    <t>($/kWh)</t>
  </si>
  <si>
    <t>Acre</t>
  </si>
  <si>
    <t>USDA (1997)</t>
  </si>
  <si>
    <t>water Depth (m) (based on NRCS HB 590)</t>
  </si>
  <si>
    <t>Surface area</t>
  </si>
  <si>
    <t>sedimentation depth (m/yr)</t>
  </si>
  <si>
    <t>Volume of sediment</t>
  </si>
  <si>
    <t>Cost of dredging</t>
  </si>
  <si>
    <t>disposal rate</t>
  </si>
  <si>
    <t>Vol/depth (m2)</t>
  </si>
  <si>
    <t xml:space="preserve">Based on Marsalek and Marsalek (1997). </t>
  </si>
  <si>
    <t>The Northern Virginia Regional Commission</t>
  </si>
  <si>
    <t>Hectare</t>
  </si>
  <si>
    <t>$/acre</t>
  </si>
  <si>
    <t>$/hectare</t>
  </si>
  <si>
    <t xml:space="preserve">Bliesner &amp; Spare D (2001) </t>
  </si>
  <si>
    <t>1 cubic meter = 264.17 gallon [US, liquid]</t>
  </si>
  <si>
    <t>1 cubic meter/day = 0.183  gallon/minute [US]</t>
  </si>
  <si>
    <t>1 acre foot = 1 233.481 855 3 cubic meter</t>
  </si>
  <si>
    <t>1 cubic meter/day = 0.000 408 cubic foot/second</t>
  </si>
  <si>
    <t>1 acre foot = 1 613.333 356 6 cubic yard</t>
  </si>
  <si>
    <t>flow (gpm)</t>
  </si>
  <si>
    <t>1 meter = 3.28 feet</t>
  </si>
  <si>
    <t>1 acre = 4046.85642 square meters</t>
  </si>
  <si>
    <t>1 inch = 0.025 4 meter</t>
  </si>
  <si>
    <t>1 acre = 43 560 square foot</t>
  </si>
  <si>
    <t>CY= Cubic yard</t>
  </si>
  <si>
    <t>1 cubic meter = 1.31 cubic yard</t>
  </si>
  <si>
    <t>1 cubic meter/second = 15 850.323 141 gallon/minute [US]</t>
  </si>
  <si>
    <t>1 acre = 0.405 hectare</t>
  </si>
  <si>
    <r>
      <t>4588.9 x V</t>
    </r>
    <r>
      <rPr>
        <vertAlign val="superscript"/>
        <sz val="11"/>
        <color theme="1"/>
        <rFont val="Calibri"/>
        <family val="2"/>
        <scheme val="minor"/>
      </rPr>
      <t xml:space="preserve"> 0.5989</t>
    </r>
  </si>
  <si>
    <t>Concrete tank cost vs. capacity</t>
  </si>
  <si>
    <t>1m3=264.17 gal</t>
  </si>
  <si>
    <t>COST</t>
  </si>
  <si>
    <t>based on SOM 2003:</t>
  </si>
  <si>
    <t>(gallons)</t>
  </si>
  <si>
    <t>http://www.michigan.gov/documents/Vol2-35UIP11Tanks_121080_7.pdf</t>
  </si>
  <si>
    <t>ARWH TANK</t>
  </si>
  <si>
    <t>CAPAC.</t>
  </si>
  <si>
    <t>Volume</t>
  </si>
  <si>
    <t>Cost</t>
  </si>
  <si>
    <t>volume</t>
  </si>
  <si>
    <t>Concrete slab foundation</t>
  </si>
  <si>
    <t>gallons</t>
  </si>
  <si>
    <t>Cubic ft</t>
  </si>
  <si>
    <t>1 day supply</t>
  </si>
  <si>
    <t>3 hr supply</t>
  </si>
  <si>
    <t>PE</t>
  </si>
  <si>
    <t>TXWB2005</t>
  </si>
  <si>
    <t>Concrete</t>
  </si>
  <si>
    <t>SOM 2003 method</t>
  </si>
  <si>
    <t>Tank price($/gallon)</t>
  </si>
  <si>
    <t>Concrete ($/gallon)</t>
  </si>
  <si>
    <t>0.74 -1.67/gallon</t>
  </si>
  <si>
    <t>0.3-1.25/gallon</t>
  </si>
  <si>
    <t>polyethylene tanks</t>
  </si>
  <si>
    <t>Tank volumes</t>
  </si>
  <si>
    <t>UP TO 5000 GAL</t>
  </si>
  <si>
    <t>USUALLY &gt; 10,000 GALLON</t>
  </si>
  <si>
    <t>gallon</t>
  </si>
  <si>
    <t>1 US gallon = 0.133680556 cubic feet</t>
  </si>
  <si>
    <t>606m3</t>
  </si>
  <si>
    <t>CONCRETE water tank S(Source: SOM 2003)</t>
  </si>
  <si>
    <t>SIZE</t>
  </si>
  <si>
    <t>(feet)</t>
  </si>
  <si>
    <t>dia</t>
  </si>
  <si>
    <t>height</t>
  </si>
  <si>
    <t>10½</t>
  </si>
  <si>
    <t>7½</t>
  </si>
  <si>
    <t>8½</t>
  </si>
  <si>
    <t>12½</t>
  </si>
  <si>
    <t>14½</t>
  </si>
  <si>
    <t>Sizes: dia x height (ft)</t>
  </si>
  <si>
    <t>Sediment chamber, 13000 m3 @ $3.8/m3</t>
  </si>
  <si>
    <t xml:space="preserve">Collection &amp; distribution pipe, 155 m (PVC 101.6  mm dia.) @ $15.1/m  </t>
  </si>
  <si>
    <t>Dredging, 7108 m2 by  0.02 m depth/yr @ $20/m3</t>
  </si>
  <si>
    <t xml:space="preserve">Sediment disposal cost @ $7/m3 </t>
  </si>
  <si>
    <t>Tank 1 unit,   606 m3</t>
  </si>
  <si>
    <t>System description</t>
  </si>
  <si>
    <t>REFERENCE CROP</t>
  </si>
  <si>
    <t>N/A</t>
  </si>
  <si>
    <t>BASELINE DESIGN  PARAMETERS</t>
  </si>
  <si>
    <t xml:space="preserve">Pivot-center, 1 unit  irrigating 34 ha </t>
  </si>
  <si>
    <t>CAPACITY.</t>
  </si>
  <si>
    <t>VERTICAL PLASTIC TANKS (fiberglass or polyethylene (PE))</t>
  </si>
  <si>
    <r>
      <t>Tank 1 unit, Polyethylene, volume, V =  606 m</t>
    </r>
    <r>
      <rPr>
        <vertAlign val="superscript"/>
        <sz val="11"/>
        <color theme="1"/>
        <rFont val="Calibri"/>
        <family val="2"/>
        <scheme val="minor"/>
      </rPr>
      <t>3</t>
    </r>
  </si>
  <si>
    <t>Maximum</t>
  </si>
  <si>
    <t>In USA, irrigation water price varies (see table below based on WICHELNS D. 2010)</t>
  </si>
  <si>
    <t>Life cycle price of rainwater ($/m3) = Lc/life time rainwater supply</t>
  </si>
  <si>
    <t xml:space="preserve">Agricultural RWH system </t>
  </si>
  <si>
    <t>Sediment dredging</t>
  </si>
  <si>
    <t>Conversion units:</t>
  </si>
  <si>
    <t>Additional explanation below:</t>
  </si>
  <si>
    <t>Irrigated area</t>
  </si>
  <si>
    <t>Cost per acre</t>
  </si>
  <si>
    <t xml:space="preserve">Irrigated area </t>
  </si>
  <si>
    <t>Page 36</t>
  </si>
  <si>
    <t>Equation</t>
  </si>
  <si>
    <t>$/ha x ha</t>
  </si>
  <si>
    <t>In</t>
  </si>
  <si>
    <t>20 line = 50</t>
  </si>
  <si>
    <t>10 line = 200</t>
  </si>
  <si>
    <t>1 line</t>
  </si>
  <si>
    <t>X</t>
  </si>
  <si>
    <t>Point</t>
  </si>
  <si>
    <t>lines</t>
  </si>
  <si>
    <t>Ghimire et al. (2014)</t>
  </si>
  <si>
    <t>Energy calculation  (using power equation)</t>
  </si>
  <si>
    <r>
      <t>Tank 1 unit, Concrete, volume, V =  606 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</si>
  <si>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Pumps, 0 units  </t>
  </si>
  <si>
    <t>No pumping energy cost</t>
  </si>
  <si>
    <t>Pump, 0 unit</t>
  </si>
  <si>
    <t>Configuration 1 (PE Tank; pump)</t>
  </si>
  <si>
    <t>Configuration 2 (Concrete Tank; pump)</t>
  </si>
  <si>
    <t>Configuration 3 (PE Tank; No pump)</t>
  </si>
  <si>
    <t>Configuration 4 (Concrete Tank; No pump)</t>
  </si>
  <si>
    <t>Configuration 1: Baseline System</t>
  </si>
  <si>
    <t xml:space="preserve">Configuration 2: Concrete Tank System </t>
  </si>
  <si>
    <t xml:space="preserve">Configuration 3: No pump System PE Tank </t>
  </si>
  <si>
    <t xml:space="preserve">Configuration 4: No pump System Concrete Tank </t>
  </si>
  <si>
    <t>Check valve, 4 in, cast iron, 6 piece (replacements occur at the end of 7.5, 15, 22.5, 30, 37.5, and 45 years)</t>
  </si>
  <si>
    <t>Control valve, 4 in, cast iron, 6 piece (replacement occur at the end of 7.5, 15, 22.5, 30, 37.5, and 45 years)</t>
  </si>
  <si>
    <t>Control valve, 4 in, cast iron, 2.5/7.5 piece</t>
  </si>
  <si>
    <t>Check valve, 4 in, cast iron, 2.5/7.5 piece</t>
  </si>
  <si>
    <t>Control valve, 4 in, cast iron, 1 piece</t>
  </si>
  <si>
    <t>Check valve, 4 in, cast iron, 1 piece</t>
  </si>
  <si>
    <r>
      <t>Table S2. Description of LCCA of four agricultural RWH configurations used in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Times New Roman"/>
        <family val="1"/>
      </rPr>
      <t xml:space="preserve">Cluster 1 DMOs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</si>
</sst>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"/>
    <numFmt numFmtId="169" formatCode="0.0%"/>
    <numFmt numFmtId="170" formatCode="#,##0.0"/>
    <numFmt numFmtId="171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vertAlign val="subscript"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13.75"/>
      <color rgb="FF00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165" fontId="0" fillId="0" borderId="2" xfId="1" applyNumberFormat="1" applyFont="1" applyBorder="1"/>
    <xf numFmtId="43" fontId="0" fillId="0" borderId="2" xfId="0" applyNumberFormat="1" applyBorder="1"/>
    <xf numFmtId="165" fontId="0" fillId="0" borderId="2" xfId="0" applyNumberFormat="1" applyBorder="1"/>
    <xf numFmtId="165" fontId="0" fillId="0" borderId="0" xfId="0" applyNumberFormat="1"/>
    <xf numFmtId="164" fontId="0" fillId="0" borderId="0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Fill="1"/>
    <xf numFmtId="168" fontId="0" fillId="0" borderId="2" xfId="0" applyNumberFormat="1" applyBorder="1"/>
    <xf numFmtId="0" fontId="7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6" xfId="0" applyBorder="1"/>
    <xf numFmtId="1" fontId="0" fillId="0" borderId="0" xfId="0" applyNumberFormat="1" applyBorder="1"/>
    <xf numFmtId="49" fontId="0" fillId="0" borderId="2" xfId="0" applyNumberForma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165" fontId="0" fillId="0" borderId="2" xfId="1" applyNumberFormat="1" applyFont="1" applyFill="1" applyBorder="1"/>
    <xf numFmtId="169" fontId="0" fillId="2" borderId="2" xfId="4" applyNumberFormat="1" applyFont="1" applyFill="1" applyBorder="1"/>
    <xf numFmtId="169" fontId="0" fillId="2" borderId="0" xfId="4" applyNumberFormat="1" applyFont="1" applyFill="1" applyBorder="1"/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wrapText="1"/>
    </xf>
    <xf numFmtId="0" fontId="9" fillId="0" borderId="0" xfId="0" applyFont="1" applyFill="1" applyBorder="1"/>
    <xf numFmtId="166" fontId="0" fillId="0" borderId="2" xfId="1" applyNumberFormat="1" applyFont="1" applyBorder="1"/>
    <xf numFmtId="1" fontId="6" fillId="0" borderId="2" xfId="1" applyNumberFormat="1" applyFont="1" applyBorder="1"/>
    <xf numFmtId="165" fontId="0" fillId="0" borderId="0" xfId="1" applyNumberFormat="1" applyFont="1" applyFill="1" applyBorder="1"/>
    <xf numFmtId="165" fontId="0" fillId="0" borderId="0" xfId="0" applyNumberFormat="1" applyBorder="1"/>
    <xf numFmtId="2" fontId="0" fillId="2" borderId="0" xfId="0" applyNumberFormat="1" applyFill="1" applyBorder="1"/>
    <xf numFmtId="170" fontId="0" fillId="2" borderId="0" xfId="0" applyNumberFormat="1" applyFill="1" applyBorder="1"/>
    <xf numFmtId="9" fontId="10" fillId="2" borderId="0" xfId="4" applyFont="1" applyFill="1" applyBorder="1"/>
    <xf numFmtId="2" fontId="10" fillId="2" borderId="0" xfId="0" applyNumberFormat="1" applyFont="1" applyFill="1" applyBorder="1"/>
    <xf numFmtId="170" fontId="10" fillId="2" borderId="0" xfId="0" applyNumberFormat="1" applyFont="1" applyFill="1" applyBorder="1"/>
    <xf numFmtId="49" fontId="0" fillId="0" borderId="2" xfId="0" applyNumberFormat="1" applyFill="1" applyBorder="1" applyAlignment="1">
      <alignment wrapText="1"/>
    </xf>
    <xf numFmtId="165" fontId="0" fillId="0" borderId="2" xfId="1" applyNumberFormat="1" applyFont="1" applyFill="1" applyBorder="1" applyAlignment="1"/>
    <xf numFmtId="1" fontId="0" fillId="0" borderId="0" xfId="0" applyNumberFormat="1"/>
    <xf numFmtId="0" fontId="2" fillId="2" borderId="0" xfId="0" applyFont="1" applyFill="1" applyBorder="1"/>
    <xf numFmtId="2" fontId="2" fillId="2" borderId="0" xfId="0" applyNumberFormat="1" applyFont="1" applyFill="1" applyBorder="1"/>
    <xf numFmtId="165" fontId="2" fillId="0" borderId="2" xfId="1" applyNumberFormat="1" applyFont="1" applyBorder="1"/>
    <xf numFmtId="167" fontId="6" fillId="0" borderId="2" xfId="1" applyNumberFormat="1" applyFont="1" applyBorder="1"/>
    <xf numFmtId="1" fontId="0" fillId="0" borderId="2" xfId="0" applyNumberFormat="1" applyBorder="1"/>
    <xf numFmtId="49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Border="1"/>
    <xf numFmtId="0" fontId="11" fillId="0" borderId="2" xfId="0" applyFont="1" applyBorder="1" applyAlignment="1">
      <alignment wrapText="1"/>
    </xf>
    <xf numFmtId="165" fontId="0" fillId="0" borderId="0" xfId="1" applyNumberFormat="1" applyFont="1"/>
    <xf numFmtId="43" fontId="0" fillId="0" borderId="0" xfId="0" applyNumberFormat="1"/>
    <xf numFmtId="43" fontId="2" fillId="0" borderId="0" xfId="0" applyNumberFormat="1" applyFont="1"/>
    <xf numFmtId="168" fontId="6" fillId="0" borderId="2" xfId="1" applyNumberFormat="1" applyFont="1" applyBorder="1"/>
    <xf numFmtId="165" fontId="0" fillId="0" borderId="2" xfId="1" applyNumberFormat="1" applyFont="1" applyBorder="1" applyAlignment="1"/>
    <xf numFmtId="49" fontId="0" fillId="0" borderId="2" xfId="0" applyNumberFormat="1" applyFill="1" applyBorder="1" applyAlignment="1"/>
    <xf numFmtId="49" fontId="0" fillId="0" borderId="0" xfId="0" applyNumberFormat="1" applyFill="1" applyBorder="1" applyAlignment="1">
      <alignment wrapText="1"/>
    </xf>
    <xf numFmtId="49" fontId="2" fillId="0" borderId="2" xfId="0" applyNumberFormat="1" applyFont="1" applyFill="1" applyBorder="1" applyAlignment="1"/>
    <xf numFmtId="169" fontId="2" fillId="0" borderId="2" xfId="0" applyNumberFormat="1" applyFont="1" applyBorder="1"/>
    <xf numFmtId="169" fontId="2" fillId="0" borderId="0" xfId="0" applyNumberFormat="1" applyFont="1"/>
    <xf numFmtId="171" fontId="0" fillId="0" borderId="0" xfId="1" applyNumberFormat="1" applyFont="1" applyBorder="1" applyAlignment="1"/>
    <xf numFmtId="166" fontId="0" fillId="0" borderId="0" xfId="0" applyNumberFormat="1"/>
    <xf numFmtId="0" fontId="0" fillId="0" borderId="0" xfId="0" applyFill="1" applyBorder="1"/>
    <xf numFmtId="166" fontId="0" fillId="0" borderId="0" xfId="0" applyNumberFormat="1" applyFill="1"/>
    <xf numFmtId="43" fontId="0" fillId="0" borderId="2" xfId="0" applyNumberFormat="1" applyFill="1" applyBorder="1"/>
    <xf numFmtId="165" fontId="0" fillId="0" borderId="0" xfId="1" applyNumberFormat="1" applyFont="1" applyBorder="1"/>
    <xf numFmtId="43" fontId="0" fillId="0" borderId="0" xfId="0" applyNumberFormat="1" applyBorder="1"/>
    <xf numFmtId="3" fontId="0" fillId="0" borderId="0" xfId="0" applyNumberFormat="1" applyFill="1" applyBorder="1"/>
    <xf numFmtId="0" fontId="14" fillId="0" borderId="2" xfId="0" applyFont="1" applyBorder="1"/>
    <xf numFmtId="168" fontId="0" fillId="0" borderId="0" xfId="0" applyNumberFormat="1" applyBorder="1"/>
    <xf numFmtId="3" fontId="0" fillId="0" borderId="2" xfId="0" applyNumberFormat="1" applyBorder="1"/>
    <xf numFmtId="11" fontId="0" fillId="0" borderId="2" xfId="0" applyNumberFormat="1" applyBorder="1"/>
    <xf numFmtId="0" fontId="12" fillId="0" borderId="2" xfId="0" applyFont="1" applyBorder="1"/>
    <xf numFmtId="1" fontId="12" fillId="0" borderId="2" xfId="0" applyNumberFormat="1" applyFont="1" applyBorder="1"/>
    <xf numFmtId="1" fontId="0" fillId="0" borderId="4" xfId="0" applyNumberFormat="1" applyBorder="1"/>
    <xf numFmtId="11" fontId="0" fillId="0" borderId="0" xfId="0" applyNumberFormat="1"/>
    <xf numFmtId="0" fontId="0" fillId="0" borderId="0" xfId="0" applyNumberFormat="1"/>
    <xf numFmtId="0" fontId="4" fillId="0" borderId="0" xfId="0" applyFont="1"/>
    <xf numFmtId="0" fontId="0" fillId="0" borderId="5" xfId="0" applyBorder="1"/>
    <xf numFmtId="1" fontId="2" fillId="0" borderId="2" xfId="0" applyNumberFormat="1" applyFont="1" applyBorder="1"/>
    <xf numFmtId="43" fontId="0" fillId="0" borderId="0" xfId="1" applyFont="1"/>
    <xf numFmtId="0" fontId="5" fillId="0" borderId="0" xfId="0" applyFont="1"/>
    <xf numFmtId="0" fontId="15" fillId="0" borderId="0" xfId="0" applyFont="1"/>
    <xf numFmtId="0" fontId="16" fillId="0" borderId="0" xfId="5" applyAlignment="1" applyProtection="1"/>
    <xf numFmtId="0" fontId="0" fillId="0" borderId="2" xfId="1" applyNumberFormat="1" applyFont="1" applyBorder="1"/>
    <xf numFmtId="168" fontId="0" fillId="0" borderId="0" xfId="0" applyNumberFormat="1"/>
    <xf numFmtId="3" fontId="0" fillId="0" borderId="0" xfId="0" applyNumberFormat="1"/>
    <xf numFmtId="0" fontId="0" fillId="0" borderId="8" xfId="0" applyBorder="1"/>
    <xf numFmtId="168" fontId="0" fillId="0" borderId="1" xfId="0" applyNumberFormat="1" applyBorder="1"/>
    <xf numFmtId="0" fontId="0" fillId="0" borderId="1" xfId="0" applyBorder="1" applyAlignment="1">
      <alignment wrapText="1"/>
    </xf>
    <xf numFmtId="0" fontId="17" fillId="0" borderId="0" xfId="0" applyFont="1"/>
    <xf numFmtId="165" fontId="0" fillId="0" borderId="7" xfId="1" applyNumberFormat="1" applyFont="1" applyFill="1" applyBorder="1"/>
    <xf numFmtId="6" fontId="0" fillId="0" borderId="0" xfId="0" applyNumberFormat="1"/>
    <xf numFmtId="2" fontId="6" fillId="0" borderId="2" xfId="0" applyNumberFormat="1" applyFont="1" applyFill="1" applyBorder="1"/>
    <xf numFmtId="43" fontId="0" fillId="0" borderId="2" xfId="1" applyNumberFormat="1" applyFont="1" applyBorder="1"/>
    <xf numFmtId="0" fontId="2" fillId="0" borderId="2" xfId="0" applyFont="1" applyBorder="1" applyAlignment="1">
      <alignment wrapText="1"/>
    </xf>
    <xf numFmtId="43" fontId="2" fillId="0" borderId="2" xfId="1" applyNumberFormat="1" applyFont="1" applyBorder="1"/>
    <xf numFmtId="165" fontId="6" fillId="0" borderId="2" xfId="1" applyNumberFormat="1" applyFont="1" applyBorder="1"/>
    <xf numFmtId="165" fontId="0" fillId="0" borderId="0" xfId="1" applyNumberFormat="1" applyFont="1" applyFill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/>
    <xf numFmtId="43" fontId="0" fillId="0" borderId="2" xfId="1" applyNumberFormat="1" applyFont="1" applyFill="1" applyBorder="1" applyAlignment="1"/>
    <xf numFmtId="165" fontId="2" fillId="0" borderId="2" xfId="1" applyNumberFormat="1" applyFont="1" applyFill="1" applyBorder="1"/>
    <xf numFmtId="1" fontId="18" fillId="0" borderId="2" xfId="1" applyNumberFormat="1" applyFont="1" applyBorder="1"/>
    <xf numFmtId="169" fontId="2" fillId="2" borderId="2" xfId="4" applyNumberFormat="1" applyFont="1" applyFill="1" applyBorder="1"/>
    <xf numFmtId="0" fontId="19" fillId="0" borderId="2" xfId="0" applyFont="1" applyBorder="1" applyAlignment="1"/>
    <xf numFmtId="165" fontId="19" fillId="0" borderId="2" xfId="1" applyNumberFormat="1" applyFont="1" applyBorder="1" applyAlignment="1"/>
    <xf numFmtId="169" fontId="19" fillId="2" borderId="2" xfId="4" applyNumberFormat="1" applyFont="1" applyFill="1" applyBorder="1"/>
    <xf numFmtId="165" fontId="19" fillId="0" borderId="5" xfId="1" applyNumberFormat="1" applyFont="1" applyBorder="1"/>
    <xf numFmtId="43" fontId="2" fillId="0" borderId="2" xfId="0" applyNumberFormat="1" applyFont="1" applyBorder="1"/>
    <xf numFmtId="0" fontId="22" fillId="0" borderId="0" xfId="0" applyFont="1"/>
    <xf numFmtId="164" fontId="0" fillId="0" borderId="0" xfId="0" applyNumberFormat="1" applyBorder="1" applyAlignment="1">
      <alignment horizontal="left"/>
    </xf>
    <xf numFmtId="170" fontId="2" fillId="2" borderId="0" xfId="0" applyNumberFormat="1" applyFont="1" applyFill="1" applyBorder="1"/>
    <xf numFmtId="171" fontId="0" fillId="0" borderId="0" xfId="0" applyNumberForma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43" fontId="2" fillId="0" borderId="0" xfId="0" applyNumberFormat="1" applyFont="1" applyBorder="1"/>
    <xf numFmtId="166" fontId="0" fillId="0" borderId="0" xfId="0" applyNumberFormat="1" applyBorder="1"/>
    <xf numFmtId="0" fontId="23" fillId="0" borderId="0" xfId="0" applyFont="1" applyBorder="1" applyAlignment="1"/>
    <xf numFmtId="0" fontId="25" fillId="0" borderId="0" xfId="0" applyFont="1" applyFill="1"/>
    <xf numFmtId="0" fontId="0" fillId="0" borderId="5" xfId="0" applyBorder="1" applyAlignment="1">
      <alignment wrapText="1"/>
    </xf>
    <xf numFmtId="0" fontId="0" fillId="0" borderId="11" xfId="0" applyFill="1" applyBorder="1"/>
    <xf numFmtId="0" fontId="0" fillId="0" borderId="12" xfId="0" applyFill="1" applyBorder="1" applyAlignment="1">
      <alignment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2" fontId="2" fillId="0" borderId="16" xfId="0" applyNumberFormat="1" applyFont="1" applyFill="1" applyBorder="1"/>
    <xf numFmtId="0" fontId="0" fillId="0" borderId="0" xfId="0" applyFill="1" applyBorder="1" applyAlignment="1">
      <alignment wrapText="1"/>
    </xf>
    <xf numFmtId="168" fontId="23" fillId="0" borderId="2" xfId="0" applyNumberFormat="1" applyFont="1" applyBorder="1"/>
    <xf numFmtId="0" fontId="24" fillId="0" borderId="0" xfId="0" applyFont="1"/>
    <xf numFmtId="0" fontId="26" fillId="0" borderId="0" xfId="0" applyFont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 2" xfId="3"/>
    <cellStyle name="Normal 3" xfId="2"/>
    <cellStyle name="Percent" xfId="4" builtin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</a:t>
            </a:r>
            <a:r>
              <a:rPr lang="en-US" baseline="0"/>
              <a:t> </a:t>
            </a:r>
            <a:r>
              <a:rPr lang="en-US"/>
              <a:t>Tank Volume vs. Cost</a:t>
            </a:r>
          </a:p>
        </c:rich>
      </c:tx>
      <c:layout>
        <c:manualLayout>
          <c:xMode val="edge"/>
          <c:yMode val="edge"/>
          <c:x val="0.27451411690947541"/>
          <c:y val="2.898550724637681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Tank Volume vs. Cost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7129692796497837"/>
                  <c:y val="-9.6183289588801339E-3"/>
                </c:manualLayout>
              </c:layout>
              <c:numFmt formatCode="General" sourceLinked="0"/>
            </c:trendlineLbl>
          </c:trendline>
          <c:xVal>
            <c:numRef>
              <c:f>'PE tank costs'!$B$4:$B$17</c:f>
              <c:numCache>
                <c:formatCode>0.0</c:formatCode>
                <c:ptCount val="14"/>
                <c:pt idx="0">
                  <c:v>1.8927205965855318</c:v>
                </c:pt>
                <c:pt idx="1">
                  <c:v>2.8390808948782977</c:v>
                </c:pt>
                <c:pt idx="2">
                  <c:v>3.7854411931710636</c:v>
                </c:pt>
                <c:pt idx="3">
                  <c:v>5.6781617897565955</c:v>
                </c:pt>
                <c:pt idx="4">
                  <c:v>7.5708823863421273</c:v>
                </c:pt>
                <c:pt idx="5">
                  <c:v>9.4636029829276591</c:v>
                </c:pt>
                <c:pt idx="6">
                  <c:v>11.356323579513191</c:v>
                </c:pt>
                <c:pt idx="7">
                  <c:v>15.141764772684255</c:v>
                </c:pt>
                <c:pt idx="8">
                  <c:v>18.927205965855318</c:v>
                </c:pt>
                <c:pt idx="9">
                  <c:v>24.605367755611915</c:v>
                </c:pt>
                <c:pt idx="10">
                  <c:v>34.068970738539576</c:v>
                </c:pt>
                <c:pt idx="11">
                  <c:v>45.425294318052764</c:v>
                </c:pt>
                <c:pt idx="12">
                  <c:v>60.567059090737018</c:v>
                </c:pt>
                <c:pt idx="13">
                  <c:v>75.708823863421273</c:v>
                </c:pt>
              </c:numCache>
            </c:numRef>
          </c:xVal>
          <c:yVal>
            <c:numRef>
              <c:f>'PE tank costs'!$E$4:$E$17</c:f>
              <c:numCache>
                <c:formatCode>General</c:formatCode>
                <c:ptCount val="14"/>
                <c:pt idx="0">
                  <c:v>675</c:v>
                </c:pt>
                <c:pt idx="1">
                  <c:v>975</c:v>
                </c:pt>
                <c:pt idx="2" formatCode="#,##0">
                  <c:v>1300</c:v>
                </c:pt>
                <c:pt idx="3" formatCode="#,##0">
                  <c:v>1925</c:v>
                </c:pt>
                <c:pt idx="4" formatCode="#,##0">
                  <c:v>2250</c:v>
                </c:pt>
                <c:pt idx="5" formatCode="#,##0">
                  <c:v>2725</c:v>
                </c:pt>
                <c:pt idx="6" formatCode="#,##0">
                  <c:v>3225</c:v>
                </c:pt>
                <c:pt idx="7" formatCode="#,##0">
                  <c:v>4825</c:v>
                </c:pt>
                <c:pt idx="8" formatCode="#,##0">
                  <c:v>5975</c:v>
                </c:pt>
                <c:pt idx="9" formatCode="#,##0">
                  <c:v>7675</c:v>
                </c:pt>
                <c:pt idx="10" formatCode="#,##0">
                  <c:v>10525</c:v>
                </c:pt>
                <c:pt idx="11" formatCode="#,##0">
                  <c:v>14000</c:v>
                </c:pt>
                <c:pt idx="12" formatCode="#,##0">
                  <c:v>18200</c:v>
                </c:pt>
                <c:pt idx="13" formatCode="#,##0">
                  <c:v>22350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62-47BA-806A-E7A65DE1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18640"/>
        <c:axId val="387619032"/>
      </c:scatterChart>
      <c:valAx>
        <c:axId val="38761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87619032"/>
        <c:crosses val="autoZero"/>
        <c:crossBetween val="midCat"/>
      </c:valAx>
      <c:valAx>
        <c:axId val="387619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76186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'CONCRETE tank costs'!$A$1</c:f>
              <c:strCache>
                <c:ptCount val="1"/>
                <c:pt idx="0">
                  <c:v>Concrete tank cost vs. capacity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34200822534978403"/>
                  <c:y val="-2.220965006720004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/>
                  </a:pPr>
                  <a:endParaRPr lang="en-US"/>
                </a:p>
              </c:txPr>
            </c:trendlineLbl>
          </c:trendline>
          <c:xVal>
            <c:numRef>
              <c:f>'CONCRETE tank costs'!$B$3:$B$26</c:f>
              <c:numCache>
                <c:formatCode>0.0</c:formatCode>
                <c:ptCount val="24"/>
                <c:pt idx="0">
                  <c:v>37.854411931710636</c:v>
                </c:pt>
                <c:pt idx="1">
                  <c:v>75.708823863421273</c:v>
                </c:pt>
                <c:pt idx="2">
                  <c:v>113.56323579513192</c:v>
                </c:pt>
                <c:pt idx="3">
                  <c:v>189.27205965855319</c:v>
                </c:pt>
                <c:pt idx="4">
                  <c:v>283.90808948782978</c:v>
                </c:pt>
                <c:pt idx="5">
                  <c:v>378.54411931710638</c:v>
                </c:pt>
                <c:pt idx="6">
                  <c:v>473.18014914638297</c:v>
                </c:pt>
                <c:pt idx="7">
                  <c:v>567.81617897565957</c:v>
                </c:pt>
                <c:pt idx="8">
                  <c:v>757.08823863421276</c:v>
                </c:pt>
                <c:pt idx="9">
                  <c:v>946.36029829276595</c:v>
                </c:pt>
                <c:pt idx="10">
                  <c:v>1135.6323579513191</c:v>
                </c:pt>
                <c:pt idx="11">
                  <c:v>1514.1764772684255</c:v>
                </c:pt>
                <c:pt idx="12">
                  <c:v>1892.7205965855319</c:v>
                </c:pt>
                <c:pt idx="13">
                  <c:v>2839.0808948782978</c:v>
                </c:pt>
                <c:pt idx="14">
                  <c:v>3785.4411931710638</c:v>
                </c:pt>
                <c:pt idx="15">
                  <c:v>5678.1617897565957</c:v>
                </c:pt>
                <c:pt idx="16">
                  <c:v>7570.8823863421276</c:v>
                </c:pt>
                <c:pt idx="17">
                  <c:v>9463.6029829276595</c:v>
                </c:pt>
                <c:pt idx="18">
                  <c:v>11356.323579513191</c:v>
                </c:pt>
                <c:pt idx="19">
                  <c:v>15141.764772684255</c:v>
                </c:pt>
                <c:pt idx="20">
                  <c:v>18927.205965855319</c:v>
                </c:pt>
                <c:pt idx="21">
                  <c:v>22712.647159026383</c:v>
                </c:pt>
                <c:pt idx="22">
                  <c:v>28390.808948782978</c:v>
                </c:pt>
                <c:pt idx="23">
                  <c:v>37854.411931710638</c:v>
                </c:pt>
              </c:numCache>
            </c:numRef>
          </c:xVal>
          <c:yVal>
            <c:numRef>
              <c:f>'CONCRETE tank costs'!$C$3:$C$26</c:f>
              <c:numCache>
                <c:formatCode>_(* #,##0_);_(* \(#,##0\);_(* "-"??_);_(@_)</c:formatCode>
                <c:ptCount val="24"/>
                <c:pt idx="0">
                  <c:v>40500</c:v>
                </c:pt>
                <c:pt idx="1">
                  <c:v>61500</c:v>
                </c:pt>
                <c:pt idx="2">
                  <c:v>77750</c:v>
                </c:pt>
                <c:pt idx="3">
                  <c:v>107250</c:v>
                </c:pt>
                <c:pt idx="4">
                  <c:v>134500</c:v>
                </c:pt>
                <c:pt idx="5">
                  <c:v>159000</c:v>
                </c:pt>
                <c:pt idx="6">
                  <c:v>180000</c:v>
                </c:pt>
                <c:pt idx="7">
                  <c:v>203250</c:v>
                </c:pt>
                <c:pt idx="8">
                  <c:v>250000</c:v>
                </c:pt>
                <c:pt idx="9">
                  <c:v>284000</c:v>
                </c:pt>
                <c:pt idx="10">
                  <c:v>346000</c:v>
                </c:pt>
                <c:pt idx="11">
                  <c:v>376500</c:v>
                </c:pt>
                <c:pt idx="12">
                  <c:v>407500</c:v>
                </c:pt>
                <c:pt idx="13">
                  <c:v>509000</c:v>
                </c:pt>
                <c:pt idx="14">
                  <c:v>585500</c:v>
                </c:pt>
                <c:pt idx="15">
                  <c:v>718000</c:v>
                </c:pt>
                <c:pt idx="16">
                  <c:v>865500</c:v>
                </c:pt>
                <c:pt idx="17">
                  <c:v>967500</c:v>
                </c:pt>
                <c:pt idx="18">
                  <c:v>1120000</c:v>
                </c:pt>
                <c:pt idx="19">
                  <c:v>1344000</c:v>
                </c:pt>
                <c:pt idx="20">
                  <c:v>1578000</c:v>
                </c:pt>
                <c:pt idx="21">
                  <c:v>1832500</c:v>
                </c:pt>
                <c:pt idx="22">
                  <c:v>2138000</c:v>
                </c:pt>
                <c:pt idx="23">
                  <c:v>2749000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37-4451-A96E-D04C72E1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20600"/>
        <c:axId val="387620992"/>
      </c:scatterChart>
      <c:valAx>
        <c:axId val="38762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387620992"/>
        <c:crosses val="autoZero"/>
        <c:crossBetween val="midCat"/>
      </c:valAx>
      <c:valAx>
        <c:axId val="387620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876206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'CONCRETE tank costs'!$A$1</c:f>
              <c:strCache>
                <c:ptCount val="1"/>
                <c:pt idx="0">
                  <c:v>Concrete tank cost vs. capacity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5583180227471567"/>
                  <c:y val="-4.7645086030912803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'CONCRETE tank costs'!$B$3:$B$11</c:f>
              <c:numCache>
                <c:formatCode>0.0</c:formatCode>
                <c:ptCount val="9"/>
                <c:pt idx="0">
                  <c:v>37.854411931710636</c:v>
                </c:pt>
                <c:pt idx="1">
                  <c:v>75.708823863421273</c:v>
                </c:pt>
                <c:pt idx="2">
                  <c:v>113.56323579513192</c:v>
                </c:pt>
                <c:pt idx="3">
                  <c:v>189.27205965855319</c:v>
                </c:pt>
                <c:pt idx="4">
                  <c:v>283.90808948782978</c:v>
                </c:pt>
                <c:pt idx="5">
                  <c:v>378.54411931710638</c:v>
                </c:pt>
                <c:pt idx="6">
                  <c:v>473.18014914638297</c:v>
                </c:pt>
                <c:pt idx="7">
                  <c:v>567.81617897565957</c:v>
                </c:pt>
                <c:pt idx="8">
                  <c:v>757.08823863421276</c:v>
                </c:pt>
              </c:numCache>
            </c:numRef>
          </c:xVal>
          <c:yVal>
            <c:numRef>
              <c:f>'CONCRETE tank costs'!$C$3:$C$11</c:f>
              <c:numCache>
                <c:formatCode>_(* #,##0_);_(* \(#,##0\);_(* "-"??_);_(@_)</c:formatCode>
                <c:ptCount val="9"/>
                <c:pt idx="0">
                  <c:v>40500</c:v>
                </c:pt>
                <c:pt idx="1">
                  <c:v>61500</c:v>
                </c:pt>
                <c:pt idx="2">
                  <c:v>77750</c:v>
                </c:pt>
                <c:pt idx="3">
                  <c:v>107250</c:v>
                </c:pt>
                <c:pt idx="4">
                  <c:v>134500</c:v>
                </c:pt>
                <c:pt idx="5">
                  <c:v>159000</c:v>
                </c:pt>
                <c:pt idx="6">
                  <c:v>180000</c:v>
                </c:pt>
                <c:pt idx="7">
                  <c:v>203250</c:v>
                </c:pt>
                <c:pt idx="8">
                  <c:v>250000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5-4B37-AE0B-6F506291E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19816"/>
        <c:axId val="387621384"/>
      </c:scatterChart>
      <c:valAx>
        <c:axId val="3876198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Tank Volume (m3)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crossAx val="387621384"/>
        <c:crosses val="autoZero"/>
        <c:crossBetween val="midCat"/>
      </c:valAx>
      <c:valAx>
        <c:axId val="387621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($)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crossAx val="387619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'Typical pivot system cost'!$D$1:$D$2</c:f>
              <c:strCache>
                <c:ptCount val="2"/>
                <c:pt idx="0">
                  <c:v>Cost</c:v>
                </c:pt>
                <c:pt idx="1">
                  <c:v>$/hectare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7099233814744714"/>
                  <c:y val="-0.374138820026858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'Typical pivot system cost'!$C$3:$C$16</c:f>
              <c:numCache>
                <c:formatCode>0</c:formatCode>
                <c:ptCount val="14"/>
                <c:pt idx="0">
                  <c:v>7.0875000000000004</c:v>
                </c:pt>
                <c:pt idx="1">
                  <c:v>10.125</c:v>
                </c:pt>
                <c:pt idx="2">
                  <c:v>14.175000000000001</c:v>
                </c:pt>
                <c:pt idx="3">
                  <c:v>19.237500000000001</c:v>
                </c:pt>
                <c:pt idx="4">
                  <c:v>24.3</c:v>
                </c:pt>
                <c:pt idx="5">
                  <c:v>29.362500000000001</c:v>
                </c:pt>
                <c:pt idx="6">
                  <c:v>34.425000000000004</c:v>
                </c:pt>
                <c:pt idx="7">
                  <c:v>41.512500000000003</c:v>
                </c:pt>
                <c:pt idx="8">
                  <c:v>49.612500000000004</c:v>
                </c:pt>
                <c:pt idx="9">
                  <c:v>57.712500000000006</c:v>
                </c:pt>
                <c:pt idx="10">
                  <c:v>66.825000000000003</c:v>
                </c:pt>
                <c:pt idx="11">
                  <c:v>74.925000000000011</c:v>
                </c:pt>
                <c:pt idx="12">
                  <c:v>85.050000000000011</c:v>
                </c:pt>
                <c:pt idx="13">
                  <c:v>95.175000000000011</c:v>
                </c:pt>
              </c:numCache>
            </c:numRef>
          </c:xVal>
          <c:yVal>
            <c:numRef>
              <c:f>'Typical pivot system cost'!$D$3:$D$16</c:f>
              <c:numCache>
                <c:formatCode>0</c:formatCode>
                <c:ptCount val="14"/>
                <c:pt idx="0">
                  <c:v>2765.4320987654319</c:v>
                </c:pt>
                <c:pt idx="1">
                  <c:v>2172.8395061728393</c:v>
                </c:pt>
                <c:pt idx="2">
                  <c:v>1827.1604938271603</c:v>
                </c:pt>
                <c:pt idx="3">
                  <c:v>1580.2469135802469</c:v>
                </c:pt>
                <c:pt idx="4">
                  <c:v>1382.7160493827159</c:v>
                </c:pt>
                <c:pt idx="5">
                  <c:v>1234.5679012345679</c:v>
                </c:pt>
                <c:pt idx="6">
                  <c:v>1037.037037037037</c:v>
                </c:pt>
                <c:pt idx="7">
                  <c:v>987.65432098765427</c:v>
                </c:pt>
                <c:pt idx="8">
                  <c:v>888.8888888888888</c:v>
                </c:pt>
                <c:pt idx="9">
                  <c:v>839.50617283950612</c:v>
                </c:pt>
                <c:pt idx="10">
                  <c:v>790.12345679012344</c:v>
                </c:pt>
                <c:pt idx="11">
                  <c:v>740.74074074074065</c:v>
                </c:pt>
                <c:pt idx="12">
                  <c:v>691.35802469135797</c:v>
                </c:pt>
                <c:pt idx="13">
                  <c:v>592.59259259259261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2-47D4-B7EC-A06F7606F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83792"/>
        <c:axId val="364784184"/>
      </c:scatterChart>
      <c:valAx>
        <c:axId val="36478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Irrigated area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84184"/>
        <c:crosses val="autoZero"/>
        <c:crossBetween val="midCat"/>
      </c:valAx>
      <c:valAx>
        <c:axId val="36478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($/ha)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8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114300</xdr:rowOff>
    </xdr:from>
    <xdr:to>
      <xdr:col>21</xdr:col>
      <xdr:colOff>542925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371474</xdr:colOff>
      <xdr:row>18</xdr:row>
      <xdr:rowOff>38099</xdr:rowOff>
    </xdr:from>
    <xdr:to>
      <xdr:col>21</xdr:col>
      <xdr:colOff>323849</xdr:colOff>
      <xdr:row>36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3</xdr:row>
      <xdr:rowOff>157161</xdr:rowOff>
    </xdr:from>
    <xdr:to>
      <xdr:col>10</xdr:col>
      <xdr:colOff>485774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537883</xdr:colOff>
      <xdr:row>0</xdr:row>
      <xdr:rowOff>526676</xdr:rowOff>
    </xdr:from>
    <xdr:to>
      <xdr:col>15</xdr:col>
      <xdr:colOff>504265</xdr:colOff>
      <xdr:row>16</xdr:row>
      <xdr:rowOff>187187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78441</xdr:colOff>
      <xdr:row>23</xdr:row>
      <xdr:rowOff>78440</xdr:rowOff>
    </xdr:from>
    <xdr:to>
      <xdr:col>16</xdr:col>
      <xdr:colOff>488016</xdr:colOff>
      <xdr:row>44</xdr:row>
      <xdr:rowOff>183215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912" y="4459940"/>
          <a:ext cx="5855634" cy="410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ichigan.gov/documents/Vol2-35UIP11Tanks_121080_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michigan.gov/documents/Vol2-35UIP11Tanks_121080_7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9"/>
  <sheetViews>
    <sheetView showGridLines="0" topLeftCell="A6" zoomScale="70" zoomScaleNormal="70" workbookViewId="0">
      <selection activeCell="B36" sqref="B36"/>
    </sheetView>
  </sheetViews>
  <sheetFormatPr defaultRowHeight="15" x14ac:dyDescent="0.25"/>
  <cols>
    <col min="1" max="1" width="18" bestFit="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x14ac:dyDescent="0.25">
      <c r="B1" s="23" t="s">
        <v>157</v>
      </c>
      <c r="D1" s="23"/>
      <c r="E1" s="2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31" customFormat="1" ht="48.75" customHeight="1" x14ac:dyDescent="0.25">
      <c r="A2" s="26" t="s">
        <v>2</v>
      </c>
      <c r="B2" s="26" t="s">
        <v>3</v>
      </c>
      <c r="C2" s="26" t="s">
        <v>4</v>
      </c>
      <c r="D2" s="27" t="s">
        <v>5</v>
      </c>
      <c r="E2" s="28" t="s">
        <v>6</v>
      </c>
      <c r="F2" s="28" t="s">
        <v>7</v>
      </c>
      <c r="G2" s="5" t="s">
        <v>8</v>
      </c>
      <c r="H2" s="5" t="s">
        <v>9</v>
      </c>
      <c r="I2" s="6" t="s">
        <v>10</v>
      </c>
      <c r="J2" s="3" t="s">
        <v>11</v>
      </c>
      <c r="K2" s="4"/>
      <c r="L2" s="4"/>
      <c r="M2" s="4"/>
      <c r="N2" s="4"/>
      <c r="O2" s="4"/>
      <c r="P2" s="4"/>
      <c r="Q2" s="4"/>
      <c r="R2" s="4"/>
      <c r="S2" s="4"/>
      <c r="T2" s="29"/>
      <c r="U2" s="29"/>
      <c r="V2" s="29"/>
      <c r="W2" s="29"/>
      <c r="X2" s="29"/>
      <c r="Y2" s="29"/>
      <c r="Z2" s="30"/>
      <c r="AA2" s="29"/>
      <c r="AB2" s="29"/>
    </row>
    <row r="3" spans="1:28" x14ac:dyDescent="0.25">
      <c r="A3" s="3"/>
      <c r="B3" s="26" t="s">
        <v>12</v>
      </c>
      <c r="C3" s="10" t="s">
        <v>13</v>
      </c>
      <c r="D3" s="10" t="s">
        <v>13</v>
      </c>
      <c r="E3" s="10" t="s">
        <v>13</v>
      </c>
      <c r="F3" s="10" t="s">
        <v>13</v>
      </c>
      <c r="G3" s="10"/>
      <c r="H3" s="3"/>
      <c r="I3" s="3"/>
      <c r="J3" s="33"/>
      <c r="K3" s="34"/>
      <c r="L3" s="35"/>
      <c r="M3" s="35"/>
      <c r="N3" s="35"/>
      <c r="O3" s="35"/>
      <c r="P3" s="35"/>
      <c r="Q3" s="36"/>
      <c r="R3" s="37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A4" s="3"/>
      <c r="B4" s="26" t="s">
        <v>14</v>
      </c>
      <c r="C4" s="10">
        <v>50</v>
      </c>
      <c r="D4" s="10" t="s">
        <v>13</v>
      </c>
      <c r="E4" s="10" t="s">
        <v>13</v>
      </c>
      <c r="F4" s="10" t="s">
        <v>13</v>
      </c>
      <c r="G4" s="10"/>
      <c r="H4" s="10"/>
      <c r="I4" s="10" t="s">
        <v>13</v>
      </c>
      <c r="J4" s="33"/>
      <c r="K4" s="34"/>
      <c r="L4" s="35"/>
      <c r="M4" s="35"/>
      <c r="N4" s="35"/>
      <c r="O4" s="35"/>
      <c r="P4" s="35"/>
      <c r="Q4" s="38"/>
      <c r="R4" s="38"/>
      <c r="S4" s="35"/>
      <c r="T4" s="35"/>
      <c r="U4" s="35"/>
      <c r="V4" s="4"/>
      <c r="W4" s="4"/>
      <c r="X4" s="4"/>
      <c r="Y4" s="4"/>
      <c r="Z4" s="4"/>
      <c r="AA4" s="4"/>
      <c r="AB4" s="4"/>
    </row>
    <row r="5" spans="1:28" ht="17.25" x14ac:dyDescent="0.25">
      <c r="A5" s="20" t="s">
        <v>15</v>
      </c>
      <c r="B5" s="26" t="s">
        <v>16</v>
      </c>
      <c r="C5" s="10">
        <v>13000</v>
      </c>
      <c r="D5" s="39">
        <f>2.9*1.31</f>
        <v>3.7989999999999999</v>
      </c>
      <c r="E5" s="10">
        <f>C5*D5</f>
        <v>49387</v>
      </c>
      <c r="F5" s="10" t="s">
        <v>13</v>
      </c>
      <c r="G5" s="40" t="s">
        <v>17</v>
      </c>
      <c r="H5" s="10">
        <f>E5</f>
        <v>49387</v>
      </c>
      <c r="I5" s="10" t="s">
        <v>18</v>
      </c>
      <c r="J5" s="33">
        <f t="shared" ref="J5:J27" si="0">H5/$H$28</f>
        <v>8.2543189682384027E-2</v>
      </c>
      <c r="K5" s="34"/>
      <c r="L5" s="4"/>
      <c r="M5" s="4"/>
      <c r="N5" s="4"/>
      <c r="O5" s="4"/>
      <c r="P5" s="4"/>
      <c r="Q5" s="41"/>
      <c r="R5" s="41"/>
      <c r="S5" s="42"/>
      <c r="T5" s="42"/>
      <c r="U5" s="42"/>
      <c r="V5" s="4"/>
      <c r="W5" s="4"/>
      <c r="X5" s="4"/>
      <c r="Y5" s="4"/>
      <c r="Z5" s="4"/>
      <c r="AA5" s="4"/>
      <c r="AB5" s="4"/>
    </row>
    <row r="6" spans="1:28" ht="30" x14ac:dyDescent="0.25">
      <c r="A6" s="3"/>
      <c r="B6" s="8" t="s">
        <v>19</v>
      </c>
      <c r="C6" s="10">
        <v>155</v>
      </c>
      <c r="D6" s="10">
        <f>3.28*4.6</f>
        <v>15.087999999999997</v>
      </c>
      <c r="E6" s="10">
        <f>D6*C6</f>
        <v>2338.6399999999994</v>
      </c>
      <c r="F6" s="10" t="s">
        <v>13</v>
      </c>
      <c r="G6" s="40" t="s">
        <v>17</v>
      </c>
      <c r="H6" s="10">
        <f t="shared" ref="H6:H10" si="1">E6</f>
        <v>2338.6399999999994</v>
      </c>
      <c r="I6" s="6" t="s">
        <v>20</v>
      </c>
      <c r="J6" s="33">
        <f t="shared" si="0"/>
        <v>3.9086967242150878E-3</v>
      </c>
      <c r="K6" s="34"/>
      <c r="L6" s="35"/>
      <c r="M6" s="35"/>
      <c r="N6" s="43"/>
      <c r="O6" s="43"/>
      <c r="P6" s="44"/>
      <c r="Q6" s="41"/>
      <c r="R6" s="41"/>
      <c r="S6" s="42"/>
      <c r="T6" s="42"/>
      <c r="U6" s="42"/>
      <c r="V6" s="4"/>
      <c r="W6" s="4"/>
      <c r="X6" s="4"/>
      <c r="Y6" s="4"/>
      <c r="Z6" s="4"/>
      <c r="AA6" s="4"/>
      <c r="AB6" s="4"/>
    </row>
    <row r="7" spans="1:28" ht="17.25" x14ac:dyDescent="0.25">
      <c r="A7" s="3"/>
      <c r="B7" s="48" t="s">
        <v>161</v>
      </c>
      <c r="C7" s="10">
        <v>606</v>
      </c>
      <c r="D7" s="10" t="s">
        <v>21</v>
      </c>
      <c r="E7" s="10">
        <f>297.64*C7+161.68</f>
        <v>180531.52</v>
      </c>
      <c r="F7" s="10" t="s">
        <v>13</v>
      </c>
      <c r="G7" s="40" t="s">
        <v>17</v>
      </c>
      <c r="H7" s="10">
        <f>E7</f>
        <v>180531.52</v>
      </c>
      <c r="I7" s="10" t="s">
        <v>22</v>
      </c>
      <c r="J7" s="33">
        <f t="shared" si="0"/>
        <v>0.30173218658774786</v>
      </c>
      <c r="K7" s="34"/>
      <c r="L7" s="45"/>
      <c r="M7" s="35"/>
      <c r="N7" s="43"/>
      <c r="O7" s="46"/>
      <c r="P7" s="47"/>
      <c r="Q7" s="41"/>
      <c r="R7" s="41"/>
      <c r="S7" s="42"/>
      <c r="T7" s="42"/>
      <c r="U7" s="42"/>
      <c r="V7" s="4"/>
      <c r="W7" s="4"/>
      <c r="X7" s="4"/>
      <c r="Y7" s="4"/>
      <c r="Z7" s="4"/>
      <c r="AA7" s="4"/>
      <c r="AB7" s="4"/>
    </row>
    <row r="8" spans="1:28" x14ac:dyDescent="0.25">
      <c r="A8" s="3"/>
      <c r="B8" s="48" t="s">
        <v>23</v>
      </c>
      <c r="C8" s="10" t="s">
        <v>24</v>
      </c>
      <c r="D8" s="10">
        <v>3934</v>
      </c>
      <c r="E8" s="10">
        <f>D8</f>
        <v>3934</v>
      </c>
      <c r="F8" s="10" t="s">
        <v>13</v>
      </c>
      <c r="G8" s="40" t="s">
        <v>17</v>
      </c>
      <c r="H8" s="10">
        <f t="shared" si="1"/>
        <v>3934</v>
      </c>
      <c r="I8" s="10" t="s">
        <v>25</v>
      </c>
      <c r="J8" s="33">
        <f t="shared" si="0"/>
        <v>6.5751090005568011E-3</v>
      </c>
      <c r="K8" s="34"/>
      <c r="L8" s="35"/>
      <c r="M8" s="35"/>
      <c r="N8" s="43"/>
      <c r="O8" s="43"/>
      <c r="P8" s="44"/>
      <c r="Q8" s="41"/>
      <c r="R8" s="41"/>
      <c r="S8" s="42"/>
      <c r="T8" s="42"/>
      <c r="U8" s="42"/>
      <c r="V8" s="4"/>
      <c r="W8" s="4"/>
      <c r="X8" s="4"/>
      <c r="Y8" s="4"/>
      <c r="Z8" s="4"/>
      <c r="AA8" s="4"/>
      <c r="AB8" s="4"/>
    </row>
    <row r="9" spans="1:28" x14ac:dyDescent="0.25">
      <c r="A9" s="3"/>
      <c r="B9" s="48" t="s">
        <v>158</v>
      </c>
      <c r="C9" s="49">
        <f>85*0.405</f>
        <v>34.425000000000004</v>
      </c>
      <c r="D9" s="59">
        <f>8215.1*C9^0.435</f>
        <v>38295.965402906477</v>
      </c>
      <c r="E9" s="10">
        <f>D9</f>
        <v>38295.965402906477</v>
      </c>
      <c r="F9" s="10" t="s">
        <v>13</v>
      </c>
      <c r="G9" s="40" t="s">
        <v>17</v>
      </c>
      <c r="H9" s="10">
        <f t="shared" si="1"/>
        <v>38295.965402906477</v>
      </c>
      <c r="I9" s="10" t="s">
        <v>27</v>
      </c>
      <c r="J9" s="33">
        <f t="shared" si="0"/>
        <v>6.4006137978053448E-2</v>
      </c>
      <c r="K9" s="34"/>
      <c r="L9" s="35"/>
      <c r="M9" s="35"/>
      <c r="N9" s="22"/>
      <c r="O9" s="43"/>
      <c r="P9" s="44"/>
      <c r="Q9" s="41"/>
      <c r="R9" s="41"/>
      <c r="S9" s="42"/>
      <c r="T9" s="42"/>
      <c r="U9" s="42"/>
      <c r="V9" s="4"/>
      <c r="W9" s="4"/>
      <c r="X9" s="4"/>
      <c r="Y9" s="4"/>
      <c r="Z9" s="4"/>
      <c r="AA9" s="4"/>
      <c r="AB9" s="4"/>
    </row>
    <row r="10" spans="1:28" x14ac:dyDescent="0.25">
      <c r="A10" s="3"/>
      <c r="B10" s="48" t="s">
        <v>28</v>
      </c>
      <c r="C10" s="32">
        <v>1</v>
      </c>
      <c r="D10" s="10">
        <v>164.43</v>
      </c>
      <c r="E10" s="10">
        <f>D10</f>
        <v>164.43</v>
      </c>
      <c r="F10" s="10" t="s">
        <v>13</v>
      </c>
      <c r="G10" s="40" t="s">
        <v>17</v>
      </c>
      <c r="H10" s="10">
        <f t="shared" si="1"/>
        <v>164.43</v>
      </c>
      <c r="I10" s="10" t="s">
        <v>29</v>
      </c>
      <c r="J10" s="33">
        <f t="shared" si="0"/>
        <v>2.7482083705174248E-4</v>
      </c>
      <c r="K10" s="34"/>
      <c r="L10" s="51"/>
      <c r="M10" s="35"/>
      <c r="N10" s="4"/>
      <c r="O10" s="52"/>
      <c r="P10" s="4"/>
      <c r="Q10" s="41"/>
      <c r="R10" s="41"/>
      <c r="S10" s="42"/>
      <c r="T10" s="42"/>
      <c r="U10" s="42"/>
      <c r="V10" s="4"/>
      <c r="W10" s="4"/>
      <c r="X10" s="4"/>
      <c r="Y10" s="4"/>
      <c r="Z10" s="4"/>
      <c r="AA10" s="4"/>
      <c r="AB10" s="4"/>
    </row>
    <row r="11" spans="1:28" x14ac:dyDescent="0.25">
      <c r="A11" s="3"/>
      <c r="B11" s="48" t="s">
        <v>30</v>
      </c>
      <c r="C11" s="32">
        <v>1</v>
      </c>
      <c r="D11" s="10">
        <v>596.02</v>
      </c>
      <c r="E11" s="10">
        <f>D11</f>
        <v>596.02</v>
      </c>
      <c r="F11" s="10" t="s">
        <v>13</v>
      </c>
      <c r="G11" s="40" t="s">
        <v>17</v>
      </c>
      <c r="H11" s="32">
        <f>E11</f>
        <v>596.02</v>
      </c>
      <c r="I11" s="10" t="s">
        <v>29</v>
      </c>
      <c r="J11" s="33">
        <f t="shared" si="0"/>
        <v>9.961607693217754E-4</v>
      </c>
      <c r="K11" s="34"/>
      <c r="L11" s="51"/>
      <c r="M11" s="35"/>
      <c r="N11" s="52"/>
      <c r="O11" s="52"/>
      <c r="P11" s="121"/>
      <c r="Q11" s="4"/>
      <c r="R11" s="4"/>
      <c r="S11" s="4"/>
      <c r="T11" s="4"/>
      <c r="U11" s="4"/>
    </row>
    <row r="12" spans="1:28" x14ac:dyDescent="0.25">
      <c r="A12" s="3"/>
      <c r="B12" s="20" t="s">
        <v>31</v>
      </c>
      <c r="C12" s="53"/>
      <c r="D12" s="53"/>
      <c r="E12" s="53">
        <f>SUM(E5:E11)</f>
        <v>275247.57540290646</v>
      </c>
      <c r="F12" s="53" t="s">
        <v>13</v>
      </c>
      <c r="G12" s="112" t="s">
        <v>17</v>
      </c>
      <c r="H12" s="53">
        <f>SUM(H5:H11)</f>
        <v>275247.57540290646</v>
      </c>
      <c r="I12" s="53" t="s">
        <v>32</v>
      </c>
      <c r="J12" s="113">
        <f t="shared" si="0"/>
        <v>0.46003630157933073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8" ht="30" x14ac:dyDescent="0.25">
      <c r="A13" s="3" t="s">
        <v>33</v>
      </c>
      <c r="B13" s="108" t="s">
        <v>34</v>
      </c>
      <c r="C13" s="10">
        <v>3</v>
      </c>
      <c r="D13" s="10">
        <f>D8</f>
        <v>3934</v>
      </c>
      <c r="E13" s="106">
        <f>D13*(1+F13)^15+D13*(1+F13)^30+D13*(1+F13)^45</f>
        <v>30554.692419623898</v>
      </c>
      <c r="F13" s="102">
        <v>0.03</v>
      </c>
      <c r="G13" s="54">
        <f>1/(1+F13)^50</f>
        <v>0.22810707978975397</v>
      </c>
      <c r="H13" s="10">
        <f>G13*E13</f>
        <v>6969.7416617145391</v>
      </c>
      <c r="I13" s="10" t="s">
        <v>32</v>
      </c>
      <c r="J13" s="33">
        <f t="shared" si="0"/>
        <v>1.1648909794482709E-2</v>
      </c>
      <c r="K13" s="34"/>
      <c r="L13" s="4"/>
      <c r="M13" s="122"/>
      <c r="N13" s="122"/>
      <c r="O13" s="122"/>
      <c r="P13" s="4"/>
      <c r="Q13" s="4"/>
      <c r="R13" s="4"/>
      <c r="S13" s="4"/>
      <c r="T13" s="4"/>
      <c r="U13" s="4"/>
    </row>
    <row r="14" spans="1:28" ht="30" x14ac:dyDescent="0.25">
      <c r="A14" s="11"/>
      <c r="B14" s="48" t="s">
        <v>35</v>
      </c>
      <c r="C14" s="10">
        <v>2</v>
      </c>
      <c r="D14" s="10">
        <f>D9</f>
        <v>38295.965402906477</v>
      </c>
      <c r="E14" s="106">
        <f>D14*(1+F14)^20+D14*(1+F14)^40</f>
        <v>194089.65978207043</v>
      </c>
      <c r="F14" s="102">
        <v>0.03</v>
      </c>
      <c r="G14" s="54">
        <f t="shared" ref="G14:G15" si="2">1/(1+F14)^50</f>
        <v>0.22810707978975397</v>
      </c>
      <c r="H14" s="10">
        <f>G14*E14</f>
        <v>44273.22551027494</v>
      </c>
      <c r="I14" s="10" t="s">
        <v>32</v>
      </c>
      <c r="J14" s="33">
        <f t="shared" si="0"/>
        <v>7.3996259160216002E-2</v>
      </c>
      <c r="K14" s="34"/>
      <c r="L14" s="4"/>
      <c r="M14" s="42"/>
      <c r="N14" s="42"/>
      <c r="O14" s="42"/>
      <c r="P14" s="42"/>
      <c r="Q14" s="4"/>
      <c r="R14" s="4"/>
      <c r="S14" s="4"/>
      <c r="T14" s="4"/>
      <c r="U14" s="4"/>
    </row>
    <row r="15" spans="1:28" ht="45" x14ac:dyDescent="0.25">
      <c r="A15" s="3"/>
      <c r="B15" s="48" t="s">
        <v>36</v>
      </c>
      <c r="C15" s="10">
        <v>6</v>
      </c>
      <c r="D15" s="10">
        <f>D10</f>
        <v>164.43</v>
      </c>
      <c r="E15" s="106">
        <f>D15*(1+F15)^7.5+D15*(1+F15)^15+D15*(1+F15)^22.5+D15*(1+F15)^30+D15*(1+F15)^37.5+D15*(1+F15)^45</f>
        <v>2300.2635812345779</v>
      </c>
      <c r="F15" s="102">
        <v>0.03</v>
      </c>
      <c r="G15" s="54">
        <f t="shared" si="2"/>
        <v>0.22810707978975397</v>
      </c>
      <c r="H15" s="10">
        <f>G15*E15</f>
        <v>524.70640826214105</v>
      </c>
      <c r="I15" s="10" t="s">
        <v>32</v>
      </c>
      <c r="J15" s="33">
        <f t="shared" si="0"/>
        <v>8.7697046965283043E-4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8" ht="45" x14ac:dyDescent="0.25">
      <c r="A16" s="55">
        <f>D19*10/20</f>
        <v>19147.982701453238</v>
      </c>
      <c r="B16" s="48" t="s">
        <v>37</v>
      </c>
      <c r="C16" s="32">
        <v>6</v>
      </c>
      <c r="D16" s="10">
        <f>D11</f>
        <v>596.02</v>
      </c>
      <c r="E16" s="106">
        <f>D16*(1+F16)^7.5+D16*(1+F16)^15+D16*(1+F16)^22.5+D16*(1+F16)^30+D16*(1+F16)^37.5+D16*(1+F16)^45</f>
        <v>8337.9133958975435</v>
      </c>
      <c r="F16" s="102">
        <v>0.03</v>
      </c>
      <c r="G16" s="54">
        <f>1/(1+F16)^50</f>
        <v>0.22810707978975397</v>
      </c>
      <c r="H16" s="10">
        <f>G16*E16</f>
        <v>1901.9370762780595</v>
      </c>
      <c r="I16" s="10" t="s">
        <v>32</v>
      </c>
      <c r="J16" s="33">
        <f t="shared" si="0"/>
        <v>3.1788112833575385E-3</v>
      </c>
      <c r="K16" s="34"/>
      <c r="L16" s="4"/>
      <c r="M16" s="35"/>
      <c r="N16" s="52"/>
      <c r="O16" s="52"/>
      <c r="P16" s="121"/>
      <c r="Q16" s="4"/>
      <c r="R16" s="4"/>
      <c r="S16" s="4"/>
      <c r="T16" s="4"/>
      <c r="U16" s="4"/>
    </row>
    <row r="17" spans="1:22" x14ac:dyDescent="0.25">
      <c r="A17" s="11"/>
      <c r="B17" s="56" t="s">
        <v>38</v>
      </c>
      <c r="C17" s="53"/>
      <c r="D17" s="53">
        <f>SUM(D13:D16)</f>
        <v>42990.415402906474</v>
      </c>
      <c r="E17" s="53">
        <f>SUM(E13:E16)</f>
        <v>235282.52917882646</v>
      </c>
      <c r="F17" s="111" t="s">
        <v>13</v>
      </c>
      <c r="G17" s="112" t="s">
        <v>32</v>
      </c>
      <c r="H17" s="53">
        <f>SUM(H13:H16)</f>
        <v>53669.610656529687</v>
      </c>
      <c r="I17" s="53" t="s">
        <v>32</v>
      </c>
      <c r="J17" s="113">
        <f t="shared" si="0"/>
        <v>8.9700950707709087E-2</v>
      </c>
      <c r="K17" s="34"/>
      <c r="L17" s="74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3" t="s">
        <v>39</v>
      </c>
      <c r="B18" s="109" t="s">
        <v>40</v>
      </c>
      <c r="C18" s="10">
        <v>0.66666666666666663</v>
      </c>
      <c r="D18" s="10">
        <f>D13</f>
        <v>3934</v>
      </c>
      <c r="E18" s="106">
        <f>(10/15)*D18*(1+F18)^50</f>
        <v>11497.524185062452</v>
      </c>
      <c r="F18" s="102">
        <v>0.03</v>
      </c>
      <c r="G18" s="54">
        <f>1/(1+F18)^50</f>
        <v>0.22810707978975397</v>
      </c>
      <c r="H18" s="106">
        <f>E18*G18</f>
        <v>2622.6666666666665</v>
      </c>
      <c r="I18" s="10" t="s">
        <v>41</v>
      </c>
      <c r="J18" s="33">
        <f t="shared" si="0"/>
        <v>4.3834060003712007E-3</v>
      </c>
      <c r="K18" s="34"/>
      <c r="L18" s="4"/>
      <c r="M18" s="122"/>
      <c r="N18" s="122"/>
      <c r="O18" s="122"/>
      <c r="P18" s="4"/>
      <c r="Q18" s="4"/>
      <c r="R18" s="4"/>
      <c r="S18" s="4"/>
      <c r="T18" s="4"/>
      <c r="U18" s="4"/>
    </row>
    <row r="19" spans="1:22" x14ac:dyDescent="0.25">
      <c r="A19" s="11"/>
      <c r="B19" s="58" t="s">
        <v>42</v>
      </c>
      <c r="C19" s="10">
        <v>0.5</v>
      </c>
      <c r="D19" s="10">
        <f>D14</f>
        <v>38295.965402906477</v>
      </c>
      <c r="E19" s="106">
        <f>(10/20)*D19*(1+F19)^50</f>
        <v>83942.956611000016</v>
      </c>
      <c r="F19" s="102">
        <v>0.03</v>
      </c>
      <c r="G19" s="54">
        <f t="shared" ref="G19:G21" si="3">1/(1+F19)^50</f>
        <v>0.22810707978975397</v>
      </c>
      <c r="H19" s="106">
        <f>E19*G19</f>
        <v>19147.982701453235</v>
      </c>
      <c r="I19" s="10" t="s">
        <v>41</v>
      </c>
      <c r="J19" s="33">
        <f t="shared" si="0"/>
        <v>3.2003068989026717E-2</v>
      </c>
      <c r="K19" s="34"/>
      <c r="L19" s="74"/>
      <c r="M19" s="42"/>
      <c r="N19" s="42"/>
      <c r="O19" s="42"/>
      <c r="P19" s="42"/>
      <c r="Q19" s="4"/>
      <c r="R19" s="4"/>
      <c r="S19" s="4"/>
      <c r="T19" s="4"/>
      <c r="U19" s="4"/>
    </row>
    <row r="20" spans="1:22" x14ac:dyDescent="0.25">
      <c r="A20" s="11"/>
      <c r="B20" s="48" t="s">
        <v>43</v>
      </c>
      <c r="C20" s="10">
        <f>2.5/7.5</f>
        <v>0.33333333333333331</v>
      </c>
      <c r="D20" s="10">
        <f>D15</f>
        <v>164.43</v>
      </c>
      <c r="E20" s="106">
        <f>(2.5/7.5)*D20*(1+F20)^50</f>
        <v>240.28188888533541</v>
      </c>
      <c r="F20" s="102">
        <v>0.03</v>
      </c>
      <c r="G20" s="54">
        <f t="shared" si="3"/>
        <v>0.22810707978975397</v>
      </c>
      <c r="H20" s="106">
        <f t="shared" ref="H20:H21" si="4">E20*G20</f>
        <v>54.81</v>
      </c>
      <c r="I20" s="10" t="s">
        <v>41</v>
      </c>
      <c r="J20" s="33">
        <f t="shared" si="0"/>
        <v>9.1606945683914156E-5</v>
      </c>
      <c r="K20" s="34"/>
      <c r="L20" s="74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11"/>
      <c r="B21" s="48" t="s">
        <v>44</v>
      </c>
      <c r="C21" s="10">
        <f>2.5/7.5</f>
        <v>0.33333333333333331</v>
      </c>
      <c r="D21" s="10">
        <f>D16</f>
        <v>596.02</v>
      </c>
      <c r="E21" s="106">
        <f>(2.5/7.5)*D21*(1+F21)^50</f>
        <v>870.96522175659914</v>
      </c>
      <c r="F21" s="102">
        <v>0.03</v>
      </c>
      <c r="G21" s="54">
        <f t="shared" si="3"/>
        <v>0.22810707978975397</v>
      </c>
      <c r="H21" s="106">
        <f t="shared" si="4"/>
        <v>198.67333333333332</v>
      </c>
      <c r="I21" s="10" t="s">
        <v>41</v>
      </c>
      <c r="J21" s="33">
        <f t="shared" si="0"/>
        <v>3.3205358977392513E-4</v>
      </c>
      <c r="K21" s="34"/>
      <c r="L21" s="74"/>
      <c r="M21" s="4"/>
      <c r="N21" s="4"/>
      <c r="O21" s="4"/>
      <c r="P21" s="4"/>
      <c r="Q21" s="42"/>
      <c r="R21" s="42"/>
      <c r="S21" s="4"/>
      <c r="T21" s="4"/>
      <c r="U21" s="75"/>
      <c r="V21" s="60"/>
    </row>
    <row r="22" spans="1:22" s="21" customFormat="1" x14ac:dyDescent="0.25">
      <c r="A22" s="20"/>
      <c r="B22" s="20" t="s">
        <v>45</v>
      </c>
      <c r="C22" s="53"/>
      <c r="D22" s="53">
        <f>SUM(D18:D21)</f>
        <v>42990.415402906474</v>
      </c>
      <c r="E22" s="53">
        <f>SUM(E18:E21)</f>
        <v>96551.727906704415</v>
      </c>
      <c r="F22" s="111" t="s">
        <v>13</v>
      </c>
      <c r="G22" s="112" t="s">
        <v>32</v>
      </c>
      <c r="H22" s="53">
        <f>SUM(H18:H21)</f>
        <v>22024.132701453236</v>
      </c>
      <c r="I22" s="53" t="s">
        <v>32</v>
      </c>
      <c r="J22" s="113">
        <f t="shared" si="0"/>
        <v>3.6810135524855757E-2</v>
      </c>
      <c r="K22" s="34"/>
      <c r="L22" s="123"/>
      <c r="M22" s="35"/>
      <c r="N22" s="52"/>
      <c r="O22" s="52"/>
      <c r="P22" s="121"/>
      <c r="Q22" s="124"/>
      <c r="R22" s="124"/>
      <c r="S22" s="22"/>
      <c r="T22" s="22"/>
      <c r="U22" s="125"/>
      <c r="V22" s="61"/>
    </row>
    <row r="23" spans="1:22" ht="16.5" customHeight="1" x14ac:dyDescent="0.25">
      <c r="A23" s="56" t="s">
        <v>46</v>
      </c>
      <c r="B23" s="48" t="s">
        <v>47</v>
      </c>
      <c r="C23" s="32" t="s">
        <v>48</v>
      </c>
      <c r="D23" s="10">
        <f>7108*0.02*20</f>
        <v>2843.2</v>
      </c>
      <c r="E23" s="10">
        <f>D23</f>
        <v>2843.2</v>
      </c>
      <c r="F23" s="102">
        <v>0.03</v>
      </c>
      <c r="G23" s="62">
        <f>((1+F23)^50-1)/(0.03*(1+F23)^50)</f>
        <v>25.7297640070082</v>
      </c>
      <c r="H23" s="10">
        <f>E23*G23</f>
        <v>73154.865024725703</v>
      </c>
      <c r="I23" s="63" t="s">
        <v>49</v>
      </c>
      <c r="J23" s="33">
        <f t="shared" si="0"/>
        <v>0.12226772024875239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</row>
    <row r="24" spans="1:22" ht="21" customHeight="1" x14ac:dyDescent="0.25">
      <c r="A24" s="3"/>
      <c r="B24" s="64" t="s">
        <v>50</v>
      </c>
      <c r="C24" s="32" t="s">
        <v>48</v>
      </c>
      <c r="D24" s="10">
        <f>7108*0.02*7</f>
        <v>995.12</v>
      </c>
      <c r="E24" s="10">
        <f>D24</f>
        <v>995.12</v>
      </c>
      <c r="F24" s="102">
        <v>0.03</v>
      </c>
      <c r="G24" s="62">
        <f t="shared" ref="G24:G26" si="5">((1+F24)^50-1)/(0.03*(1+F24)^50)</f>
        <v>25.7297640070082</v>
      </c>
      <c r="H24" s="10">
        <f>E24*G24</f>
        <v>25604.202758653999</v>
      </c>
      <c r="I24" s="63" t="s">
        <v>49</v>
      </c>
      <c r="J24" s="33">
        <f t="shared" si="0"/>
        <v>4.2793702087063339E-2</v>
      </c>
      <c r="K24" s="34"/>
      <c r="L24" s="74"/>
      <c r="M24" s="122"/>
      <c r="N24" s="122"/>
      <c r="O24" s="122"/>
      <c r="P24" s="122"/>
      <c r="Q24" s="122"/>
      <c r="R24" s="122"/>
      <c r="S24" s="4"/>
      <c r="T24" s="4"/>
      <c r="U24" s="4"/>
    </row>
    <row r="25" spans="1:22" ht="19.5" customHeight="1" x14ac:dyDescent="0.25">
      <c r="A25" s="3"/>
      <c r="B25" s="64" t="s">
        <v>51</v>
      </c>
      <c r="C25" s="63" t="s">
        <v>52</v>
      </c>
      <c r="D25" s="107">
        <f>0.017</f>
        <v>1.7000000000000001E-2</v>
      </c>
      <c r="E25" s="63">
        <f>E12*D25</f>
        <v>4679.2087818494101</v>
      </c>
      <c r="F25" s="102">
        <v>0.03</v>
      </c>
      <c r="G25" s="62">
        <f t="shared" si="5"/>
        <v>25.7297640070082</v>
      </c>
      <c r="H25" s="10">
        <f>E25*G25</f>
        <v>120394.93769650563</v>
      </c>
      <c r="I25" s="63" t="s">
        <v>53</v>
      </c>
      <c r="J25" s="33">
        <f t="shared" si="0"/>
        <v>0.20122263306298158</v>
      </c>
      <c r="K25" s="34"/>
      <c r="L25" s="74"/>
      <c r="M25" s="42"/>
      <c r="N25" s="42"/>
      <c r="O25" s="42"/>
      <c r="P25" s="42"/>
      <c r="Q25" s="42"/>
      <c r="R25" s="42"/>
      <c r="S25" s="42"/>
      <c r="T25" s="4"/>
      <c r="U25" s="75"/>
    </row>
    <row r="26" spans="1:22" ht="34.5" customHeight="1" x14ac:dyDescent="0.25">
      <c r="A26" s="3"/>
      <c r="B26" s="108" t="s">
        <v>54</v>
      </c>
      <c r="C26" s="110">
        <v>0.3</v>
      </c>
      <c r="D26" s="110">
        <v>0.10299999999999999</v>
      </c>
      <c r="E26" s="63">
        <f>D26*C26*150*606</f>
        <v>2808.81</v>
      </c>
      <c r="F26" s="102">
        <v>0.03</v>
      </c>
      <c r="G26" s="62">
        <f t="shared" si="5"/>
        <v>25.7297640070082</v>
      </c>
      <c r="H26" s="10">
        <f>E26*G26</f>
        <v>72270.018440524698</v>
      </c>
      <c r="I26" s="63" t="s">
        <v>182</v>
      </c>
      <c r="J26" s="33">
        <f t="shared" si="0"/>
        <v>0.1207888278390188</v>
      </c>
      <c r="K26" s="34"/>
      <c r="L26" s="4"/>
      <c r="M26" s="4"/>
      <c r="N26" s="65"/>
      <c r="O26" s="4"/>
      <c r="P26" s="42"/>
      <c r="Q26" s="42"/>
      <c r="R26" s="4"/>
      <c r="S26" s="4"/>
      <c r="T26" s="4"/>
      <c r="U26" s="4"/>
    </row>
    <row r="27" spans="1:22" ht="30.75" customHeight="1" x14ac:dyDescent="0.25">
      <c r="A27" s="3"/>
      <c r="B27" s="66" t="s">
        <v>55</v>
      </c>
      <c r="C27" s="53"/>
      <c r="D27" s="53"/>
      <c r="E27" s="53">
        <f>SUM(E23:E26)</f>
        <v>11326.33878184941</v>
      </c>
      <c r="F27" s="57"/>
      <c r="G27" s="57"/>
      <c r="H27" s="53">
        <f>SUM(H23:H26)</f>
        <v>291424.02392041002</v>
      </c>
      <c r="I27" s="53" t="s">
        <v>32</v>
      </c>
      <c r="J27" s="113">
        <f t="shared" si="0"/>
        <v>0.48707288323781606</v>
      </c>
      <c r="K27" s="34"/>
      <c r="L27" s="4"/>
      <c r="M27" s="35"/>
      <c r="N27" s="52"/>
      <c r="O27" s="52"/>
      <c r="P27" s="121"/>
      <c r="Q27" s="124"/>
      <c r="R27" s="124"/>
      <c r="S27" s="22"/>
      <c r="T27" s="4"/>
      <c r="U27" s="4"/>
    </row>
    <row r="28" spans="1:22" ht="18.75" x14ac:dyDescent="0.3">
      <c r="A28" s="16"/>
      <c r="B28" s="114" t="s">
        <v>56</v>
      </c>
      <c r="C28" s="115"/>
      <c r="D28" s="115"/>
      <c r="E28" s="115">
        <f>E12+E17-E22+E27</f>
        <v>425304.71545687789</v>
      </c>
      <c r="F28" s="115"/>
      <c r="G28" s="115"/>
      <c r="H28" s="115">
        <f>H12+H17-H22+H27</f>
        <v>598317.07727839286</v>
      </c>
      <c r="I28" s="117"/>
      <c r="J28" s="116">
        <f>J12+J17-J22+J27</f>
        <v>1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s="21" customFormat="1" ht="30" x14ac:dyDescent="0.25">
      <c r="B29" s="2" t="s">
        <v>164</v>
      </c>
      <c r="C29" s="20" t="s">
        <v>156</v>
      </c>
      <c r="D29" s="20" t="s">
        <v>156</v>
      </c>
      <c r="E29" s="20" t="s">
        <v>156</v>
      </c>
      <c r="F29" s="20" t="s">
        <v>156</v>
      </c>
      <c r="G29" s="20" t="s">
        <v>156</v>
      </c>
      <c r="H29" s="118">
        <f>H28/G33</f>
        <v>0.13164292129337576</v>
      </c>
      <c r="I29" s="21" t="s">
        <v>162</v>
      </c>
      <c r="J29" s="67">
        <f>MAX(J3:J27)</f>
        <v>0.48707288323781606</v>
      </c>
      <c r="K29" s="68"/>
      <c r="L29" s="22"/>
      <c r="M29" s="122"/>
      <c r="N29" s="122"/>
      <c r="O29" s="122"/>
      <c r="P29" s="122"/>
      <c r="Q29" s="122"/>
      <c r="R29" s="122"/>
      <c r="S29" s="4"/>
      <c r="T29" s="22"/>
      <c r="U29" s="22"/>
    </row>
    <row r="30" spans="1:22" ht="27" thickBot="1" x14ac:dyDescent="0.45">
      <c r="B30" s="128" t="s">
        <v>163</v>
      </c>
      <c r="C30" s="17"/>
      <c r="D30" s="17"/>
      <c r="E30" s="17"/>
      <c r="F30" s="17"/>
      <c r="G30" s="17"/>
      <c r="H30" s="17"/>
      <c r="I30" s="69"/>
      <c r="J30" s="4"/>
      <c r="K30" s="70"/>
      <c r="L30" s="126"/>
      <c r="M30" s="4"/>
      <c r="N30" s="42"/>
      <c r="O30" s="42"/>
      <c r="P30" s="42"/>
      <c r="Q30" s="42"/>
      <c r="R30" s="42"/>
      <c r="S30" s="42"/>
      <c r="T30" s="42"/>
      <c r="U30" s="4"/>
    </row>
    <row r="31" spans="1:22" ht="30" x14ac:dyDescent="0.25">
      <c r="B31" s="130" t="s">
        <v>57</v>
      </c>
      <c r="C31" s="131" t="s">
        <v>58</v>
      </c>
      <c r="D31" s="129" t="s">
        <v>165</v>
      </c>
      <c r="E31" s="2" t="s">
        <v>59</v>
      </c>
      <c r="F31" s="2"/>
      <c r="G31" s="2" t="s">
        <v>60</v>
      </c>
      <c r="H31" s="3"/>
      <c r="J31" s="4"/>
      <c r="K31" s="70"/>
      <c r="L31" s="126"/>
      <c r="M31" s="4"/>
      <c r="N31" s="4"/>
      <c r="O31" s="4"/>
      <c r="P31" s="4"/>
      <c r="Q31" s="4"/>
      <c r="R31" s="4"/>
      <c r="S31" s="4"/>
      <c r="T31" s="4"/>
      <c r="U31" s="4"/>
    </row>
    <row r="32" spans="1:22" s="17" customFormat="1" x14ac:dyDescent="0.25">
      <c r="B32" s="132">
        <v>5</v>
      </c>
      <c r="C32" s="133">
        <f>B32/1000</f>
        <v>5.0000000000000001E-3</v>
      </c>
      <c r="D32" s="87" t="s">
        <v>61</v>
      </c>
      <c r="E32" s="3"/>
      <c r="F32" s="3"/>
      <c r="G32" s="3"/>
      <c r="H32" s="7" t="s">
        <v>58</v>
      </c>
      <c r="I32" s="71"/>
      <c r="J32" s="72"/>
    </row>
    <row r="33" spans="2:30" ht="15.75" thickBot="1" x14ac:dyDescent="0.3">
      <c r="B33" s="134">
        <f>100</f>
        <v>100</v>
      </c>
      <c r="C33" s="135">
        <f>100/1000</f>
        <v>0.1</v>
      </c>
      <c r="D33" s="87">
        <v>606</v>
      </c>
      <c r="E33" s="3">
        <f>D33*150</f>
        <v>90900</v>
      </c>
      <c r="F33" s="3"/>
      <c r="G33" s="3">
        <f>E33*50</f>
        <v>4545000</v>
      </c>
      <c r="H33" s="73">
        <f>H28/G33</f>
        <v>0.13164292129337576</v>
      </c>
      <c r="I33" s="4"/>
      <c r="J33" s="70"/>
    </row>
    <row r="34" spans="2:30" ht="15.75" customHeight="1" x14ac:dyDescent="0.25">
      <c r="J34" s="70"/>
    </row>
    <row r="35" spans="2:30" x14ac:dyDescent="0.25">
      <c r="I35" s="60"/>
    </row>
    <row r="36" spans="2:30" x14ac:dyDescent="0.25">
      <c r="D36" s="70"/>
      <c r="E36" s="60"/>
      <c r="F36" s="60"/>
      <c r="H36" s="17"/>
    </row>
    <row r="37" spans="2:30" ht="21" x14ac:dyDescent="0.35">
      <c r="C37" s="127" t="s">
        <v>168</v>
      </c>
      <c r="E37" s="60"/>
      <c r="F37" s="60"/>
    </row>
    <row r="39" spans="2:30" x14ac:dyDescent="0.25">
      <c r="B39" s="4"/>
      <c r="C39" s="4"/>
      <c r="D39" s="4"/>
      <c r="E39" s="4"/>
      <c r="F39" s="4"/>
      <c r="I39" s="71"/>
      <c r="J39" s="71"/>
      <c r="K39" s="71"/>
      <c r="L39" s="71"/>
      <c r="M39" s="71"/>
      <c r="Y39" s="4"/>
      <c r="AD39" s="4"/>
    </row>
    <row r="40" spans="2:30" x14ac:dyDescent="0.25">
      <c r="I40" s="76"/>
      <c r="J40" s="71"/>
      <c r="K40" s="71"/>
      <c r="L40" s="71"/>
      <c r="M40" s="71"/>
      <c r="N40" s="4"/>
      <c r="Y40" s="4"/>
      <c r="AD40" s="4"/>
    </row>
    <row r="41" spans="2:30" ht="23.25" x14ac:dyDescent="0.35">
      <c r="B41" s="138" t="s">
        <v>183</v>
      </c>
      <c r="H41" s="3" t="s">
        <v>62</v>
      </c>
      <c r="I41" s="71"/>
      <c r="J41" s="71"/>
      <c r="K41" s="71"/>
      <c r="L41" s="71"/>
      <c r="M41" s="71"/>
      <c r="N41" s="4"/>
      <c r="Y41" s="4"/>
      <c r="AD41" s="4"/>
    </row>
    <row r="42" spans="2:30" ht="31.5" x14ac:dyDescent="0.35">
      <c r="B42" s="2"/>
      <c r="C42" s="2" t="s">
        <v>63</v>
      </c>
      <c r="D42" s="2" t="s">
        <v>64</v>
      </c>
      <c r="E42" s="2" t="s">
        <v>65</v>
      </c>
      <c r="F42" s="2"/>
      <c r="G42" s="8" t="s">
        <v>66</v>
      </c>
      <c r="H42" s="15" t="s">
        <v>67</v>
      </c>
      <c r="I42" s="2" t="s">
        <v>68</v>
      </c>
      <c r="J42" s="71"/>
      <c r="K42" s="4"/>
      <c r="L42" s="4"/>
      <c r="M42" s="4"/>
      <c r="N42" s="4"/>
      <c r="O42" s="4"/>
      <c r="P42" s="4"/>
      <c r="W42" s="4"/>
      <c r="X42" s="4"/>
      <c r="Y42" s="4"/>
      <c r="Z42" s="4"/>
      <c r="AA42" s="4"/>
    </row>
    <row r="43" spans="2:30" x14ac:dyDescent="0.25">
      <c r="B43" s="3" t="s">
        <v>69</v>
      </c>
      <c r="C43" s="3" t="s">
        <v>70</v>
      </c>
      <c r="D43" s="3" t="s">
        <v>71</v>
      </c>
      <c r="E43" s="3" t="s">
        <v>72</v>
      </c>
      <c r="F43" s="3"/>
      <c r="G43" s="3" t="s">
        <v>73</v>
      </c>
      <c r="H43" s="16"/>
      <c r="I43" s="3"/>
      <c r="J43" s="71"/>
      <c r="K43" s="4"/>
      <c r="L43" s="4"/>
      <c r="M43" s="4"/>
      <c r="N43" s="4"/>
      <c r="O43" s="4"/>
      <c r="P43" s="4"/>
      <c r="W43" s="4"/>
      <c r="X43" s="4"/>
      <c r="Y43" s="4"/>
      <c r="Z43" s="4"/>
      <c r="AA43" s="4"/>
    </row>
    <row r="44" spans="2:30" ht="15.75" x14ac:dyDescent="0.25">
      <c r="B44" s="77" t="s">
        <v>74</v>
      </c>
      <c r="C44" s="3"/>
      <c r="D44" s="3" t="s">
        <v>75</v>
      </c>
      <c r="E44" s="3" t="s">
        <v>76</v>
      </c>
      <c r="F44" s="3"/>
      <c r="G44" s="3">
        <f>150*24</f>
        <v>3600</v>
      </c>
      <c r="H44" s="16"/>
      <c r="I44" s="3"/>
      <c r="J44" s="71"/>
      <c r="K44" s="4"/>
      <c r="L44" s="4"/>
      <c r="M44" s="78"/>
      <c r="N44" s="4"/>
      <c r="O44" s="4"/>
      <c r="P44" s="4"/>
      <c r="W44" s="4"/>
      <c r="X44" s="4"/>
      <c r="Y44" s="78"/>
      <c r="Z44" s="78"/>
      <c r="AA44" s="4"/>
    </row>
    <row r="45" spans="2:30" x14ac:dyDescent="0.25">
      <c r="B45" s="79"/>
      <c r="C45" s="3"/>
      <c r="D45" s="3"/>
      <c r="E45" s="3"/>
      <c r="F45" s="3"/>
      <c r="G45" s="55"/>
      <c r="H45" s="16"/>
      <c r="I45" s="3"/>
      <c r="J45" s="71"/>
      <c r="K45" s="4"/>
      <c r="L45" s="4"/>
      <c r="M45" s="4"/>
      <c r="N45" s="78"/>
      <c r="O45" s="78"/>
      <c r="P45" s="4"/>
      <c r="W45" s="4"/>
      <c r="X45" s="78"/>
      <c r="Y45" s="78"/>
      <c r="Z45" s="78"/>
      <c r="AA45" s="4"/>
    </row>
    <row r="46" spans="2:30" x14ac:dyDescent="0.25">
      <c r="B46" s="3"/>
      <c r="C46" s="3"/>
      <c r="D46" s="3"/>
      <c r="E46" s="3"/>
      <c r="F46" s="3"/>
      <c r="G46" s="55"/>
      <c r="H46" s="16"/>
      <c r="I46" s="3"/>
      <c r="J46" s="71"/>
      <c r="K46" s="78"/>
      <c r="L46" s="120"/>
      <c r="M46" s="78"/>
      <c r="N46" s="78"/>
      <c r="O46" s="78"/>
      <c r="P46" s="4"/>
      <c r="W46" s="4"/>
      <c r="X46" s="4"/>
      <c r="Y46" s="78"/>
      <c r="Z46" s="78"/>
      <c r="AA46" s="4"/>
    </row>
    <row r="47" spans="2:30" x14ac:dyDescent="0.25">
      <c r="B47" s="80">
        <f>606/(24*3600)</f>
        <v>7.013888888888889E-3</v>
      </c>
      <c r="C47" s="3">
        <v>0.69</v>
      </c>
      <c r="D47" s="81">
        <v>70</v>
      </c>
      <c r="E47" s="3">
        <f>10.3/100</f>
        <v>0.10300000000000001</v>
      </c>
      <c r="F47" s="3"/>
      <c r="G47" s="82">
        <f>G44</f>
        <v>3600</v>
      </c>
      <c r="H47" s="83">
        <f>B47*(9807/1000)*D47*E47*G47/C47</f>
        <v>2587.5200978260877</v>
      </c>
      <c r="I47" s="55">
        <f>B47*9.807*D47*G47/C47</f>
        <v>25121.554347826092</v>
      </c>
      <c r="J47" s="71"/>
      <c r="K47" s="4"/>
      <c r="L47" s="4"/>
      <c r="M47" s="4"/>
      <c r="N47" s="4"/>
      <c r="O47" s="4"/>
      <c r="P47" s="4"/>
      <c r="W47" s="4"/>
      <c r="X47" s="78"/>
      <c r="Y47" s="78"/>
      <c r="Z47" s="78"/>
      <c r="AA47" s="4"/>
    </row>
    <row r="48" spans="2:30" ht="21" x14ac:dyDescent="0.35">
      <c r="C48" s="84"/>
      <c r="I48" s="137">
        <f>I47/(606*150)</f>
        <v>0.27636473429951697</v>
      </c>
      <c r="J48" s="4"/>
      <c r="K48" s="4"/>
      <c r="L48" s="4"/>
      <c r="M48" s="4"/>
      <c r="N48" s="4"/>
      <c r="O48" s="4"/>
      <c r="P48" s="4"/>
      <c r="W48" s="4"/>
      <c r="X48" s="4"/>
      <c r="Y48" s="4"/>
      <c r="Z48" s="4"/>
      <c r="AA48" s="4"/>
    </row>
    <row r="49" spans="1:16" x14ac:dyDescent="0.25">
      <c r="E49" s="84"/>
      <c r="F49" s="84"/>
      <c r="G49" s="85"/>
      <c r="H49" s="50"/>
      <c r="K49" s="4"/>
      <c r="L49" s="4"/>
      <c r="M49" s="4"/>
      <c r="N49" s="4"/>
      <c r="O49" s="4"/>
      <c r="P49" s="4"/>
    </row>
    <row r="50" spans="1:16" x14ac:dyDescent="0.25">
      <c r="D50" s="84"/>
    </row>
    <row r="52" spans="1:16" ht="15.75" x14ac:dyDescent="0.25">
      <c r="B52" s="119" t="s">
        <v>166</v>
      </c>
    </row>
    <row r="53" spans="1:16" x14ac:dyDescent="0.25">
      <c r="B53" s="86" t="s">
        <v>78</v>
      </c>
      <c r="G53" t="s">
        <v>87</v>
      </c>
    </row>
    <row r="54" spans="1:16" x14ac:dyDescent="0.25">
      <c r="B54" s="3" t="s">
        <v>79</v>
      </c>
      <c r="C54" s="3" t="s">
        <v>80</v>
      </c>
      <c r="D54" s="3" t="s">
        <v>81</v>
      </c>
      <c r="E54" s="3" t="s">
        <v>82</v>
      </c>
      <c r="F54" s="3"/>
      <c r="G54" s="3" t="s">
        <v>83</v>
      </c>
      <c r="H54" s="7" t="s">
        <v>84</v>
      </c>
      <c r="I54" s="4"/>
    </row>
    <row r="55" spans="1:16" ht="45.75" customHeight="1" x14ac:dyDescent="0.25">
      <c r="B55" s="3"/>
      <c r="C55" s="3" t="s">
        <v>85</v>
      </c>
      <c r="D55" s="2" t="s">
        <v>86</v>
      </c>
      <c r="E55" s="3" t="s">
        <v>1</v>
      </c>
      <c r="F55" s="3"/>
      <c r="G55" s="3" t="s">
        <v>58</v>
      </c>
      <c r="H55" s="7" t="s">
        <v>58</v>
      </c>
      <c r="I55" s="136"/>
    </row>
    <row r="56" spans="1:16" x14ac:dyDescent="0.25">
      <c r="B56" s="18">
        <f>6*0.3048</f>
        <v>1.8288000000000002</v>
      </c>
      <c r="C56" s="12">
        <f>13000/B56</f>
        <v>7108.4864391950996</v>
      </c>
      <c r="D56" s="11">
        <v>0.02</v>
      </c>
      <c r="E56" s="10">
        <f>C56*D56</f>
        <v>142.169728783902</v>
      </c>
      <c r="F56" s="10"/>
      <c r="G56" s="10">
        <f>15*1.31</f>
        <v>19.650000000000002</v>
      </c>
      <c r="H56" s="55">
        <f>5*1.31</f>
        <v>6.5500000000000007</v>
      </c>
      <c r="I56" s="124"/>
    </row>
    <row r="57" spans="1:16" x14ac:dyDescent="0.25">
      <c r="B57" s="21"/>
      <c r="D57" s="75"/>
    </row>
    <row r="58" spans="1:16" x14ac:dyDescent="0.25">
      <c r="A58" t="s">
        <v>167</v>
      </c>
      <c r="B58" s="19"/>
    </row>
    <row r="59" spans="1:16" x14ac:dyDescent="0.25">
      <c r="B59" s="19"/>
    </row>
    <row r="60" spans="1:16" x14ac:dyDescent="0.25">
      <c r="B60" t="s">
        <v>92</v>
      </c>
    </row>
    <row r="61" spans="1:16" x14ac:dyDescent="0.25">
      <c r="B61" s="89" t="s">
        <v>93</v>
      </c>
    </row>
    <row r="62" spans="1:16" x14ac:dyDescent="0.25">
      <c r="B62" t="s">
        <v>94</v>
      </c>
    </row>
    <row r="63" spans="1:16" x14ac:dyDescent="0.25">
      <c r="B63" t="s">
        <v>95</v>
      </c>
    </row>
    <row r="64" spans="1:16" x14ac:dyDescent="0.25">
      <c r="B64" t="s">
        <v>96</v>
      </c>
    </row>
    <row r="65" spans="2:6" x14ac:dyDescent="0.25">
      <c r="B65" t="s">
        <v>97</v>
      </c>
    </row>
    <row r="66" spans="2:6" x14ac:dyDescent="0.25">
      <c r="B66" t="s">
        <v>98</v>
      </c>
    </row>
    <row r="67" spans="2:6" x14ac:dyDescent="0.25">
      <c r="B67" t="s">
        <v>99</v>
      </c>
      <c r="E67" s="59"/>
      <c r="F67" s="59"/>
    </row>
    <row r="68" spans="2:6" x14ac:dyDescent="0.25">
      <c r="B68" t="s">
        <v>100</v>
      </c>
    </row>
    <row r="69" spans="2:6" x14ac:dyDescent="0.25">
      <c r="B69" t="s">
        <v>101</v>
      </c>
    </row>
    <row r="70" spans="2:6" x14ac:dyDescent="0.25">
      <c r="B70" s="90" t="s">
        <v>102</v>
      </c>
    </row>
    <row r="71" spans="2:6" x14ac:dyDescent="0.25">
      <c r="B71" s="90" t="s">
        <v>103</v>
      </c>
    </row>
    <row r="72" spans="2:6" x14ac:dyDescent="0.25">
      <c r="B72" t="s">
        <v>104</v>
      </c>
    </row>
    <row r="73" spans="2:6" x14ac:dyDescent="0.25">
      <c r="B73" t="s">
        <v>105</v>
      </c>
    </row>
    <row r="74" spans="2:6" x14ac:dyDescent="0.25">
      <c r="B74" s="92"/>
    </row>
    <row r="79" spans="2:6" x14ac:dyDescent="0.25">
      <c r="B79" s="9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9"/>
  <sheetViews>
    <sheetView showGridLines="0" zoomScale="70" zoomScaleNormal="70" workbookViewId="0">
      <selection activeCell="C24" sqref="C24"/>
    </sheetView>
  </sheetViews>
  <sheetFormatPr defaultRowHeight="15" x14ac:dyDescent="0.25"/>
  <cols>
    <col min="1" max="1" width="18" bestFit="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x14ac:dyDescent="0.25">
      <c r="B1" s="23" t="s">
        <v>157</v>
      </c>
      <c r="D1" s="23"/>
      <c r="E1" s="2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31" customFormat="1" ht="48.75" customHeight="1" x14ac:dyDescent="0.25">
      <c r="A2" s="26" t="s">
        <v>2</v>
      </c>
      <c r="B2" s="26" t="s">
        <v>3</v>
      </c>
      <c r="C2" s="26" t="s">
        <v>4</v>
      </c>
      <c r="D2" s="27" t="s">
        <v>5</v>
      </c>
      <c r="E2" s="28" t="s">
        <v>6</v>
      </c>
      <c r="F2" s="28" t="s">
        <v>7</v>
      </c>
      <c r="G2" s="5" t="s">
        <v>8</v>
      </c>
      <c r="H2" s="5" t="s">
        <v>9</v>
      </c>
      <c r="I2" s="6" t="s">
        <v>10</v>
      </c>
      <c r="J2" s="3" t="s">
        <v>11</v>
      </c>
      <c r="K2" s="4"/>
      <c r="L2" s="4"/>
      <c r="M2" s="4"/>
      <c r="N2" s="4"/>
      <c r="O2" s="4"/>
      <c r="P2" s="4"/>
      <c r="Q2" s="4"/>
      <c r="R2" s="4"/>
      <c r="S2" s="4"/>
      <c r="T2" s="29"/>
      <c r="U2" s="29"/>
      <c r="V2" s="29"/>
      <c r="W2" s="29"/>
      <c r="X2" s="29"/>
      <c r="Y2" s="29"/>
      <c r="Z2" s="30"/>
      <c r="AA2" s="29"/>
      <c r="AB2" s="29"/>
    </row>
    <row r="3" spans="1:28" x14ac:dyDescent="0.25">
      <c r="A3" s="3"/>
      <c r="B3" s="26" t="s">
        <v>12</v>
      </c>
      <c r="C3" s="10" t="s">
        <v>13</v>
      </c>
      <c r="D3" s="10" t="s">
        <v>13</v>
      </c>
      <c r="E3" s="10" t="s">
        <v>13</v>
      </c>
      <c r="F3" s="10" t="s">
        <v>13</v>
      </c>
      <c r="G3" s="10"/>
      <c r="H3" s="3"/>
      <c r="I3" s="3"/>
      <c r="J3" s="33"/>
      <c r="K3" s="34"/>
      <c r="L3" s="35"/>
      <c r="M3" s="35"/>
      <c r="N3" s="35"/>
      <c r="O3" s="35"/>
      <c r="P3" s="35"/>
      <c r="Q3" s="36"/>
      <c r="R3" s="37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A4" s="3"/>
      <c r="B4" s="26" t="s">
        <v>14</v>
      </c>
      <c r="C4" s="10">
        <v>50</v>
      </c>
      <c r="D4" s="10" t="s">
        <v>13</v>
      </c>
      <c r="E4" s="10" t="s">
        <v>13</v>
      </c>
      <c r="F4" s="10" t="s">
        <v>13</v>
      </c>
      <c r="G4" s="10"/>
      <c r="H4" s="10"/>
      <c r="I4" s="10" t="s">
        <v>13</v>
      </c>
      <c r="J4" s="33"/>
      <c r="K4" s="34"/>
      <c r="L4" s="35"/>
      <c r="M4" s="35"/>
      <c r="N4" s="35"/>
      <c r="O4" s="35"/>
      <c r="P4" s="35"/>
      <c r="Q4" s="38"/>
      <c r="R4" s="38"/>
      <c r="S4" s="35"/>
      <c r="T4" s="35"/>
      <c r="U4" s="35"/>
      <c r="V4" s="4"/>
      <c r="W4" s="4"/>
      <c r="X4" s="4"/>
      <c r="Y4" s="4"/>
      <c r="Z4" s="4"/>
      <c r="AA4" s="4"/>
      <c r="AB4" s="4"/>
    </row>
    <row r="5" spans="1:28" ht="17.25" x14ac:dyDescent="0.25">
      <c r="A5" s="20" t="s">
        <v>15</v>
      </c>
      <c r="B5" s="26" t="s">
        <v>16</v>
      </c>
      <c r="C5" s="10">
        <v>13000</v>
      </c>
      <c r="D5" s="39">
        <f>2.9*1.31</f>
        <v>3.7989999999999999</v>
      </c>
      <c r="E5" s="10">
        <f>C5*D5</f>
        <v>49387</v>
      </c>
      <c r="F5" s="10" t="s">
        <v>13</v>
      </c>
      <c r="G5" s="40" t="s">
        <v>17</v>
      </c>
      <c r="H5" s="10">
        <f>E5</f>
        <v>49387</v>
      </c>
      <c r="I5" s="10" t="s">
        <v>18</v>
      </c>
      <c r="J5" s="33">
        <f t="shared" ref="J5:J27" si="0">H5/$H$28</f>
        <v>7.6591248678364074E-2</v>
      </c>
      <c r="K5" s="34"/>
      <c r="L5" s="4"/>
      <c r="M5" s="4"/>
      <c r="N5" s="4"/>
      <c r="O5" s="4"/>
      <c r="P5" s="4"/>
      <c r="Q5" s="41"/>
      <c r="R5" s="41"/>
      <c r="S5" s="42"/>
      <c r="T5" s="42"/>
      <c r="U5" s="42"/>
      <c r="V5" s="4"/>
      <c r="W5" s="4"/>
      <c r="X5" s="4"/>
      <c r="Y5" s="4"/>
      <c r="Z5" s="4"/>
      <c r="AA5" s="4"/>
      <c r="AB5" s="4"/>
    </row>
    <row r="6" spans="1:28" ht="30" x14ac:dyDescent="0.25">
      <c r="A6" s="3"/>
      <c r="B6" s="8" t="s">
        <v>19</v>
      </c>
      <c r="C6" s="10">
        <v>155</v>
      </c>
      <c r="D6" s="10">
        <f>3.28*4.6</f>
        <v>15.087999999999997</v>
      </c>
      <c r="E6" s="10">
        <f>D6*C6</f>
        <v>2338.6399999999994</v>
      </c>
      <c r="F6" s="10" t="s">
        <v>13</v>
      </c>
      <c r="G6" s="40" t="s">
        <v>17</v>
      </c>
      <c r="H6" s="10">
        <f t="shared" ref="H6:H10" si="1">E6</f>
        <v>2338.6399999999994</v>
      </c>
      <c r="I6" s="6" t="s">
        <v>20</v>
      </c>
      <c r="J6" s="33">
        <f t="shared" si="0"/>
        <v>3.6268523661929114E-3</v>
      </c>
      <c r="K6" s="34"/>
      <c r="L6" s="35"/>
      <c r="M6" s="35"/>
      <c r="N6" s="43"/>
      <c r="O6" s="43"/>
      <c r="P6" s="44"/>
      <c r="Q6" s="41"/>
      <c r="R6" s="41"/>
      <c r="S6" s="42"/>
      <c r="T6" s="42"/>
      <c r="U6" s="42"/>
      <c r="V6" s="4"/>
      <c r="W6" s="4"/>
      <c r="X6" s="4"/>
      <c r="Y6" s="4"/>
      <c r="Z6" s="4"/>
      <c r="AA6" s="4"/>
      <c r="AB6" s="4"/>
    </row>
    <row r="7" spans="1:28" ht="17.25" x14ac:dyDescent="0.25">
      <c r="A7" s="3"/>
      <c r="B7" s="48" t="s">
        <v>184</v>
      </c>
      <c r="C7" s="10">
        <v>606</v>
      </c>
      <c r="D7" s="93" t="s">
        <v>106</v>
      </c>
      <c r="E7" s="10">
        <f>4588.9*C7^0.5989</f>
        <v>212878.32696622433</v>
      </c>
      <c r="F7" s="10" t="s">
        <v>13</v>
      </c>
      <c r="G7" s="40" t="s">
        <v>17</v>
      </c>
      <c r="H7" s="10">
        <f>E7</f>
        <v>212878.32696622433</v>
      </c>
      <c r="I7" s="10" t="s">
        <v>22</v>
      </c>
      <c r="J7" s="33">
        <f t="shared" si="0"/>
        <v>0.33013985216563435</v>
      </c>
      <c r="K7" s="34"/>
      <c r="L7" s="45"/>
      <c r="M7" s="35"/>
      <c r="N7" s="43"/>
      <c r="O7" s="46"/>
      <c r="P7" s="47"/>
      <c r="Q7" s="41"/>
      <c r="R7" s="41"/>
      <c r="S7" s="42"/>
      <c r="T7" s="42"/>
      <c r="U7" s="42"/>
      <c r="V7" s="4"/>
      <c r="W7" s="4"/>
      <c r="X7" s="4"/>
      <c r="Y7" s="4"/>
      <c r="Z7" s="4"/>
      <c r="AA7" s="4"/>
      <c r="AB7" s="4"/>
    </row>
    <row r="8" spans="1:28" x14ac:dyDescent="0.25">
      <c r="A8" s="3"/>
      <c r="B8" s="48" t="s">
        <v>23</v>
      </c>
      <c r="C8" s="10" t="s">
        <v>24</v>
      </c>
      <c r="D8" s="10">
        <v>3934</v>
      </c>
      <c r="E8" s="10">
        <f>D8</f>
        <v>3934</v>
      </c>
      <c r="F8" s="10" t="s">
        <v>13</v>
      </c>
      <c r="G8" s="40" t="s">
        <v>17</v>
      </c>
      <c r="H8" s="10">
        <f t="shared" si="1"/>
        <v>3934</v>
      </c>
      <c r="I8" s="10" t="s">
        <v>25</v>
      </c>
      <c r="J8" s="33">
        <f t="shared" si="0"/>
        <v>6.1009976775403298E-3</v>
      </c>
      <c r="K8" s="34"/>
      <c r="L8" s="35"/>
      <c r="M8" s="35"/>
      <c r="N8" s="43"/>
      <c r="O8" s="43"/>
      <c r="P8" s="44"/>
      <c r="Q8" s="41"/>
      <c r="R8" s="41"/>
      <c r="S8" s="42"/>
      <c r="T8" s="42"/>
      <c r="U8" s="42"/>
      <c r="V8" s="4"/>
      <c r="W8" s="4"/>
      <c r="X8" s="4"/>
      <c r="Y8" s="4"/>
      <c r="Z8" s="4"/>
      <c r="AA8" s="4"/>
      <c r="AB8" s="4"/>
    </row>
    <row r="9" spans="1:28" x14ac:dyDescent="0.25">
      <c r="A9" s="3"/>
      <c r="B9" s="48" t="s">
        <v>158</v>
      </c>
      <c r="C9" s="49">
        <f>85*0.405</f>
        <v>34.425000000000004</v>
      </c>
      <c r="D9" s="59">
        <f>8215.1*C9^0.435</f>
        <v>38295.965402906477</v>
      </c>
      <c r="E9" s="10">
        <f>D9</f>
        <v>38295.965402906477</v>
      </c>
      <c r="F9" s="10" t="s">
        <v>13</v>
      </c>
      <c r="G9" s="40" t="s">
        <v>17</v>
      </c>
      <c r="H9" s="10">
        <f t="shared" si="1"/>
        <v>38295.965402906477</v>
      </c>
      <c r="I9" s="10" t="s">
        <v>27</v>
      </c>
      <c r="J9" s="33">
        <f t="shared" si="0"/>
        <v>5.9390847987365845E-2</v>
      </c>
      <c r="K9" s="34"/>
      <c r="L9" s="35"/>
      <c r="M9" s="35"/>
      <c r="N9" s="22"/>
      <c r="O9" s="43"/>
      <c r="P9" s="44"/>
      <c r="Q9" s="41"/>
      <c r="R9" s="41"/>
      <c r="S9" s="42"/>
      <c r="T9" s="42"/>
      <c r="U9" s="42"/>
      <c r="V9" s="4"/>
      <c r="W9" s="4"/>
      <c r="X9" s="4"/>
      <c r="Y9" s="4"/>
      <c r="Z9" s="4"/>
      <c r="AA9" s="4"/>
      <c r="AB9" s="4"/>
    </row>
    <row r="10" spans="1:28" x14ac:dyDescent="0.25">
      <c r="A10" s="3"/>
      <c r="B10" s="48" t="s">
        <v>28</v>
      </c>
      <c r="C10" s="32">
        <v>1</v>
      </c>
      <c r="D10" s="10">
        <v>164.43</v>
      </c>
      <c r="E10" s="10">
        <f>D10</f>
        <v>164.43</v>
      </c>
      <c r="F10" s="10" t="s">
        <v>13</v>
      </c>
      <c r="G10" s="40" t="s">
        <v>17</v>
      </c>
      <c r="H10" s="10">
        <f t="shared" si="1"/>
        <v>164.43</v>
      </c>
      <c r="I10" s="10" t="s">
        <v>29</v>
      </c>
      <c r="J10" s="33">
        <f t="shared" si="0"/>
        <v>2.5500433353277998E-4</v>
      </c>
      <c r="K10" s="34"/>
      <c r="L10" s="51"/>
      <c r="M10" s="35"/>
      <c r="N10" s="4"/>
      <c r="O10" s="52"/>
      <c r="P10" s="4"/>
      <c r="Q10" s="41"/>
      <c r="R10" s="41"/>
      <c r="S10" s="42"/>
      <c r="T10" s="42"/>
      <c r="U10" s="42"/>
      <c r="V10" s="4"/>
      <c r="W10" s="4"/>
      <c r="X10" s="4"/>
      <c r="Y10" s="4"/>
      <c r="Z10" s="4"/>
      <c r="AA10" s="4"/>
      <c r="AB10" s="4"/>
    </row>
    <row r="11" spans="1:28" x14ac:dyDescent="0.25">
      <c r="A11" s="3"/>
      <c r="B11" s="48" t="s">
        <v>30</v>
      </c>
      <c r="C11" s="32">
        <v>1</v>
      </c>
      <c r="D11" s="10">
        <v>596.02</v>
      </c>
      <c r="E11" s="10">
        <f>D11</f>
        <v>596.02</v>
      </c>
      <c r="F11" s="10" t="s">
        <v>13</v>
      </c>
      <c r="G11" s="40" t="s">
        <v>17</v>
      </c>
      <c r="H11" s="32">
        <f>E11</f>
        <v>596.02</v>
      </c>
      <c r="I11" s="10" t="s">
        <v>29</v>
      </c>
      <c r="J11" s="33">
        <f t="shared" si="0"/>
        <v>9.2433061407411969E-4</v>
      </c>
      <c r="K11" s="34"/>
      <c r="L11" s="51"/>
      <c r="M11" s="35"/>
      <c r="N11" s="52"/>
      <c r="O11" s="52"/>
      <c r="P11" s="121"/>
      <c r="Q11" s="4"/>
      <c r="R11" s="4"/>
      <c r="S11" s="4"/>
      <c r="T11" s="4"/>
      <c r="U11" s="4"/>
    </row>
    <row r="12" spans="1:28" x14ac:dyDescent="0.25">
      <c r="A12" s="3"/>
      <c r="B12" s="20" t="s">
        <v>31</v>
      </c>
      <c r="C12" s="53"/>
      <c r="D12" s="53"/>
      <c r="E12" s="53">
        <f>SUM(E5:E11)</f>
        <v>307594.38236913079</v>
      </c>
      <c r="F12" s="53" t="s">
        <v>13</v>
      </c>
      <c r="G12" s="112" t="s">
        <v>17</v>
      </c>
      <c r="H12" s="53">
        <f>SUM(H5:H11)</f>
        <v>307594.38236913079</v>
      </c>
      <c r="I12" s="53" t="s">
        <v>32</v>
      </c>
      <c r="J12" s="113">
        <f t="shared" si="0"/>
        <v>0.4770291338227044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8" ht="30" x14ac:dyDescent="0.25">
      <c r="A13" s="3" t="s">
        <v>33</v>
      </c>
      <c r="B13" s="108" t="s">
        <v>34</v>
      </c>
      <c r="C13" s="10">
        <v>3</v>
      </c>
      <c r="D13" s="10">
        <f>D8</f>
        <v>3934</v>
      </c>
      <c r="E13" s="106">
        <f>D13*(1+F13)^15+D13*(1+F13)^30+D13*(1+F13)^45</f>
        <v>30554.692419623898</v>
      </c>
      <c r="F13" s="102">
        <v>0.03</v>
      </c>
      <c r="G13" s="54">
        <f>1/(1+F13)^50</f>
        <v>0.22810707978975397</v>
      </c>
      <c r="H13" s="10">
        <f>G13*E13</f>
        <v>6969.7416617145391</v>
      </c>
      <c r="I13" s="10" t="s">
        <v>32</v>
      </c>
      <c r="J13" s="33">
        <f t="shared" si="0"/>
        <v>1.0808941965220253E-2</v>
      </c>
      <c r="K13" s="34"/>
      <c r="L13" s="4"/>
      <c r="M13" s="122"/>
      <c r="N13" s="122"/>
      <c r="O13" s="122"/>
      <c r="P13" s="4"/>
      <c r="Q13" s="4"/>
      <c r="R13" s="4"/>
      <c r="S13" s="4"/>
      <c r="T13" s="4"/>
      <c r="U13" s="4"/>
    </row>
    <row r="14" spans="1:28" ht="30" x14ac:dyDescent="0.25">
      <c r="A14" s="11"/>
      <c r="B14" s="48" t="s">
        <v>35</v>
      </c>
      <c r="C14" s="10">
        <v>2</v>
      </c>
      <c r="D14" s="10">
        <f>D9</f>
        <v>38295.965402906477</v>
      </c>
      <c r="E14" s="106">
        <f>D14*(1+F14)^20+D14*(1+F14)^40</f>
        <v>194089.65978207043</v>
      </c>
      <c r="F14" s="102">
        <v>0.03</v>
      </c>
      <c r="G14" s="54">
        <f t="shared" ref="G14:G15" si="2">1/(1+F14)^50</f>
        <v>0.22810707978975397</v>
      </c>
      <c r="H14" s="10">
        <f>G14*E14</f>
        <v>44273.22551027494</v>
      </c>
      <c r="I14" s="10" t="s">
        <v>32</v>
      </c>
      <c r="J14" s="33">
        <f t="shared" si="0"/>
        <v>6.8660611595172005E-2</v>
      </c>
      <c r="K14" s="34"/>
      <c r="L14" s="4"/>
      <c r="M14" s="42"/>
      <c r="N14" s="42"/>
      <c r="O14" s="42"/>
      <c r="P14" s="42"/>
      <c r="Q14" s="4"/>
      <c r="R14" s="4"/>
      <c r="S14" s="4"/>
      <c r="T14" s="4"/>
      <c r="U14" s="4"/>
    </row>
    <row r="15" spans="1:28" ht="45" x14ac:dyDescent="0.25">
      <c r="A15" s="3"/>
      <c r="B15" s="48" t="s">
        <v>36</v>
      </c>
      <c r="C15" s="10">
        <v>6</v>
      </c>
      <c r="D15" s="10">
        <f>D10</f>
        <v>164.43</v>
      </c>
      <c r="E15" s="106">
        <f>D15*(1+F15)^7.5+D15*(1+F15)^15+D15*(1+F15)^22.5+D15*(1+F15)^30+D15*(1+F15)^37.5+D15*(1+F15)^45</f>
        <v>2300.2635812345779</v>
      </c>
      <c r="F15" s="102">
        <v>0.03</v>
      </c>
      <c r="G15" s="54">
        <f t="shared" si="2"/>
        <v>0.22810707978975397</v>
      </c>
      <c r="H15" s="10">
        <f>G15*E15</f>
        <v>524.70640826214105</v>
      </c>
      <c r="I15" s="10" t="s">
        <v>32</v>
      </c>
      <c r="J15" s="33">
        <f t="shared" si="0"/>
        <v>8.1373476822517801E-4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8" ht="45" x14ac:dyDescent="0.25">
      <c r="A16" s="55">
        <f>D19*10/20</f>
        <v>19147.982701453238</v>
      </c>
      <c r="B16" s="48" t="s">
        <v>37</v>
      </c>
      <c r="C16" s="32">
        <v>6</v>
      </c>
      <c r="D16" s="10">
        <f>D11</f>
        <v>596.02</v>
      </c>
      <c r="E16" s="106">
        <f>D16*(1+F16)^7.5+D16*(1+F16)^15+D16*(1+F16)^22.5+D16*(1+F16)^30+D16*(1+F16)^37.5+D16*(1+F16)^45</f>
        <v>8337.9133958975435</v>
      </c>
      <c r="F16" s="102">
        <v>0.03</v>
      </c>
      <c r="G16" s="54">
        <f>1/(1+F16)^50</f>
        <v>0.22810707978975397</v>
      </c>
      <c r="H16" s="10">
        <f>G16*E16</f>
        <v>1901.9370762780595</v>
      </c>
      <c r="I16" s="10" t="s">
        <v>32</v>
      </c>
      <c r="J16" s="33">
        <f t="shared" si="0"/>
        <v>2.9495967679716031E-3</v>
      </c>
      <c r="K16" s="34"/>
      <c r="L16" s="4"/>
      <c r="M16" s="35"/>
      <c r="N16" s="52"/>
      <c r="O16" s="52"/>
      <c r="P16" s="121"/>
      <c r="Q16" s="4"/>
      <c r="R16" s="4"/>
      <c r="S16" s="4"/>
      <c r="T16" s="4"/>
      <c r="U16" s="4"/>
    </row>
    <row r="17" spans="1:22" x14ac:dyDescent="0.25">
      <c r="A17" s="11"/>
      <c r="B17" s="56" t="s">
        <v>38</v>
      </c>
      <c r="C17" s="53"/>
      <c r="D17" s="53">
        <f>SUM(D13:D16)</f>
        <v>42990.415402906474</v>
      </c>
      <c r="E17" s="53">
        <f>SUM(E13:E16)</f>
        <v>235282.52917882646</v>
      </c>
      <c r="F17" s="111" t="s">
        <v>13</v>
      </c>
      <c r="G17" s="112" t="s">
        <v>32</v>
      </c>
      <c r="H17" s="53">
        <f>SUM(H13:H16)</f>
        <v>53669.610656529687</v>
      </c>
      <c r="I17" s="53" t="s">
        <v>32</v>
      </c>
      <c r="J17" s="113">
        <f t="shared" si="0"/>
        <v>8.3232885096589049E-2</v>
      </c>
      <c r="K17" s="34"/>
      <c r="L17" s="74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3" t="s">
        <v>39</v>
      </c>
      <c r="B18" s="109" t="s">
        <v>40</v>
      </c>
      <c r="C18" s="10">
        <v>0.66666666666666663</v>
      </c>
      <c r="D18" s="10">
        <f>D13</f>
        <v>3934</v>
      </c>
      <c r="E18" s="106">
        <f>(10/15)*D18*(1+F18)^50</f>
        <v>11497.524185062452</v>
      </c>
      <c r="F18" s="102">
        <v>0.03</v>
      </c>
      <c r="G18" s="54">
        <f>1/(1+F18)^50</f>
        <v>0.22810707978975397</v>
      </c>
      <c r="H18" s="106">
        <f>E18*G18</f>
        <v>2622.6666666666665</v>
      </c>
      <c r="I18" s="10" t="s">
        <v>41</v>
      </c>
      <c r="J18" s="33">
        <f t="shared" si="0"/>
        <v>4.0673317850268859E-3</v>
      </c>
      <c r="K18" s="34"/>
      <c r="L18" s="4"/>
      <c r="M18" s="122"/>
      <c r="N18" s="122"/>
      <c r="O18" s="122"/>
      <c r="P18" s="4"/>
      <c r="Q18" s="4"/>
      <c r="R18" s="4"/>
      <c r="S18" s="4"/>
      <c r="T18" s="4"/>
      <c r="U18" s="4"/>
    </row>
    <row r="19" spans="1:22" x14ac:dyDescent="0.25">
      <c r="A19" s="11"/>
      <c r="B19" s="58" t="s">
        <v>42</v>
      </c>
      <c r="C19" s="10">
        <v>0.5</v>
      </c>
      <c r="D19" s="10">
        <f>D14</f>
        <v>38295.965402906477</v>
      </c>
      <c r="E19" s="106">
        <f>(10/20)*D19*(1+F19)^50</f>
        <v>83942.956611000016</v>
      </c>
      <c r="F19" s="102">
        <v>0.03</v>
      </c>
      <c r="G19" s="54">
        <f t="shared" ref="G19:G21" si="3">1/(1+F19)^50</f>
        <v>0.22810707978975397</v>
      </c>
      <c r="H19" s="106">
        <f>E19*G19</f>
        <v>19147.982701453235</v>
      </c>
      <c r="I19" s="10" t="s">
        <v>41</v>
      </c>
      <c r="J19" s="33">
        <f t="shared" si="0"/>
        <v>2.9695423993682916E-2</v>
      </c>
      <c r="K19" s="34"/>
      <c r="L19" s="74"/>
      <c r="M19" s="42"/>
      <c r="N19" s="42"/>
      <c r="O19" s="42"/>
      <c r="P19" s="42"/>
      <c r="Q19" s="4"/>
      <c r="R19" s="4"/>
      <c r="S19" s="4"/>
      <c r="T19" s="4"/>
      <c r="U19" s="4"/>
    </row>
    <row r="20" spans="1:22" x14ac:dyDescent="0.25">
      <c r="A20" s="11"/>
      <c r="B20" s="48" t="s">
        <v>43</v>
      </c>
      <c r="C20" s="10">
        <f>2.5/7.5</f>
        <v>0.33333333333333331</v>
      </c>
      <c r="D20" s="10">
        <f>D15</f>
        <v>164.43</v>
      </c>
      <c r="E20" s="106">
        <f>(2.5/7.5)*D20*(1+F20)^50</f>
        <v>240.28188888533541</v>
      </c>
      <c r="F20" s="102">
        <v>0.03</v>
      </c>
      <c r="G20" s="54">
        <f t="shared" si="3"/>
        <v>0.22810707978975397</v>
      </c>
      <c r="H20" s="106">
        <f t="shared" ref="H20:H21" si="4">E20*G20</f>
        <v>54.81</v>
      </c>
      <c r="I20" s="10" t="s">
        <v>41</v>
      </c>
      <c r="J20" s="33">
        <f t="shared" si="0"/>
        <v>8.5001444510926651E-5</v>
      </c>
      <c r="K20" s="34"/>
      <c r="L20" s="74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11"/>
      <c r="B21" s="48" t="s">
        <v>44</v>
      </c>
      <c r="C21" s="10">
        <f>2.5/7.5</f>
        <v>0.33333333333333331</v>
      </c>
      <c r="D21" s="10">
        <f>D16</f>
        <v>596.02</v>
      </c>
      <c r="E21" s="106">
        <f>(2.5/7.5)*D21*(1+F21)^50</f>
        <v>870.96522175659914</v>
      </c>
      <c r="F21" s="102">
        <v>0.03</v>
      </c>
      <c r="G21" s="54">
        <f t="shared" si="3"/>
        <v>0.22810707978975397</v>
      </c>
      <c r="H21" s="106">
        <f t="shared" si="4"/>
        <v>198.67333333333332</v>
      </c>
      <c r="I21" s="10" t="s">
        <v>41</v>
      </c>
      <c r="J21" s="33">
        <f t="shared" si="0"/>
        <v>3.0811020469137323E-4</v>
      </c>
      <c r="K21" s="34"/>
      <c r="L21" s="74"/>
      <c r="M21" s="4"/>
      <c r="N21" s="4"/>
      <c r="O21" s="4"/>
      <c r="P21" s="4"/>
      <c r="Q21" s="42"/>
      <c r="R21" s="42"/>
      <c r="S21" s="4"/>
      <c r="T21" s="4"/>
      <c r="U21" s="75"/>
      <c r="V21" s="60"/>
    </row>
    <row r="22" spans="1:22" s="21" customFormat="1" x14ac:dyDescent="0.25">
      <c r="A22" s="20"/>
      <c r="B22" s="20" t="s">
        <v>45</v>
      </c>
      <c r="C22" s="53"/>
      <c r="D22" s="53">
        <f>SUM(D18:D21)</f>
        <v>42990.415402906474</v>
      </c>
      <c r="E22" s="53">
        <f>SUM(E18:E21)</f>
        <v>96551.727906704415</v>
      </c>
      <c r="F22" s="111" t="s">
        <v>13</v>
      </c>
      <c r="G22" s="112" t="s">
        <v>32</v>
      </c>
      <c r="H22" s="53">
        <f>SUM(H18:H21)</f>
        <v>22024.132701453236</v>
      </c>
      <c r="I22" s="53" t="s">
        <v>32</v>
      </c>
      <c r="J22" s="113">
        <f t="shared" si="0"/>
        <v>3.4155867427912101E-2</v>
      </c>
      <c r="K22" s="34"/>
      <c r="L22" s="123"/>
      <c r="M22" s="35"/>
      <c r="N22" s="52"/>
      <c r="O22" s="52"/>
      <c r="P22" s="121"/>
      <c r="Q22" s="124"/>
      <c r="R22" s="124"/>
      <c r="S22" s="22"/>
      <c r="T22" s="22"/>
      <c r="U22" s="125"/>
      <c r="V22" s="61"/>
    </row>
    <row r="23" spans="1:22" ht="16.5" customHeight="1" x14ac:dyDescent="0.25">
      <c r="A23" s="56" t="s">
        <v>46</v>
      </c>
      <c r="B23" s="48" t="s">
        <v>47</v>
      </c>
      <c r="C23" s="32" t="s">
        <v>48</v>
      </c>
      <c r="D23" s="10">
        <f>7108*0.02*20</f>
        <v>2843.2</v>
      </c>
      <c r="E23" s="10">
        <f>D23</f>
        <v>2843.2</v>
      </c>
      <c r="F23" s="102">
        <v>0.03</v>
      </c>
      <c r="G23" s="62">
        <f>((1+F23)^50-1)/(0.03*(1+F23)^50)</f>
        <v>25.7297640070082</v>
      </c>
      <c r="H23" s="10">
        <f>E23*G23</f>
        <v>73154.865024725703</v>
      </c>
      <c r="I23" s="63" t="s">
        <v>49</v>
      </c>
      <c r="J23" s="33">
        <f t="shared" si="0"/>
        <v>0.11345136289187285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</row>
    <row r="24" spans="1:22" ht="21" customHeight="1" x14ac:dyDescent="0.25">
      <c r="A24" s="3"/>
      <c r="B24" s="64" t="s">
        <v>50</v>
      </c>
      <c r="C24" s="32" t="s">
        <v>48</v>
      </c>
      <c r="D24" s="10">
        <f>7108*0.02*7</f>
        <v>995.12</v>
      </c>
      <c r="E24" s="10">
        <f>D24</f>
        <v>995.12</v>
      </c>
      <c r="F24" s="102">
        <v>0.03</v>
      </c>
      <c r="G24" s="62">
        <f t="shared" ref="G24:G26" si="5">((1+F24)^50-1)/(0.03*(1+F24)^50)</f>
        <v>25.7297640070082</v>
      </c>
      <c r="H24" s="10">
        <f>E24*G24</f>
        <v>25604.202758653999</v>
      </c>
      <c r="I24" s="63" t="s">
        <v>49</v>
      </c>
      <c r="J24" s="33">
        <f t="shared" si="0"/>
        <v>3.9707977012155504E-2</v>
      </c>
      <c r="K24" s="34"/>
      <c r="L24" s="74"/>
      <c r="M24" s="122"/>
      <c r="N24" s="122"/>
      <c r="O24" s="122"/>
      <c r="P24" s="122"/>
      <c r="Q24" s="122"/>
      <c r="R24" s="122"/>
      <c r="S24" s="4"/>
      <c r="T24" s="4"/>
      <c r="U24" s="4"/>
    </row>
    <row r="25" spans="1:22" ht="19.5" customHeight="1" x14ac:dyDescent="0.25">
      <c r="A25" s="3"/>
      <c r="B25" s="64" t="s">
        <v>51</v>
      </c>
      <c r="C25" s="63" t="s">
        <v>52</v>
      </c>
      <c r="D25" s="107">
        <f>0.017</f>
        <v>1.7000000000000001E-2</v>
      </c>
      <c r="E25" s="63">
        <f>E12*D25</f>
        <v>5229.1045002752235</v>
      </c>
      <c r="F25" s="102">
        <v>0.03</v>
      </c>
      <c r="G25" s="62">
        <f t="shared" si="5"/>
        <v>25.7297640070082</v>
      </c>
      <c r="H25" s="10">
        <f>E25*G25</f>
        <v>134543.62476006604</v>
      </c>
      <c r="I25" s="63" t="s">
        <v>53</v>
      </c>
      <c r="J25" s="33">
        <f t="shared" si="0"/>
        <v>0.2086553996413372</v>
      </c>
      <c r="K25" s="34"/>
      <c r="L25" s="74"/>
      <c r="M25" s="42"/>
      <c r="N25" s="42"/>
      <c r="O25" s="42"/>
      <c r="P25" s="42"/>
      <c r="Q25" s="42"/>
      <c r="R25" s="42"/>
      <c r="S25" s="42"/>
      <c r="T25" s="4"/>
      <c r="U25" s="75"/>
    </row>
    <row r="26" spans="1:22" ht="34.5" customHeight="1" x14ac:dyDescent="0.25">
      <c r="A26" s="3"/>
      <c r="B26" s="108" t="s">
        <v>54</v>
      </c>
      <c r="C26" s="110">
        <v>0.3</v>
      </c>
      <c r="D26" s="110">
        <v>0.10299999999999999</v>
      </c>
      <c r="E26" s="63">
        <f>D26*C26*150*606</f>
        <v>2808.81</v>
      </c>
      <c r="F26" s="102">
        <v>0.03</v>
      </c>
      <c r="G26" s="62">
        <f t="shared" si="5"/>
        <v>25.7297640070082</v>
      </c>
      <c r="H26" s="10">
        <f>E26*G26</f>
        <v>72270.018440524698</v>
      </c>
      <c r="I26" s="63" t="s">
        <v>182</v>
      </c>
      <c r="J26" s="33">
        <f t="shared" si="0"/>
        <v>0.11207910896325317</v>
      </c>
      <c r="K26" s="34"/>
      <c r="L26" s="4"/>
      <c r="M26" s="4"/>
      <c r="N26" s="65"/>
      <c r="O26" s="4"/>
      <c r="P26" s="42"/>
      <c r="Q26" s="42"/>
      <c r="R26" s="4"/>
      <c r="S26" s="4"/>
      <c r="T26" s="4"/>
      <c r="U26" s="4"/>
    </row>
    <row r="27" spans="1:22" ht="30.75" customHeight="1" x14ac:dyDescent="0.25">
      <c r="A27" s="3"/>
      <c r="B27" s="66" t="s">
        <v>55</v>
      </c>
      <c r="C27" s="53"/>
      <c r="D27" s="53"/>
      <c r="E27" s="53">
        <f>SUM(E23:E26)</f>
        <v>11876.234500275223</v>
      </c>
      <c r="F27" s="57"/>
      <c r="G27" s="57"/>
      <c r="H27" s="53">
        <f>SUM(H23:H26)</f>
        <v>305572.71098397044</v>
      </c>
      <c r="I27" s="53" t="s">
        <v>32</v>
      </c>
      <c r="J27" s="113">
        <f t="shared" si="0"/>
        <v>0.47389384850861871</v>
      </c>
      <c r="K27" s="34"/>
      <c r="L27" s="4"/>
      <c r="M27" s="35"/>
      <c r="N27" s="52"/>
      <c r="O27" s="52"/>
      <c r="P27" s="121"/>
      <c r="Q27" s="124"/>
      <c r="R27" s="124"/>
      <c r="S27" s="22"/>
      <c r="T27" s="4"/>
      <c r="U27" s="4"/>
    </row>
    <row r="28" spans="1:22" ht="18.75" x14ac:dyDescent="0.3">
      <c r="A28" s="16"/>
      <c r="B28" s="114" t="s">
        <v>56</v>
      </c>
      <c r="C28" s="115"/>
      <c r="D28" s="115"/>
      <c r="E28" s="115">
        <f>E12+E17-E22+E27</f>
        <v>458201.41814152803</v>
      </c>
      <c r="F28" s="115"/>
      <c r="G28" s="115"/>
      <c r="H28" s="115">
        <f>H12+H17-H22+H27</f>
        <v>644812.57130817766</v>
      </c>
      <c r="I28" s="117"/>
      <c r="J28" s="116">
        <f>J12+J17-J22+J27</f>
        <v>1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s="21" customFormat="1" ht="30" x14ac:dyDescent="0.25">
      <c r="B29" s="2" t="s">
        <v>164</v>
      </c>
      <c r="C29" s="20" t="s">
        <v>156</v>
      </c>
      <c r="D29" s="20" t="s">
        <v>156</v>
      </c>
      <c r="E29" s="20" t="s">
        <v>156</v>
      </c>
      <c r="F29" s="20" t="s">
        <v>156</v>
      </c>
      <c r="G29" s="20" t="s">
        <v>156</v>
      </c>
      <c r="H29" s="118">
        <f>H28/G33</f>
        <v>0.14187295298309741</v>
      </c>
      <c r="I29" s="21" t="s">
        <v>162</v>
      </c>
      <c r="J29" s="67">
        <f>MAX(J3:J27)</f>
        <v>0.4770291338227044</v>
      </c>
      <c r="K29" s="68"/>
      <c r="L29" s="22"/>
      <c r="M29" s="122"/>
      <c r="N29" s="122"/>
      <c r="O29" s="122"/>
      <c r="P29" s="122"/>
      <c r="Q29" s="122"/>
      <c r="R29" s="122"/>
      <c r="S29" s="4"/>
      <c r="T29" s="22"/>
      <c r="U29" s="22"/>
    </row>
    <row r="30" spans="1:22" ht="27" thickBot="1" x14ac:dyDescent="0.45">
      <c r="B30" s="128" t="s">
        <v>163</v>
      </c>
      <c r="C30" s="17"/>
      <c r="D30" s="17"/>
      <c r="E30" s="17"/>
      <c r="F30" s="17"/>
      <c r="G30" s="17"/>
      <c r="H30" s="17"/>
      <c r="I30" s="69"/>
      <c r="J30" s="4"/>
      <c r="K30" s="70"/>
      <c r="L30" s="126"/>
      <c r="M30" s="4"/>
      <c r="N30" s="42"/>
      <c r="O30" s="42"/>
      <c r="P30" s="42"/>
      <c r="Q30" s="42"/>
      <c r="R30" s="42"/>
      <c r="S30" s="42"/>
      <c r="T30" s="42"/>
      <c r="U30" s="4"/>
    </row>
    <row r="31" spans="1:22" ht="30" x14ac:dyDescent="0.25">
      <c r="B31" s="130" t="s">
        <v>57</v>
      </c>
      <c r="C31" s="131" t="s">
        <v>58</v>
      </c>
      <c r="D31" s="129" t="s">
        <v>165</v>
      </c>
      <c r="E31" s="2" t="s">
        <v>59</v>
      </c>
      <c r="F31" s="2"/>
      <c r="G31" s="2" t="s">
        <v>60</v>
      </c>
      <c r="H31" s="3"/>
      <c r="J31" s="4"/>
      <c r="K31" s="70"/>
      <c r="L31" s="126"/>
      <c r="M31" s="4"/>
      <c r="N31" s="4"/>
      <c r="O31" s="4"/>
      <c r="P31" s="4"/>
      <c r="Q31" s="4"/>
      <c r="R31" s="4"/>
      <c r="S31" s="4"/>
      <c r="T31" s="4"/>
      <c r="U31" s="4"/>
    </row>
    <row r="32" spans="1:22" s="17" customFormat="1" x14ac:dyDescent="0.25">
      <c r="B32" s="132">
        <v>5</v>
      </c>
      <c r="C32" s="133">
        <f>B32/1000</f>
        <v>5.0000000000000001E-3</v>
      </c>
      <c r="D32" s="87" t="s">
        <v>61</v>
      </c>
      <c r="E32" s="3"/>
      <c r="F32" s="3"/>
      <c r="G32" s="3"/>
      <c r="H32" s="7" t="s">
        <v>58</v>
      </c>
      <c r="I32" s="71"/>
      <c r="J32" s="72"/>
    </row>
    <row r="33" spans="2:30" ht="15.75" thickBot="1" x14ac:dyDescent="0.3">
      <c r="B33" s="134">
        <f>100</f>
        <v>100</v>
      </c>
      <c r="C33" s="135">
        <f>100/1000</f>
        <v>0.1</v>
      </c>
      <c r="D33" s="87">
        <v>606</v>
      </c>
      <c r="E33" s="3">
        <f>D33*150</f>
        <v>90900</v>
      </c>
      <c r="F33" s="3"/>
      <c r="G33" s="3">
        <f>E33*50</f>
        <v>4545000</v>
      </c>
      <c r="H33" s="73">
        <f>H28/G33</f>
        <v>0.14187295298309741</v>
      </c>
      <c r="I33" s="4"/>
      <c r="J33" s="70"/>
    </row>
    <row r="34" spans="2:30" ht="15.75" customHeight="1" x14ac:dyDescent="0.25">
      <c r="J34" s="70"/>
    </row>
    <row r="35" spans="2:30" x14ac:dyDescent="0.25">
      <c r="I35" s="60"/>
    </row>
    <row r="36" spans="2:30" x14ac:dyDescent="0.25">
      <c r="D36" s="70"/>
      <c r="E36" s="60"/>
      <c r="F36" s="60"/>
      <c r="H36" s="17"/>
    </row>
    <row r="37" spans="2:30" ht="21" x14ac:dyDescent="0.35">
      <c r="C37" s="127" t="s">
        <v>168</v>
      </c>
      <c r="E37" s="60"/>
      <c r="F37" s="60"/>
    </row>
    <row r="39" spans="2:30" x14ac:dyDescent="0.25">
      <c r="B39" s="4"/>
      <c r="C39" s="4"/>
      <c r="D39" s="4"/>
      <c r="E39" s="4"/>
      <c r="F39" s="4"/>
      <c r="I39" s="71"/>
      <c r="J39" s="71"/>
      <c r="K39" s="71"/>
      <c r="L39" s="71"/>
      <c r="M39" s="71"/>
      <c r="Y39" s="4"/>
      <c r="AD39" s="4"/>
    </row>
    <row r="40" spans="2:30" x14ac:dyDescent="0.25">
      <c r="I40" s="76"/>
      <c r="J40" s="71"/>
      <c r="K40" s="71"/>
      <c r="L40" s="71"/>
      <c r="M40" s="71"/>
      <c r="N40" s="4"/>
      <c r="Y40" s="4"/>
      <c r="AD40" s="4"/>
    </row>
    <row r="41" spans="2:30" ht="23.25" x14ac:dyDescent="0.35">
      <c r="B41" s="138" t="s">
        <v>183</v>
      </c>
      <c r="H41" s="3" t="s">
        <v>62</v>
      </c>
      <c r="I41" s="71"/>
      <c r="J41" s="71"/>
      <c r="K41" s="71"/>
      <c r="L41" s="71"/>
      <c r="M41" s="71"/>
      <c r="N41" s="4"/>
      <c r="Y41" s="4"/>
      <c r="AD41" s="4"/>
    </row>
    <row r="42" spans="2:30" ht="31.5" x14ac:dyDescent="0.35">
      <c r="B42" s="2"/>
      <c r="C42" s="2" t="s">
        <v>63</v>
      </c>
      <c r="D42" s="2" t="s">
        <v>64</v>
      </c>
      <c r="E42" s="2" t="s">
        <v>65</v>
      </c>
      <c r="F42" s="2"/>
      <c r="G42" s="8" t="s">
        <v>66</v>
      </c>
      <c r="H42" s="15" t="s">
        <v>67</v>
      </c>
      <c r="I42" s="2" t="s">
        <v>68</v>
      </c>
      <c r="J42" s="71"/>
      <c r="K42" s="4"/>
      <c r="L42" s="4"/>
      <c r="M42" s="4"/>
      <c r="N42" s="4"/>
      <c r="O42" s="4"/>
      <c r="P42" s="4"/>
      <c r="W42" s="4"/>
      <c r="X42" s="4"/>
      <c r="Y42" s="4"/>
      <c r="Z42" s="4"/>
      <c r="AA42" s="4"/>
    </row>
    <row r="43" spans="2:30" x14ac:dyDescent="0.25">
      <c r="B43" s="3" t="s">
        <v>69</v>
      </c>
      <c r="C43" s="3" t="s">
        <v>70</v>
      </c>
      <c r="D43" s="3" t="s">
        <v>71</v>
      </c>
      <c r="E43" s="3" t="s">
        <v>72</v>
      </c>
      <c r="F43" s="3"/>
      <c r="G43" s="3" t="s">
        <v>73</v>
      </c>
      <c r="H43" s="16"/>
      <c r="I43" s="3"/>
      <c r="J43" s="71"/>
      <c r="K43" s="4"/>
      <c r="L43" s="4"/>
      <c r="M43" s="4"/>
      <c r="N43" s="4"/>
      <c r="O43" s="4"/>
      <c r="P43" s="4"/>
      <c r="W43" s="4"/>
      <c r="X43" s="4"/>
      <c r="Y43" s="4"/>
      <c r="Z43" s="4"/>
      <c r="AA43" s="4"/>
    </row>
    <row r="44" spans="2:30" ht="15.75" x14ac:dyDescent="0.25">
      <c r="B44" s="77" t="s">
        <v>74</v>
      </c>
      <c r="C44" s="3"/>
      <c r="D44" s="3" t="s">
        <v>75</v>
      </c>
      <c r="E44" s="3" t="s">
        <v>76</v>
      </c>
      <c r="F44" s="3"/>
      <c r="G44" s="3">
        <f>150*24</f>
        <v>3600</v>
      </c>
      <c r="H44" s="16"/>
      <c r="I44" s="3"/>
      <c r="J44" s="71"/>
      <c r="K44" s="4"/>
      <c r="L44" s="4"/>
      <c r="M44" s="78"/>
      <c r="N44" s="4"/>
      <c r="O44" s="4"/>
      <c r="P44" s="4"/>
      <c r="W44" s="4"/>
      <c r="X44" s="4"/>
      <c r="Y44" s="78"/>
      <c r="Z44" s="78"/>
      <c r="AA44" s="4"/>
    </row>
    <row r="45" spans="2:30" x14ac:dyDescent="0.25">
      <c r="B45" s="79"/>
      <c r="C45" s="3"/>
      <c r="D45" s="3"/>
      <c r="E45" s="3"/>
      <c r="F45" s="3"/>
      <c r="G45" s="55"/>
      <c r="H45" s="16"/>
      <c r="I45" s="3"/>
      <c r="J45" s="71"/>
      <c r="K45" s="4"/>
      <c r="L45" s="4"/>
      <c r="M45" s="4"/>
      <c r="N45" s="78"/>
      <c r="O45" s="78"/>
      <c r="P45" s="4"/>
      <c r="W45" s="4"/>
      <c r="X45" s="78"/>
      <c r="Y45" s="78"/>
      <c r="Z45" s="78"/>
      <c r="AA45" s="4"/>
    </row>
    <row r="46" spans="2:30" x14ac:dyDescent="0.25">
      <c r="B46" s="3"/>
      <c r="C46" s="3"/>
      <c r="D46" s="3"/>
      <c r="E46" s="3"/>
      <c r="F46" s="3"/>
      <c r="G46" s="55"/>
      <c r="H46" s="16"/>
      <c r="I46" s="3"/>
      <c r="J46" s="71"/>
      <c r="K46" s="78"/>
      <c r="L46" s="120"/>
      <c r="M46" s="78"/>
      <c r="N46" s="78"/>
      <c r="O46" s="78"/>
      <c r="P46" s="4"/>
      <c r="W46" s="4"/>
      <c r="X46" s="4"/>
      <c r="Y46" s="78"/>
      <c r="Z46" s="78"/>
      <c r="AA46" s="4"/>
    </row>
    <row r="47" spans="2:30" x14ac:dyDescent="0.25">
      <c r="B47" s="80">
        <f>606/(24*3600)</f>
        <v>7.013888888888889E-3</v>
      </c>
      <c r="C47" s="3">
        <v>0.69</v>
      </c>
      <c r="D47" s="81">
        <v>70</v>
      </c>
      <c r="E47" s="3">
        <f>10.3/100</f>
        <v>0.10300000000000001</v>
      </c>
      <c r="F47" s="3"/>
      <c r="G47" s="82">
        <f>G44</f>
        <v>3600</v>
      </c>
      <c r="H47" s="83">
        <f>B47*(9807/1000)*D47*E47*G47/C47</f>
        <v>2587.5200978260877</v>
      </c>
      <c r="I47" s="55">
        <f>B47*9.807*D47*G47/C47</f>
        <v>25121.554347826092</v>
      </c>
      <c r="J47" s="71"/>
      <c r="K47" s="4"/>
      <c r="L47" s="4"/>
      <c r="M47" s="4"/>
      <c r="N47" s="4"/>
      <c r="O47" s="4"/>
      <c r="P47" s="4"/>
      <c r="W47" s="4"/>
      <c r="X47" s="78"/>
      <c r="Y47" s="78"/>
      <c r="Z47" s="78"/>
      <c r="AA47" s="4"/>
    </row>
    <row r="48" spans="2:30" ht="21" x14ac:dyDescent="0.35">
      <c r="C48" s="84"/>
      <c r="I48" s="137">
        <f>I47/(606*150)</f>
        <v>0.27636473429951697</v>
      </c>
      <c r="J48" s="4"/>
      <c r="K48" s="4"/>
      <c r="L48" s="4"/>
      <c r="M48" s="4"/>
      <c r="N48" s="4"/>
      <c r="O48" s="4"/>
      <c r="P48" s="4"/>
      <c r="W48" s="4"/>
      <c r="X48" s="4"/>
      <c r="Y48" s="4"/>
      <c r="Z48" s="4"/>
      <c r="AA48" s="4"/>
    </row>
    <row r="49" spans="1:16" x14ac:dyDescent="0.25">
      <c r="E49" s="84"/>
      <c r="F49" s="84"/>
      <c r="G49" s="85"/>
      <c r="H49" s="50"/>
      <c r="K49" s="4"/>
      <c r="L49" s="4"/>
      <c r="M49" s="4"/>
      <c r="N49" s="4"/>
      <c r="O49" s="4"/>
      <c r="P49" s="4"/>
    </row>
    <row r="50" spans="1:16" x14ac:dyDescent="0.25">
      <c r="D50" s="84"/>
    </row>
    <row r="52" spans="1:16" ht="15.75" x14ac:dyDescent="0.25">
      <c r="B52" s="119" t="s">
        <v>166</v>
      </c>
    </row>
    <row r="53" spans="1:16" x14ac:dyDescent="0.25">
      <c r="B53" s="86" t="s">
        <v>78</v>
      </c>
      <c r="G53" t="s">
        <v>87</v>
      </c>
    </row>
    <row r="54" spans="1:16" x14ac:dyDescent="0.25">
      <c r="B54" s="3" t="s">
        <v>79</v>
      </c>
      <c r="C54" s="3" t="s">
        <v>80</v>
      </c>
      <c r="D54" s="3" t="s">
        <v>81</v>
      </c>
      <c r="E54" s="3" t="s">
        <v>82</v>
      </c>
      <c r="F54" s="3"/>
      <c r="G54" s="3" t="s">
        <v>83</v>
      </c>
      <c r="H54" s="7" t="s">
        <v>84</v>
      </c>
      <c r="I54" s="4"/>
    </row>
    <row r="55" spans="1:16" ht="45.75" customHeight="1" x14ac:dyDescent="0.25">
      <c r="B55" s="3"/>
      <c r="C55" s="3" t="s">
        <v>85</v>
      </c>
      <c r="D55" s="2" t="s">
        <v>86</v>
      </c>
      <c r="E55" s="3" t="s">
        <v>1</v>
      </c>
      <c r="F55" s="3"/>
      <c r="G55" s="3" t="s">
        <v>58</v>
      </c>
      <c r="H55" s="7" t="s">
        <v>58</v>
      </c>
      <c r="I55" s="136"/>
    </row>
    <row r="56" spans="1:16" x14ac:dyDescent="0.25">
      <c r="B56" s="18">
        <f>6*0.3048</f>
        <v>1.8288000000000002</v>
      </c>
      <c r="C56" s="12">
        <f>13000/B56</f>
        <v>7108.4864391950996</v>
      </c>
      <c r="D56" s="11">
        <v>0.02</v>
      </c>
      <c r="E56" s="10">
        <f>C56*D56</f>
        <v>142.169728783902</v>
      </c>
      <c r="F56" s="10"/>
      <c r="G56" s="10">
        <f>15*1.31</f>
        <v>19.650000000000002</v>
      </c>
      <c r="H56" s="55">
        <f>5*1.31</f>
        <v>6.5500000000000007</v>
      </c>
      <c r="I56" s="124"/>
    </row>
    <row r="57" spans="1:16" x14ac:dyDescent="0.25">
      <c r="B57" s="21"/>
      <c r="D57" s="75"/>
    </row>
    <row r="58" spans="1:16" x14ac:dyDescent="0.25">
      <c r="A58" t="s">
        <v>167</v>
      </c>
      <c r="B58" s="19"/>
    </row>
    <row r="59" spans="1:16" x14ac:dyDescent="0.25">
      <c r="B59" s="19"/>
    </row>
    <row r="60" spans="1:16" x14ac:dyDescent="0.25">
      <c r="B60" t="s">
        <v>92</v>
      </c>
    </row>
    <row r="61" spans="1:16" x14ac:dyDescent="0.25">
      <c r="B61" s="89" t="s">
        <v>93</v>
      </c>
    </row>
    <row r="62" spans="1:16" x14ac:dyDescent="0.25">
      <c r="B62" t="s">
        <v>94</v>
      </c>
    </row>
    <row r="63" spans="1:16" x14ac:dyDescent="0.25">
      <c r="B63" t="s">
        <v>95</v>
      </c>
    </row>
    <row r="64" spans="1:16" x14ac:dyDescent="0.25">
      <c r="B64" t="s">
        <v>96</v>
      </c>
    </row>
    <row r="65" spans="2:6" x14ac:dyDescent="0.25">
      <c r="B65" t="s">
        <v>97</v>
      </c>
    </row>
    <row r="66" spans="2:6" x14ac:dyDescent="0.25">
      <c r="B66" t="s">
        <v>98</v>
      </c>
    </row>
    <row r="67" spans="2:6" x14ac:dyDescent="0.25">
      <c r="B67" t="s">
        <v>99</v>
      </c>
      <c r="E67" s="59"/>
      <c r="F67" s="59"/>
    </row>
    <row r="68" spans="2:6" x14ac:dyDescent="0.25">
      <c r="B68" t="s">
        <v>100</v>
      </c>
    </row>
    <row r="69" spans="2:6" x14ac:dyDescent="0.25">
      <c r="B69" t="s">
        <v>101</v>
      </c>
    </row>
    <row r="70" spans="2:6" x14ac:dyDescent="0.25">
      <c r="B70" s="90" t="s">
        <v>102</v>
      </c>
    </row>
    <row r="71" spans="2:6" x14ac:dyDescent="0.25">
      <c r="B71" s="90" t="s">
        <v>103</v>
      </c>
    </row>
    <row r="72" spans="2:6" x14ac:dyDescent="0.25">
      <c r="B72" t="s">
        <v>104</v>
      </c>
    </row>
    <row r="73" spans="2:6" x14ac:dyDescent="0.25">
      <c r="B73" t="s">
        <v>105</v>
      </c>
    </row>
    <row r="74" spans="2:6" x14ac:dyDescent="0.25">
      <c r="B74" s="92"/>
    </row>
    <row r="79" spans="2:6" x14ac:dyDescent="0.25">
      <c r="B79" s="91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1"/>
  <sheetViews>
    <sheetView showGridLines="0" topLeftCell="A17" zoomScale="90" zoomScaleNormal="90" workbookViewId="0">
      <selection activeCell="D9" sqref="D9"/>
    </sheetView>
  </sheetViews>
  <sheetFormatPr defaultRowHeight="15" x14ac:dyDescent="0.25"/>
  <cols>
    <col min="1" max="1" width="18" bestFit="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x14ac:dyDescent="0.25">
      <c r="B1" s="23" t="s">
        <v>157</v>
      </c>
      <c r="D1" s="23"/>
      <c r="E1" s="2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31" customFormat="1" ht="48.75" customHeight="1" x14ac:dyDescent="0.25">
      <c r="A2" s="26" t="s">
        <v>2</v>
      </c>
      <c r="B2" s="26" t="s">
        <v>3</v>
      </c>
      <c r="C2" s="26" t="s">
        <v>4</v>
      </c>
      <c r="D2" s="27" t="s">
        <v>5</v>
      </c>
      <c r="E2" s="28" t="s">
        <v>6</v>
      </c>
      <c r="F2" s="28" t="s">
        <v>7</v>
      </c>
      <c r="G2" s="5" t="s">
        <v>8</v>
      </c>
      <c r="H2" s="5" t="s">
        <v>9</v>
      </c>
      <c r="I2" s="6" t="s">
        <v>10</v>
      </c>
      <c r="J2" s="3" t="s">
        <v>11</v>
      </c>
      <c r="K2" s="4"/>
      <c r="L2" s="4"/>
      <c r="M2" s="4"/>
      <c r="N2" s="4"/>
      <c r="O2" s="4"/>
      <c r="P2" s="4"/>
      <c r="Q2" s="4"/>
      <c r="R2" s="4"/>
      <c r="S2" s="4"/>
      <c r="T2" s="29"/>
      <c r="U2" s="29"/>
      <c r="V2" s="29"/>
      <c r="W2" s="29"/>
      <c r="X2" s="29"/>
      <c r="Y2" s="29"/>
      <c r="Z2" s="30"/>
      <c r="AA2" s="29"/>
      <c r="AB2" s="29"/>
    </row>
    <row r="3" spans="1:28" x14ac:dyDescent="0.25">
      <c r="A3" s="3"/>
      <c r="B3" s="26" t="s">
        <v>12</v>
      </c>
      <c r="C3" s="10" t="s">
        <v>13</v>
      </c>
      <c r="D3" s="10" t="s">
        <v>13</v>
      </c>
      <c r="E3" s="10" t="s">
        <v>13</v>
      </c>
      <c r="F3" s="10" t="s">
        <v>13</v>
      </c>
      <c r="G3" s="10"/>
      <c r="H3" s="3"/>
      <c r="I3" s="3"/>
      <c r="J3" s="33"/>
      <c r="K3" s="34"/>
      <c r="L3" s="35"/>
      <c r="M3" s="35"/>
      <c r="N3" s="35"/>
      <c r="O3" s="35"/>
      <c r="P3" s="35"/>
      <c r="Q3" s="36"/>
      <c r="R3" s="37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A4" s="3"/>
      <c r="B4" s="26" t="s">
        <v>14</v>
      </c>
      <c r="C4" s="10">
        <v>50</v>
      </c>
      <c r="D4" s="10" t="s">
        <v>13</v>
      </c>
      <c r="E4" s="10" t="s">
        <v>13</v>
      </c>
      <c r="F4" s="10" t="s">
        <v>13</v>
      </c>
      <c r="G4" s="10"/>
      <c r="H4" s="10"/>
      <c r="I4" s="10" t="s">
        <v>13</v>
      </c>
      <c r="J4" s="33"/>
      <c r="K4" s="34"/>
      <c r="L4" s="35"/>
      <c r="M4" s="35"/>
      <c r="N4" s="35"/>
      <c r="O4" s="35"/>
      <c r="P4" s="35"/>
      <c r="Q4" s="38"/>
      <c r="R4" s="38"/>
      <c r="S4" s="35"/>
      <c r="T4" s="35"/>
      <c r="U4" s="35"/>
      <c r="V4" s="4"/>
      <c r="W4" s="4"/>
      <c r="X4" s="4"/>
      <c r="Y4" s="4"/>
      <c r="Z4" s="4"/>
      <c r="AA4" s="4"/>
      <c r="AB4" s="4"/>
    </row>
    <row r="5" spans="1:28" ht="17.25" x14ac:dyDescent="0.25">
      <c r="A5" s="20" t="s">
        <v>15</v>
      </c>
      <c r="B5" s="26" t="s">
        <v>16</v>
      </c>
      <c r="C5" s="10">
        <v>13000</v>
      </c>
      <c r="D5" s="39">
        <f>2.9*1.31</f>
        <v>3.7989999999999999</v>
      </c>
      <c r="E5" s="10">
        <f>C5*D5</f>
        <v>49387</v>
      </c>
      <c r="F5" s="10" t="s">
        <v>13</v>
      </c>
      <c r="G5" s="40" t="s">
        <v>17</v>
      </c>
      <c r="H5" s="10">
        <f>E5</f>
        <v>49387</v>
      </c>
      <c r="I5" s="10" t="s">
        <v>18</v>
      </c>
      <c r="J5" s="33">
        <f t="shared" ref="J5:J27" si="0">H5/$H$28</f>
        <v>9.5702851716690962E-2</v>
      </c>
      <c r="K5" s="34"/>
      <c r="L5" s="4"/>
      <c r="M5" s="4"/>
      <c r="N5" s="4"/>
      <c r="O5" s="4"/>
      <c r="P5" s="4"/>
      <c r="Q5" s="41"/>
      <c r="R5" s="41"/>
      <c r="S5" s="42"/>
      <c r="T5" s="42"/>
      <c r="U5" s="42"/>
      <c r="V5" s="4"/>
      <c r="W5" s="4"/>
      <c r="X5" s="4"/>
      <c r="Y5" s="4"/>
      <c r="Z5" s="4"/>
      <c r="AA5" s="4"/>
      <c r="AB5" s="4"/>
    </row>
    <row r="6" spans="1:28" ht="30" x14ac:dyDescent="0.25">
      <c r="A6" s="3"/>
      <c r="B6" s="8" t="s">
        <v>19</v>
      </c>
      <c r="C6" s="10">
        <v>155</v>
      </c>
      <c r="D6" s="10">
        <f>3.28*4.6</f>
        <v>15.087999999999997</v>
      </c>
      <c r="E6" s="10">
        <f>D6*C6</f>
        <v>2338.6399999999994</v>
      </c>
      <c r="F6" s="10" t="s">
        <v>13</v>
      </c>
      <c r="G6" s="40" t="s">
        <v>17</v>
      </c>
      <c r="H6" s="10">
        <f t="shared" ref="H6:H10" si="1">E6</f>
        <v>2338.6399999999994</v>
      </c>
      <c r="I6" s="6" t="s">
        <v>20</v>
      </c>
      <c r="J6" s="33">
        <f t="shared" si="0"/>
        <v>4.5318508339992729E-3</v>
      </c>
      <c r="K6" s="34"/>
      <c r="L6" s="35"/>
      <c r="M6" s="35"/>
      <c r="N6" s="43"/>
      <c r="O6" s="43"/>
      <c r="P6" s="44"/>
      <c r="Q6" s="41"/>
      <c r="R6" s="41"/>
      <c r="S6" s="42"/>
      <c r="T6" s="42"/>
      <c r="U6" s="42"/>
      <c r="V6" s="4"/>
      <c r="W6" s="4"/>
      <c r="X6" s="4"/>
      <c r="Y6" s="4"/>
      <c r="Z6" s="4"/>
      <c r="AA6" s="4"/>
      <c r="AB6" s="4"/>
    </row>
    <row r="7" spans="1:28" ht="17.25" x14ac:dyDescent="0.25">
      <c r="A7" s="3"/>
      <c r="B7" s="48" t="s">
        <v>161</v>
      </c>
      <c r="C7" s="10">
        <v>606</v>
      </c>
      <c r="D7" s="10" t="s">
        <v>21</v>
      </c>
      <c r="E7" s="10">
        <f>297.64*C7+161.68</f>
        <v>180531.52</v>
      </c>
      <c r="F7" s="10" t="s">
        <v>13</v>
      </c>
      <c r="G7" s="40" t="s">
        <v>17</v>
      </c>
      <c r="H7" s="10">
        <f>E7</f>
        <v>180531.52</v>
      </c>
      <c r="I7" s="10" t="s">
        <v>22</v>
      </c>
      <c r="J7" s="33">
        <f t="shared" si="0"/>
        <v>0.34983662277013849</v>
      </c>
      <c r="K7" s="34"/>
      <c r="L7" s="45"/>
      <c r="M7" s="35"/>
      <c r="N7" s="43"/>
      <c r="O7" s="46"/>
      <c r="P7" s="47"/>
      <c r="Q7" s="41"/>
      <c r="R7" s="41"/>
      <c r="S7" s="42"/>
      <c r="T7" s="42"/>
      <c r="U7" s="42"/>
      <c r="V7" s="4"/>
      <c r="W7" s="4"/>
      <c r="X7" s="4"/>
      <c r="Y7" s="4"/>
      <c r="Z7" s="4"/>
      <c r="AA7" s="4"/>
      <c r="AB7" s="4"/>
    </row>
    <row r="8" spans="1:28" x14ac:dyDescent="0.25">
      <c r="A8" s="3"/>
      <c r="B8" s="48" t="s">
        <v>187</v>
      </c>
      <c r="C8" s="10" t="s">
        <v>24</v>
      </c>
      <c r="D8" s="10">
        <v>0</v>
      </c>
      <c r="E8" s="10">
        <f>D8</f>
        <v>0</v>
      </c>
      <c r="F8" s="10" t="s">
        <v>13</v>
      </c>
      <c r="G8" s="40" t="s">
        <v>17</v>
      </c>
      <c r="H8" s="10">
        <f t="shared" si="1"/>
        <v>0</v>
      </c>
      <c r="I8" s="10" t="s">
        <v>25</v>
      </c>
      <c r="J8" s="33">
        <f t="shared" si="0"/>
        <v>0</v>
      </c>
      <c r="K8" s="34"/>
      <c r="L8" s="35"/>
      <c r="M8" s="35"/>
      <c r="N8" s="43"/>
      <c r="O8" s="43"/>
      <c r="P8" s="44"/>
      <c r="Q8" s="41"/>
      <c r="R8" s="41"/>
      <c r="S8" s="42"/>
      <c r="T8" s="42"/>
      <c r="U8" s="42"/>
      <c r="V8" s="4"/>
      <c r="W8" s="4"/>
      <c r="X8" s="4"/>
      <c r="Y8" s="4"/>
      <c r="Z8" s="4"/>
      <c r="AA8" s="4"/>
      <c r="AB8" s="4"/>
    </row>
    <row r="9" spans="1:28" x14ac:dyDescent="0.25">
      <c r="A9" s="3"/>
      <c r="B9" s="48" t="s">
        <v>158</v>
      </c>
      <c r="C9" s="49">
        <f>85*0.405</f>
        <v>34.425000000000004</v>
      </c>
      <c r="D9" s="59">
        <f>8215.1*C9^0.435</f>
        <v>38295.965402906477</v>
      </c>
      <c r="E9" s="10">
        <f>D9</f>
        <v>38295.965402906477</v>
      </c>
      <c r="F9" s="10" t="s">
        <v>13</v>
      </c>
      <c r="G9" s="40" t="s">
        <v>17</v>
      </c>
      <c r="H9" s="10">
        <f t="shared" si="1"/>
        <v>38295.965402906477</v>
      </c>
      <c r="I9" s="10" t="s">
        <v>27</v>
      </c>
      <c r="J9" s="33">
        <f t="shared" si="0"/>
        <v>7.4210482481257944E-2</v>
      </c>
      <c r="K9" s="34"/>
      <c r="L9" s="35"/>
      <c r="M9" s="35"/>
      <c r="N9" s="22"/>
      <c r="O9" s="43"/>
      <c r="P9" s="44"/>
      <c r="Q9" s="41"/>
      <c r="R9" s="41"/>
      <c r="S9" s="42"/>
      <c r="T9" s="42"/>
      <c r="U9" s="42"/>
      <c r="V9" s="4"/>
      <c r="W9" s="4"/>
      <c r="X9" s="4"/>
      <c r="Y9" s="4"/>
      <c r="Z9" s="4"/>
      <c r="AA9" s="4"/>
      <c r="AB9" s="4"/>
    </row>
    <row r="10" spans="1:28" x14ac:dyDescent="0.25">
      <c r="A10" s="3"/>
      <c r="B10" s="48" t="s">
        <v>28</v>
      </c>
      <c r="C10" s="32">
        <v>1</v>
      </c>
      <c r="D10" s="10">
        <v>164.43</v>
      </c>
      <c r="E10" s="10">
        <f>D10</f>
        <v>164.43</v>
      </c>
      <c r="F10" s="10" t="s">
        <v>13</v>
      </c>
      <c r="G10" s="40" t="s">
        <v>17</v>
      </c>
      <c r="H10" s="10">
        <f t="shared" si="1"/>
        <v>164.43</v>
      </c>
      <c r="I10" s="10" t="s">
        <v>29</v>
      </c>
      <c r="J10" s="33">
        <f t="shared" si="0"/>
        <v>3.1863486155821365E-4</v>
      </c>
      <c r="K10" s="34"/>
      <c r="L10" s="51"/>
      <c r="M10" s="35"/>
      <c r="N10" s="4"/>
      <c r="O10" s="52"/>
      <c r="P10" s="4"/>
      <c r="Q10" s="41"/>
      <c r="R10" s="41"/>
      <c r="S10" s="42"/>
      <c r="T10" s="42"/>
      <c r="U10" s="42"/>
      <c r="V10" s="4"/>
      <c r="W10" s="4"/>
      <c r="X10" s="4"/>
      <c r="Y10" s="4"/>
      <c r="Z10" s="4"/>
      <c r="AA10" s="4"/>
      <c r="AB10" s="4"/>
    </row>
    <row r="11" spans="1:28" x14ac:dyDescent="0.25">
      <c r="A11" s="3"/>
      <c r="B11" s="48" t="s">
        <v>30</v>
      </c>
      <c r="C11" s="32">
        <v>1</v>
      </c>
      <c r="D11" s="10">
        <v>596.02</v>
      </c>
      <c r="E11" s="10">
        <f>D11</f>
        <v>596.02</v>
      </c>
      <c r="F11" s="10" t="s">
        <v>13</v>
      </c>
      <c r="G11" s="40" t="s">
        <v>17</v>
      </c>
      <c r="H11" s="32">
        <f>E11</f>
        <v>596.02</v>
      </c>
      <c r="I11" s="10" t="s">
        <v>29</v>
      </c>
      <c r="J11" s="33">
        <f t="shared" si="0"/>
        <v>1.1549762828311529E-3</v>
      </c>
      <c r="K11" s="34"/>
      <c r="L11" s="51"/>
      <c r="M11" s="35"/>
      <c r="N11" s="52"/>
      <c r="O11" s="52"/>
      <c r="P11" s="121"/>
      <c r="Q11" s="4"/>
      <c r="R11" s="4"/>
      <c r="S11" s="4"/>
      <c r="T11" s="4"/>
      <c r="U11" s="4"/>
    </row>
    <row r="12" spans="1:28" x14ac:dyDescent="0.25">
      <c r="A12" s="3"/>
      <c r="B12" s="20" t="s">
        <v>31</v>
      </c>
      <c r="C12" s="53"/>
      <c r="D12" s="53"/>
      <c r="E12" s="53">
        <f>SUM(E5:E11)</f>
        <v>271313.57540290646</v>
      </c>
      <c r="F12" s="53" t="s">
        <v>13</v>
      </c>
      <c r="G12" s="112" t="s">
        <v>17</v>
      </c>
      <c r="H12" s="53">
        <f>SUM(H5:H11)</f>
        <v>271313.57540290646</v>
      </c>
      <c r="I12" s="53" t="s">
        <v>32</v>
      </c>
      <c r="J12" s="113">
        <f t="shared" si="0"/>
        <v>0.52575541894647604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8" x14ac:dyDescent="0.25">
      <c r="A13" s="3" t="s">
        <v>33</v>
      </c>
      <c r="B13" s="108" t="s">
        <v>185</v>
      </c>
      <c r="C13" s="10">
        <v>0</v>
      </c>
      <c r="D13" s="10">
        <v>0</v>
      </c>
      <c r="E13" s="106">
        <f>D13*(1+F13)^15+D13*(1+F13)^30+D13*(1+F13)^45</f>
        <v>0</v>
      </c>
      <c r="F13" s="102">
        <v>0.03</v>
      </c>
      <c r="G13" s="54">
        <f>1/(1+F13)^50</f>
        <v>0.22810707978975397</v>
      </c>
      <c r="H13" s="10">
        <f>G13*E13</f>
        <v>0</v>
      </c>
      <c r="I13" s="10" t="s">
        <v>32</v>
      </c>
      <c r="J13" s="33">
        <f t="shared" si="0"/>
        <v>0</v>
      </c>
      <c r="K13" s="34"/>
      <c r="L13" s="4"/>
      <c r="M13" s="122"/>
      <c r="N13" s="122"/>
      <c r="O13" s="122"/>
      <c r="P13" s="4"/>
      <c r="Q13" s="4"/>
      <c r="R13" s="4"/>
      <c r="S13" s="4"/>
      <c r="T13" s="4"/>
      <c r="U13" s="4"/>
    </row>
    <row r="14" spans="1:28" ht="30" x14ac:dyDescent="0.25">
      <c r="A14" s="11"/>
      <c r="B14" s="48" t="s">
        <v>35</v>
      </c>
      <c r="C14" s="10">
        <v>2</v>
      </c>
      <c r="D14" s="10">
        <f>D9</f>
        <v>38295.965402906477</v>
      </c>
      <c r="E14" s="106">
        <f>D14*(1+F14)^20+D14*(1+F14)^40</f>
        <v>194089.65978207043</v>
      </c>
      <c r="F14" s="102">
        <v>0.03</v>
      </c>
      <c r="G14" s="54">
        <f t="shared" ref="G14:G15" si="2">1/(1+F14)^50</f>
        <v>0.22810707978975397</v>
      </c>
      <c r="H14" s="10">
        <f>G14*E14</f>
        <v>44273.22551027494</v>
      </c>
      <c r="I14" s="10" t="s">
        <v>32</v>
      </c>
      <c r="J14" s="33">
        <f t="shared" si="0"/>
        <v>8.5793304635419496E-2</v>
      </c>
      <c r="K14" s="34"/>
      <c r="L14" s="4"/>
      <c r="M14" s="42"/>
      <c r="N14" s="42"/>
      <c r="O14" s="42"/>
      <c r="P14" s="42"/>
      <c r="Q14" s="4"/>
      <c r="R14" s="4"/>
      <c r="S14" s="4"/>
      <c r="T14" s="4"/>
      <c r="U14" s="4"/>
    </row>
    <row r="15" spans="1:28" ht="45" x14ac:dyDescent="0.25">
      <c r="A15" s="3"/>
      <c r="B15" s="48" t="s">
        <v>36</v>
      </c>
      <c r="C15" s="10">
        <v>6</v>
      </c>
      <c r="D15" s="10">
        <f>D10</f>
        <v>164.43</v>
      </c>
      <c r="E15" s="106">
        <f>D15*(1+F15)^7.5+D15*(1+F15)^15+D15*(1+F15)^22.5+D15*(1+F15)^30+D15*(1+F15)^37.5+D15*(1+F15)^45</f>
        <v>2300.2635812345779</v>
      </c>
      <c r="F15" s="102">
        <v>0.03</v>
      </c>
      <c r="G15" s="54">
        <f t="shared" si="2"/>
        <v>0.22810707978975397</v>
      </c>
      <c r="H15" s="10">
        <f>G15*E15</f>
        <v>524.70640826214105</v>
      </c>
      <c r="I15" s="10" t="s">
        <v>32</v>
      </c>
      <c r="J15" s="33">
        <f t="shared" si="0"/>
        <v>1.0167837605991293E-3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8" ht="45" x14ac:dyDescent="0.25">
      <c r="A16" s="55">
        <f>D19*10/20</f>
        <v>19147.982701453238</v>
      </c>
      <c r="B16" s="48" t="s">
        <v>37</v>
      </c>
      <c r="C16" s="32">
        <v>6</v>
      </c>
      <c r="D16" s="10">
        <f>D11</f>
        <v>596.02</v>
      </c>
      <c r="E16" s="106">
        <f>D16*(1+F16)^7.5+D16*(1+F16)^15+D16*(1+F16)^22.5+D16*(1+F16)^30+D16*(1+F16)^37.5+D16*(1+F16)^45</f>
        <v>8337.9133958975435</v>
      </c>
      <c r="F16" s="102">
        <v>0.03</v>
      </c>
      <c r="G16" s="54">
        <f>1/(1+F16)^50</f>
        <v>0.22810707978975397</v>
      </c>
      <c r="H16" s="10">
        <f>G16*E16</f>
        <v>1901.9370762780595</v>
      </c>
      <c r="I16" s="10" t="s">
        <v>32</v>
      </c>
      <c r="J16" s="33">
        <f t="shared" si="0"/>
        <v>3.6856015142753334E-3</v>
      </c>
      <c r="K16" s="34"/>
      <c r="L16" s="4"/>
      <c r="M16" s="35"/>
      <c r="N16" s="52"/>
      <c r="O16" s="52"/>
      <c r="P16" s="121"/>
      <c r="Q16" s="4"/>
      <c r="R16" s="4"/>
      <c r="S16" s="4"/>
      <c r="T16" s="4"/>
      <c r="U16" s="4"/>
    </row>
    <row r="17" spans="1:22" x14ac:dyDescent="0.25">
      <c r="A17" s="11"/>
      <c r="B17" s="56" t="s">
        <v>38</v>
      </c>
      <c r="C17" s="53"/>
      <c r="D17" s="53">
        <f>SUM(D13:D16)</f>
        <v>39056.415402906474</v>
      </c>
      <c r="E17" s="53">
        <f>SUM(E13:E16)</f>
        <v>204727.83675920256</v>
      </c>
      <c r="F17" s="111" t="s">
        <v>13</v>
      </c>
      <c r="G17" s="112" t="s">
        <v>32</v>
      </c>
      <c r="H17" s="53">
        <f>SUM(H13:H16)</f>
        <v>46699.868994815144</v>
      </c>
      <c r="I17" s="53" t="s">
        <v>32</v>
      </c>
      <c r="J17" s="113">
        <f t="shared" si="0"/>
        <v>9.0495689910293955E-2</v>
      </c>
      <c r="K17" s="34"/>
      <c r="L17" s="74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3" t="s">
        <v>39</v>
      </c>
      <c r="B18" s="109" t="s">
        <v>40</v>
      </c>
      <c r="C18" s="10">
        <v>0</v>
      </c>
      <c r="D18" s="10">
        <f>D13</f>
        <v>0</v>
      </c>
      <c r="E18" s="106">
        <f>(10/15)*D18*(1+F18)^50</f>
        <v>0</v>
      </c>
      <c r="F18" s="102">
        <v>0.03</v>
      </c>
      <c r="G18" s="54">
        <f>1/(1+F18)^50</f>
        <v>0.22810707978975397</v>
      </c>
      <c r="H18" s="106">
        <f>E18*G18</f>
        <v>0</v>
      </c>
      <c r="I18" s="10" t="s">
        <v>41</v>
      </c>
      <c r="J18" s="33">
        <f t="shared" si="0"/>
        <v>0</v>
      </c>
      <c r="K18" s="34"/>
      <c r="L18" s="4"/>
      <c r="M18" s="122"/>
      <c r="N18" s="122"/>
      <c r="O18" s="122"/>
      <c r="P18" s="4"/>
      <c r="Q18" s="4"/>
      <c r="R18" s="4"/>
      <c r="S18" s="4"/>
      <c r="T18" s="4"/>
      <c r="U18" s="4"/>
    </row>
    <row r="19" spans="1:22" x14ac:dyDescent="0.25">
      <c r="A19" s="11"/>
      <c r="B19" s="58" t="s">
        <v>42</v>
      </c>
      <c r="C19" s="10">
        <v>0.5</v>
      </c>
      <c r="D19" s="10">
        <f>D14</f>
        <v>38295.965402906477</v>
      </c>
      <c r="E19" s="106">
        <f>(10/20)*D19*(1+F19)^50</f>
        <v>83942.956611000016</v>
      </c>
      <c r="F19" s="102">
        <v>0.03</v>
      </c>
      <c r="G19" s="54">
        <f t="shared" ref="G19:G21" si="3">1/(1+F19)^50</f>
        <v>0.22810707978975397</v>
      </c>
      <c r="H19" s="106">
        <f>E19*G19</f>
        <v>19147.982701453235</v>
      </c>
      <c r="I19" s="10" t="s">
        <v>41</v>
      </c>
      <c r="J19" s="33">
        <f t="shared" si="0"/>
        <v>3.7105241240628965E-2</v>
      </c>
      <c r="K19" s="34"/>
      <c r="L19" s="74"/>
      <c r="M19" s="42"/>
      <c r="N19" s="42"/>
      <c r="O19" s="42"/>
      <c r="P19" s="42"/>
      <c r="Q19" s="4"/>
      <c r="R19" s="4"/>
      <c r="S19" s="4"/>
      <c r="T19" s="4"/>
      <c r="U19" s="4"/>
    </row>
    <row r="20" spans="1:22" x14ac:dyDescent="0.25">
      <c r="A20" s="11"/>
      <c r="B20" s="48" t="s">
        <v>43</v>
      </c>
      <c r="C20" s="10">
        <f>2.5/7.5</f>
        <v>0.33333333333333331</v>
      </c>
      <c r="D20" s="10">
        <f>D15</f>
        <v>164.43</v>
      </c>
      <c r="E20" s="106">
        <f>(2.5/7.5)*D20*(1+F20)^50</f>
        <v>240.28188888533541</v>
      </c>
      <c r="F20" s="102">
        <v>0.03</v>
      </c>
      <c r="G20" s="54">
        <f t="shared" si="3"/>
        <v>0.22810707978975397</v>
      </c>
      <c r="H20" s="106">
        <f t="shared" ref="H20:H21" si="4">E20*G20</f>
        <v>54.81</v>
      </c>
      <c r="I20" s="10" t="s">
        <v>41</v>
      </c>
      <c r="J20" s="33">
        <f t="shared" si="0"/>
        <v>1.0621162051940454E-4</v>
      </c>
      <c r="K20" s="34"/>
      <c r="L20" s="74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11"/>
      <c r="B21" s="48" t="s">
        <v>44</v>
      </c>
      <c r="C21" s="10">
        <f>2.5/7.5</f>
        <v>0.33333333333333331</v>
      </c>
      <c r="D21" s="10">
        <f>D16</f>
        <v>596.02</v>
      </c>
      <c r="E21" s="106">
        <f>(2.5/7.5)*D21*(1+F21)^50</f>
        <v>870.96522175659914</v>
      </c>
      <c r="F21" s="102">
        <v>0.03</v>
      </c>
      <c r="G21" s="54">
        <f t="shared" si="3"/>
        <v>0.22810707978975397</v>
      </c>
      <c r="H21" s="106">
        <f t="shared" si="4"/>
        <v>198.67333333333332</v>
      </c>
      <c r="I21" s="10" t="s">
        <v>41</v>
      </c>
      <c r="J21" s="33">
        <f t="shared" si="0"/>
        <v>3.8499209427705097E-4</v>
      </c>
      <c r="K21" s="34"/>
      <c r="L21" s="74"/>
      <c r="M21" s="4"/>
      <c r="N21" s="4"/>
      <c r="O21" s="4"/>
      <c r="P21" s="4"/>
      <c r="Q21" s="42"/>
      <c r="R21" s="42"/>
      <c r="S21" s="4"/>
      <c r="T21" s="4"/>
      <c r="U21" s="75"/>
      <c r="V21" s="60"/>
    </row>
    <row r="22" spans="1:22" s="21" customFormat="1" x14ac:dyDescent="0.25">
      <c r="A22" s="20"/>
      <c r="B22" s="20" t="s">
        <v>45</v>
      </c>
      <c r="C22" s="53"/>
      <c r="D22" s="53">
        <f>SUM(D18:D21)</f>
        <v>39056.415402906474</v>
      </c>
      <c r="E22" s="53">
        <f>SUM(E18:E21)</f>
        <v>85054.203721641956</v>
      </c>
      <c r="F22" s="111" t="s">
        <v>13</v>
      </c>
      <c r="G22" s="112" t="s">
        <v>32</v>
      </c>
      <c r="H22" s="53">
        <f>SUM(H18:H21)</f>
        <v>19401.466034786568</v>
      </c>
      <c r="I22" s="53" t="s">
        <v>32</v>
      </c>
      <c r="J22" s="113">
        <f t="shared" si="0"/>
        <v>3.7596444955425419E-2</v>
      </c>
      <c r="K22" s="34"/>
      <c r="L22" s="123"/>
      <c r="M22" s="35"/>
      <c r="N22" s="52"/>
      <c r="O22" s="52"/>
      <c r="P22" s="121"/>
      <c r="Q22" s="124"/>
      <c r="R22" s="124"/>
      <c r="S22" s="22"/>
      <c r="T22" s="22"/>
      <c r="U22" s="125"/>
      <c r="V22" s="61"/>
    </row>
    <row r="23" spans="1:22" ht="16.5" customHeight="1" x14ac:dyDescent="0.25">
      <c r="A23" s="56" t="s">
        <v>46</v>
      </c>
      <c r="B23" s="48" t="s">
        <v>47</v>
      </c>
      <c r="C23" s="32" t="s">
        <v>48</v>
      </c>
      <c r="D23" s="10">
        <f>7108*0.02*20</f>
        <v>2843.2</v>
      </c>
      <c r="E23" s="10">
        <f>D23</f>
        <v>2843.2</v>
      </c>
      <c r="F23" s="102">
        <v>0.03</v>
      </c>
      <c r="G23" s="62">
        <f>((1+F23)^50-1)/(0.03*(1+F23)^50)</f>
        <v>25.7297640070082</v>
      </c>
      <c r="H23" s="10">
        <f>E23*G23</f>
        <v>73154.865024725703</v>
      </c>
      <c r="I23" s="63" t="s">
        <v>49</v>
      </c>
      <c r="J23" s="33">
        <f t="shared" si="0"/>
        <v>0.1417605685669481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</row>
    <row r="24" spans="1:22" ht="21" customHeight="1" x14ac:dyDescent="0.25">
      <c r="A24" s="3"/>
      <c r="B24" s="64" t="s">
        <v>50</v>
      </c>
      <c r="C24" s="32" t="s">
        <v>48</v>
      </c>
      <c r="D24" s="10">
        <f>7108*0.02*7</f>
        <v>995.12</v>
      </c>
      <c r="E24" s="10">
        <f>D24</f>
        <v>995.12</v>
      </c>
      <c r="F24" s="102">
        <v>0.03</v>
      </c>
      <c r="G24" s="62">
        <f t="shared" ref="G24:G26" si="5">((1+F24)^50-1)/(0.03*(1+F24)^50)</f>
        <v>25.7297640070082</v>
      </c>
      <c r="H24" s="10">
        <f>E24*G24</f>
        <v>25604.202758653999</v>
      </c>
      <c r="I24" s="63" t="s">
        <v>49</v>
      </c>
      <c r="J24" s="33">
        <f t="shared" si="0"/>
        <v>4.9616198998431844E-2</v>
      </c>
      <c r="K24" s="34"/>
      <c r="L24" s="74"/>
      <c r="M24" s="122"/>
      <c r="N24" s="122"/>
      <c r="O24" s="122"/>
      <c r="P24" s="122"/>
      <c r="Q24" s="122"/>
      <c r="R24" s="122"/>
      <c r="S24" s="4"/>
      <c r="T24" s="4"/>
      <c r="U24" s="4"/>
    </row>
    <row r="25" spans="1:22" ht="19.5" customHeight="1" x14ac:dyDescent="0.25">
      <c r="A25" s="3"/>
      <c r="B25" s="64" t="s">
        <v>51</v>
      </c>
      <c r="C25" s="63" t="s">
        <v>52</v>
      </c>
      <c r="D25" s="107">
        <f>0.017</f>
        <v>1.7000000000000001E-2</v>
      </c>
      <c r="E25" s="63">
        <f>E12*D25</f>
        <v>4612.3307818494104</v>
      </c>
      <c r="F25" s="102">
        <v>0.03</v>
      </c>
      <c r="G25" s="62">
        <f t="shared" si="5"/>
        <v>25.7297640070082</v>
      </c>
      <c r="H25" s="10">
        <f>E25*G25</f>
        <v>118674.18253924495</v>
      </c>
      <c r="I25" s="63" t="s">
        <v>53</v>
      </c>
      <c r="J25" s="33">
        <f t="shared" si="0"/>
        <v>0.22996856853327549</v>
      </c>
      <c r="K25" s="34"/>
      <c r="L25" s="74"/>
      <c r="M25" s="42"/>
      <c r="N25" s="42"/>
      <c r="O25" s="42"/>
      <c r="P25" s="42"/>
      <c r="Q25" s="42"/>
      <c r="R25" s="42"/>
      <c r="S25" s="42"/>
      <c r="T25" s="4"/>
      <c r="U25" s="75"/>
    </row>
    <row r="26" spans="1:22" ht="34.5" customHeight="1" x14ac:dyDescent="0.25">
      <c r="A26" s="3"/>
      <c r="B26" s="108" t="s">
        <v>186</v>
      </c>
      <c r="C26" s="110">
        <v>0</v>
      </c>
      <c r="D26" s="110">
        <v>0.10299999999999999</v>
      </c>
      <c r="E26" s="63">
        <f>D26*C26*150*606</f>
        <v>0</v>
      </c>
      <c r="F26" s="102">
        <v>0.03</v>
      </c>
      <c r="G26" s="62">
        <f t="shared" si="5"/>
        <v>25.7297640070082</v>
      </c>
      <c r="H26" s="10">
        <f>E26*G26</f>
        <v>0</v>
      </c>
      <c r="I26" s="63" t="s">
        <v>182</v>
      </c>
      <c r="J26" s="33">
        <f t="shared" si="0"/>
        <v>0</v>
      </c>
      <c r="K26" s="34"/>
      <c r="L26" s="4"/>
      <c r="M26" s="4"/>
      <c r="N26" s="65"/>
      <c r="O26" s="4"/>
      <c r="P26" s="42"/>
      <c r="Q26" s="42"/>
      <c r="R26" s="4"/>
      <c r="S26" s="4"/>
      <c r="T26" s="4"/>
      <c r="U26" s="4"/>
    </row>
    <row r="27" spans="1:22" ht="30.75" customHeight="1" x14ac:dyDescent="0.25">
      <c r="A27" s="3"/>
      <c r="B27" s="66" t="s">
        <v>55</v>
      </c>
      <c r="C27" s="53"/>
      <c r="D27" s="53"/>
      <c r="E27" s="53">
        <f>SUM(E23:E26)</f>
        <v>8450.6507818494101</v>
      </c>
      <c r="F27" s="57"/>
      <c r="G27" s="57"/>
      <c r="H27" s="53">
        <f>SUM(H23:H26)</f>
        <v>217433.25032262463</v>
      </c>
      <c r="I27" s="53" t="s">
        <v>32</v>
      </c>
      <c r="J27" s="113">
        <f t="shared" si="0"/>
        <v>0.42134533609865538</v>
      </c>
      <c r="K27" s="34"/>
      <c r="L27" s="4"/>
      <c r="M27" s="35"/>
      <c r="N27" s="52"/>
      <c r="O27" s="52"/>
      <c r="P27" s="121"/>
      <c r="Q27" s="124"/>
      <c r="R27" s="124"/>
      <c r="S27" s="22"/>
      <c r="T27" s="4"/>
      <c r="U27" s="4"/>
    </row>
    <row r="28" spans="1:22" ht="18.75" x14ac:dyDescent="0.3">
      <c r="A28" s="16"/>
      <c r="B28" s="114" t="s">
        <v>56</v>
      </c>
      <c r="C28" s="115"/>
      <c r="D28" s="115"/>
      <c r="E28" s="115">
        <f>E12+E17-E22+E27</f>
        <v>399437.85922231647</v>
      </c>
      <c r="F28" s="115"/>
      <c r="G28" s="115"/>
      <c r="H28" s="115">
        <f>H12+H17-H22+H27</f>
        <v>516045.2286855597</v>
      </c>
      <c r="I28" s="117"/>
      <c r="J28" s="116">
        <f>J12+J17-J22+J27</f>
        <v>1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s="21" customFormat="1" ht="30" x14ac:dyDescent="0.25">
      <c r="B29" s="2" t="s">
        <v>164</v>
      </c>
      <c r="C29" s="20" t="s">
        <v>156</v>
      </c>
      <c r="D29" s="20" t="s">
        <v>156</v>
      </c>
      <c r="E29" s="20" t="s">
        <v>156</v>
      </c>
      <c r="F29" s="20" t="s">
        <v>156</v>
      </c>
      <c r="G29" s="20" t="s">
        <v>156</v>
      </c>
      <c r="H29" s="118">
        <f>H28/G33</f>
        <v>0.11354130444126727</v>
      </c>
      <c r="I29" s="21" t="s">
        <v>162</v>
      </c>
      <c r="J29" s="67">
        <f>MAX(J3:J27)</f>
        <v>0.52575541894647604</v>
      </c>
      <c r="K29" s="68"/>
      <c r="L29" s="22"/>
      <c r="M29" s="122"/>
      <c r="N29" s="122"/>
      <c r="O29" s="122"/>
      <c r="P29" s="122"/>
      <c r="Q29" s="122"/>
      <c r="R29" s="122"/>
      <c r="S29" s="4"/>
      <c r="T29" s="22"/>
      <c r="U29" s="22"/>
    </row>
    <row r="30" spans="1:22" ht="27" thickBot="1" x14ac:dyDescent="0.45">
      <c r="B30" s="128" t="s">
        <v>163</v>
      </c>
      <c r="C30" s="17"/>
      <c r="D30" s="17"/>
      <c r="E30" s="17"/>
      <c r="F30" s="17"/>
      <c r="G30" s="17"/>
      <c r="H30" s="17"/>
      <c r="I30" s="69"/>
      <c r="J30" s="4"/>
      <c r="K30" s="70"/>
      <c r="L30" s="126"/>
      <c r="M30" s="4"/>
      <c r="N30" s="42"/>
      <c r="O30" s="42"/>
      <c r="P30" s="42"/>
      <c r="Q30" s="42"/>
      <c r="R30" s="42"/>
      <c r="S30" s="42"/>
      <c r="T30" s="42"/>
      <c r="U30" s="4"/>
    </row>
    <row r="31" spans="1:22" ht="30" x14ac:dyDescent="0.25">
      <c r="B31" s="130" t="s">
        <v>57</v>
      </c>
      <c r="C31" s="131" t="s">
        <v>58</v>
      </c>
      <c r="D31" s="129" t="s">
        <v>165</v>
      </c>
      <c r="E31" s="2" t="s">
        <v>59</v>
      </c>
      <c r="F31" s="2"/>
      <c r="G31" s="2" t="s">
        <v>60</v>
      </c>
      <c r="H31" s="3"/>
      <c r="J31" s="4"/>
      <c r="K31" s="70"/>
      <c r="L31" s="126"/>
      <c r="M31" s="4"/>
      <c r="N31" s="4"/>
      <c r="O31" s="4"/>
      <c r="P31" s="4"/>
      <c r="Q31" s="4"/>
      <c r="R31" s="4"/>
      <c r="S31" s="4"/>
      <c r="T31" s="4"/>
      <c r="U31" s="4"/>
    </row>
    <row r="32" spans="1:22" s="17" customFormat="1" x14ac:dyDescent="0.25">
      <c r="B32" s="132">
        <v>5</v>
      </c>
      <c r="C32" s="133">
        <f>B32/1000</f>
        <v>5.0000000000000001E-3</v>
      </c>
      <c r="D32" s="87" t="s">
        <v>61</v>
      </c>
      <c r="E32" s="3"/>
      <c r="F32" s="3"/>
      <c r="G32" s="3"/>
      <c r="H32" s="7" t="s">
        <v>58</v>
      </c>
      <c r="I32" s="71"/>
      <c r="J32" s="72"/>
    </row>
    <row r="33" spans="2:30" ht="15.75" thickBot="1" x14ac:dyDescent="0.3">
      <c r="B33" s="134">
        <f>100</f>
        <v>100</v>
      </c>
      <c r="C33" s="135">
        <f>100/1000</f>
        <v>0.1</v>
      </c>
      <c r="D33" s="87">
        <v>606</v>
      </c>
      <c r="E33" s="3">
        <f>D33*150</f>
        <v>90900</v>
      </c>
      <c r="F33" s="3"/>
      <c r="G33" s="3">
        <f>E33*50</f>
        <v>4545000</v>
      </c>
      <c r="H33" s="73">
        <f>H28/G33</f>
        <v>0.11354130444126727</v>
      </c>
      <c r="I33" s="4"/>
      <c r="J33" s="70"/>
    </row>
    <row r="34" spans="2:30" ht="15.75" customHeight="1" x14ac:dyDescent="0.25">
      <c r="J34" s="70"/>
    </row>
    <row r="35" spans="2:30" x14ac:dyDescent="0.25">
      <c r="I35" s="60"/>
    </row>
    <row r="36" spans="2:30" x14ac:dyDescent="0.25">
      <c r="D36" s="70"/>
      <c r="E36" s="60"/>
      <c r="F36" s="60"/>
      <c r="H36" s="17"/>
    </row>
    <row r="37" spans="2:30" ht="21" x14ac:dyDescent="0.35">
      <c r="C37" s="127" t="s">
        <v>168</v>
      </c>
      <c r="E37" s="60"/>
      <c r="F37" s="60"/>
    </row>
    <row r="39" spans="2:30" x14ac:dyDescent="0.25">
      <c r="B39" s="4"/>
      <c r="C39" s="4"/>
      <c r="D39" s="4"/>
      <c r="E39" s="4"/>
      <c r="F39" s="4"/>
      <c r="I39" s="71"/>
      <c r="J39" s="71"/>
      <c r="K39" s="71"/>
      <c r="L39" s="71"/>
      <c r="M39" s="71"/>
      <c r="Y39" s="4"/>
      <c r="AD39" s="4"/>
    </row>
    <row r="40" spans="2:30" x14ac:dyDescent="0.25">
      <c r="I40" s="76"/>
      <c r="J40" s="71"/>
      <c r="K40" s="71"/>
      <c r="L40" s="71"/>
      <c r="M40" s="71"/>
      <c r="N40" s="4"/>
      <c r="Y40" s="4"/>
      <c r="AD40" s="4"/>
    </row>
    <row r="41" spans="2:30" x14ac:dyDescent="0.25">
      <c r="E41" s="84"/>
      <c r="F41" s="84"/>
      <c r="G41" s="85"/>
      <c r="H41" s="50"/>
      <c r="K41" s="4"/>
      <c r="L41" s="4"/>
      <c r="M41" s="4"/>
      <c r="N41" s="4"/>
      <c r="O41" s="4"/>
      <c r="P41" s="4"/>
    </row>
    <row r="42" spans="2:30" x14ac:dyDescent="0.25">
      <c r="D42" s="84"/>
    </row>
    <row r="44" spans="2:30" ht="15.75" x14ac:dyDescent="0.25">
      <c r="B44" s="119" t="s">
        <v>166</v>
      </c>
    </row>
    <row r="45" spans="2:30" x14ac:dyDescent="0.25">
      <c r="B45" s="86" t="s">
        <v>78</v>
      </c>
      <c r="G45" t="s">
        <v>87</v>
      </c>
    </row>
    <row r="46" spans="2:30" x14ac:dyDescent="0.25">
      <c r="B46" s="3" t="s">
        <v>79</v>
      </c>
      <c r="C46" s="3" t="s">
        <v>80</v>
      </c>
      <c r="D46" s="3" t="s">
        <v>81</v>
      </c>
      <c r="E46" s="3" t="s">
        <v>82</v>
      </c>
      <c r="F46" s="3"/>
      <c r="G46" s="3" t="s">
        <v>83</v>
      </c>
      <c r="H46" s="7" t="s">
        <v>84</v>
      </c>
      <c r="I46" s="4"/>
    </row>
    <row r="47" spans="2:30" ht="45.75" customHeight="1" x14ac:dyDescent="0.25">
      <c r="B47" s="3"/>
      <c r="C47" s="3" t="s">
        <v>85</v>
      </c>
      <c r="D47" s="2" t="s">
        <v>86</v>
      </c>
      <c r="E47" s="3" t="s">
        <v>1</v>
      </c>
      <c r="F47" s="3"/>
      <c r="G47" s="3" t="s">
        <v>58</v>
      </c>
      <c r="H47" s="7" t="s">
        <v>58</v>
      </c>
      <c r="I47" s="136"/>
    </row>
    <row r="48" spans="2:30" x14ac:dyDescent="0.25">
      <c r="B48" s="18">
        <f>6*0.3048</f>
        <v>1.8288000000000002</v>
      </c>
      <c r="C48" s="12">
        <f>13000/B48</f>
        <v>7108.4864391950996</v>
      </c>
      <c r="D48" s="11">
        <v>0.02</v>
      </c>
      <c r="E48" s="10">
        <f>C48*D48</f>
        <v>142.169728783902</v>
      </c>
      <c r="F48" s="10"/>
      <c r="G48" s="10">
        <f>15*1.31</f>
        <v>19.650000000000002</v>
      </c>
      <c r="H48" s="55">
        <f>5*1.31</f>
        <v>6.5500000000000007</v>
      </c>
      <c r="I48" s="124"/>
    </row>
    <row r="49" spans="1:6" x14ac:dyDescent="0.25">
      <c r="B49" s="21"/>
      <c r="D49" s="75"/>
    </row>
    <row r="50" spans="1:6" x14ac:dyDescent="0.25">
      <c r="A50" t="s">
        <v>167</v>
      </c>
      <c r="B50" s="19"/>
    </row>
    <row r="51" spans="1:6" x14ac:dyDescent="0.25">
      <c r="B51" s="19"/>
    </row>
    <row r="52" spans="1:6" x14ac:dyDescent="0.25">
      <c r="B52" t="s">
        <v>92</v>
      </c>
    </row>
    <row r="53" spans="1:6" x14ac:dyDescent="0.25">
      <c r="B53" s="89" t="s">
        <v>93</v>
      </c>
    </row>
    <row r="54" spans="1:6" x14ac:dyDescent="0.25">
      <c r="B54" t="s">
        <v>94</v>
      </c>
    </row>
    <row r="55" spans="1:6" x14ac:dyDescent="0.25">
      <c r="B55" t="s">
        <v>95</v>
      </c>
    </row>
    <row r="56" spans="1:6" x14ac:dyDescent="0.25">
      <c r="B56" t="s">
        <v>96</v>
      </c>
    </row>
    <row r="57" spans="1:6" x14ac:dyDescent="0.25">
      <c r="B57" t="s">
        <v>97</v>
      </c>
    </row>
    <row r="58" spans="1:6" x14ac:dyDescent="0.25">
      <c r="B58" t="s">
        <v>98</v>
      </c>
    </row>
    <row r="59" spans="1:6" x14ac:dyDescent="0.25">
      <c r="B59" t="s">
        <v>99</v>
      </c>
      <c r="E59" s="59"/>
      <c r="F59" s="59"/>
    </row>
    <row r="60" spans="1:6" x14ac:dyDescent="0.25">
      <c r="B60" t="s">
        <v>100</v>
      </c>
    </row>
    <row r="61" spans="1:6" x14ac:dyDescent="0.25">
      <c r="B61" t="s">
        <v>101</v>
      </c>
    </row>
    <row r="62" spans="1:6" x14ac:dyDescent="0.25">
      <c r="B62" s="90" t="s">
        <v>102</v>
      </c>
    </row>
    <row r="63" spans="1:6" x14ac:dyDescent="0.25">
      <c r="B63" s="90" t="s">
        <v>103</v>
      </c>
    </row>
    <row r="64" spans="1:6" x14ac:dyDescent="0.25">
      <c r="B64" t="s">
        <v>104</v>
      </c>
    </row>
    <row r="65" spans="2:2" x14ac:dyDescent="0.25">
      <c r="B65" t="s">
        <v>105</v>
      </c>
    </row>
    <row r="66" spans="2:2" x14ac:dyDescent="0.25">
      <c r="B66" s="92"/>
    </row>
    <row r="71" spans="2:2" x14ac:dyDescent="0.25">
      <c r="B71" s="91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1"/>
  <sheetViews>
    <sheetView showGridLines="0" topLeftCell="A16" zoomScale="90" zoomScaleNormal="90" workbookViewId="0">
      <selection activeCell="B37" sqref="B37"/>
    </sheetView>
  </sheetViews>
  <sheetFormatPr defaultRowHeight="15" x14ac:dyDescent="0.25"/>
  <cols>
    <col min="1" max="1" width="18" bestFit="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x14ac:dyDescent="0.25">
      <c r="B1" s="23" t="s">
        <v>157</v>
      </c>
      <c r="D1" s="23"/>
      <c r="E1" s="2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31" customFormat="1" ht="48.75" customHeight="1" x14ac:dyDescent="0.25">
      <c r="A2" s="26" t="s">
        <v>2</v>
      </c>
      <c r="B2" s="26" t="s">
        <v>3</v>
      </c>
      <c r="C2" s="26" t="s">
        <v>4</v>
      </c>
      <c r="D2" s="27" t="s">
        <v>5</v>
      </c>
      <c r="E2" s="28" t="s">
        <v>6</v>
      </c>
      <c r="F2" s="28" t="s">
        <v>7</v>
      </c>
      <c r="G2" s="5" t="s">
        <v>8</v>
      </c>
      <c r="H2" s="5" t="s">
        <v>9</v>
      </c>
      <c r="I2" s="6" t="s">
        <v>10</v>
      </c>
      <c r="J2" s="3" t="s">
        <v>11</v>
      </c>
      <c r="K2" s="4"/>
      <c r="L2" s="4"/>
      <c r="M2" s="4"/>
      <c r="N2" s="4"/>
      <c r="O2" s="4"/>
      <c r="P2" s="4"/>
      <c r="Q2" s="4"/>
      <c r="R2" s="4"/>
      <c r="S2" s="4"/>
      <c r="T2" s="29"/>
      <c r="U2" s="29"/>
      <c r="V2" s="29"/>
      <c r="W2" s="29"/>
      <c r="X2" s="29"/>
      <c r="Y2" s="29"/>
      <c r="Z2" s="30"/>
      <c r="AA2" s="29"/>
      <c r="AB2" s="29"/>
    </row>
    <row r="3" spans="1:28" x14ac:dyDescent="0.25">
      <c r="A3" s="3"/>
      <c r="B3" s="26" t="s">
        <v>12</v>
      </c>
      <c r="C3" s="10" t="s">
        <v>13</v>
      </c>
      <c r="D3" s="10" t="s">
        <v>13</v>
      </c>
      <c r="E3" s="10" t="s">
        <v>13</v>
      </c>
      <c r="F3" s="10" t="s">
        <v>13</v>
      </c>
      <c r="G3" s="10"/>
      <c r="H3" s="3"/>
      <c r="I3" s="3"/>
      <c r="J3" s="33"/>
      <c r="K3" s="34"/>
      <c r="L3" s="35"/>
      <c r="M3" s="35"/>
      <c r="N3" s="35"/>
      <c r="O3" s="35"/>
      <c r="P3" s="35"/>
      <c r="Q3" s="36"/>
      <c r="R3" s="37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A4" s="3"/>
      <c r="B4" s="26" t="s">
        <v>14</v>
      </c>
      <c r="C4" s="10">
        <v>50</v>
      </c>
      <c r="D4" s="10" t="s">
        <v>13</v>
      </c>
      <c r="E4" s="10" t="s">
        <v>13</v>
      </c>
      <c r="F4" s="10" t="s">
        <v>13</v>
      </c>
      <c r="G4" s="10"/>
      <c r="H4" s="10"/>
      <c r="I4" s="10" t="s">
        <v>13</v>
      </c>
      <c r="J4" s="33"/>
      <c r="K4" s="34"/>
      <c r="L4" s="35"/>
      <c r="M4" s="35"/>
      <c r="N4" s="35"/>
      <c r="O4" s="35"/>
      <c r="P4" s="35"/>
      <c r="Q4" s="38"/>
      <c r="R4" s="38"/>
      <c r="S4" s="35"/>
      <c r="T4" s="35"/>
      <c r="U4" s="35"/>
      <c r="V4" s="4"/>
      <c r="W4" s="4"/>
      <c r="X4" s="4"/>
      <c r="Y4" s="4"/>
      <c r="Z4" s="4"/>
      <c r="AA4" s="4"/>
      <c r="AB4" s="4"/>
    </row>
    <row r="5" spans="1:28" ht="17.25" x14ac:dyDescent="0.25">
      <c r="A5" s="20" t="s">
        <v>15</v>
      </c>
      <c r="B5" s="26" t="s">
        <v>16</v>
      </c>
      <c r="C5" s="10">
        <v>13000</v>
      </c>
      <c r="D5" s="39">
        <f>2.9*1.31</f>
        <v>3.7989999999999999</v>
      </c>
      <c r="E5" s="10">
        <f>C5*D5</f>
        <v>49387</v>
      </c>
      <c r="F5" s="10" t="s">
        <v>13</v>
      </c>
      <c r="G5" s="40" t="s">
        <v>17</v>
      </c>
      <c r="H5" s="10">
        <f>E5</f>
        <v>49387</v>
      </c>
      <c r="I5" s="10" t="s">
        <v>18</v>
      </c>
      <c r="J5" s="33">
        <f t="shared" ref="J5:J27" si="0">H5/$H$28</f>
        <v>8.7792755272209311E-2</v>
      </c>
      <c r="K5" s="34"/>
      <c r="L5" s="4"/>
      <c r="M5" s="4"/>
      <c r="N5" s="4"/>
      <c r="O5" s="4"/>
      <c r="P5" s="4"/>
      <c r="Q5" s="41"/>
      <c r="R5" s="41"/>
      <c r="S5" s="42"/>
      <c r="T5" s="42"/>
      <c r="U5" s="42"/>
      <c r="V5" s="4"/>
      <c r="W5" s="4"/>
      <c r="X5" s="4"/>
      <c r="Y5" s="4"/>
      <c r="Z5" s="4"/>
      <c r="AA5" s="4"/>
      <c r="AB5" s="4"/>
    </row>
    <row r="6" spans="1:28" ht="30" x14ac:dyDescent="0.25">
      <c r="A6" s="3"/>
      <c r="B6" s="8" t="s">
        <v>19</v>
      </c>
      <c r="C6" s="10">
        <v>155</v>
      </c>
      <c r="D6" s="10">
        <f>3.28*4.6</f>
        <v>15.087999999999997</v>
      </c>
      <c r="E6" s="10">
        <f>D6*C6</f>
        <v>2338.6399999999994</v>
      </c>
      <c r="F6" s="10" t="s">
        <v>13</v>
      </c>
      <c r="G6" s="40" t="s">
        <v>17</v>
      </c>
      <c r="H6" s="10">
        <f t="shared" ref="H6:H10" si="1">E6</f>
        <v>2338.6399999999994</v>
      </c>
      <c r="I6" s="6" t="s">
        <v>20</v>
      </c>
      <c r="J6" s="33">
        <f t="shared" si="0"/>
        <v>4.1572812519448344E-3</v>
      </c>
      <c r="K6" s="34"/>
      <c r="L6" s="35"/>
      <c r="M6" s="35"/>
      <c r="N6" s="43"/>
      <c r="O6" s="43"/>
      <c r="P6" s="44"/>
      <c r="Q6" s="41"/>
      <c r="R6" s="41"/>
      <c r="S6" s="42"/>
      <c r="T6" s="42"/>
      <c r="U6" s="42"/>
      <c r="V6" s="4"/>
      <c r="W6" s="4"/>
      <c r="X6" s="4"/>
      <c r="Y6" s="4"/>
      <c r="Z6" s="4"/>
      <c r="AA6" s="4"/>
      <c r="AB6" s="4"/>
    </row>
    <row r="7" spans="1:28" ht="17.25" x14ac:dyDescent="0.25">
      <c r="A7" s="3"/>
      <c r="B7" s="48" t="s">
        <v>184</v>
      </c>
      <c r="C7" s="10">
        <v>606</v>
      </c>
      <c r="D7" s="93" t="s">
        <v>106</v>
      </c>
      <c r="E7" s="10">
        <f>4588.9*C7^0.5989</f>
        <v>212878.32696622433</v>
      </c>
      <c r="F7" s="10" t="s">
        <v>13</v>
      </c>
      <c r="G7" s="40" t="s">
        <v>17</v>
      </c>
      <c r="H7" s="10">
        <f>E7</f>
        <v>212878.32696622433</v>
      </c>
      <c r="I7" s="10" t="s">
        <v>22</v>
      </c>
      <c r="J7" s="33">
        <f t="shared" si="0"/>
        <v>0.37842296276556764</v>
      </c>
      <c r="K7" s="34"/>
      <c r="L7" s="45"/>
      <c r="M7" s="35"/>
      <c r="N7" s="43"/>
      <c r="O7" s="46"/>
      <c r="P7" s="47"/>
      <c r="Q7" s="41"/>
      <c r="R7" s="41"/>
      <c r="S7" s="42"/>
      <c r="T7" s="42"/>
      <c r="U7" s="42"/>
      <c r="V7" s="4"/>
      <c r="W7" s="4"/>
      <c r="X7" s="4"/>
      <c r="Y7" s="4"/>
      <c r="Z7" s="4"/>
      <c r="AA7" s="4"/>
      <c r="AB7" s="4"/>
    </row>
    <row r="8" spans="1:28" x14ac:dyDescent="0.25">
      <c r="A8" s="3"/>
      <c r="B8" s="48" t="s">
        <v>187</v>
      </c>
      <c r="C8" s="10" t="s">
        <v>24</v>
      </c>
      <c r="D8" s="10">
        <v>0</v>
      </c>
      <c r="E8" s="10">
        <f>D8</f>
        <v>0</v>
      </c>
      <c r="F8" s="10" t="s">
        <v>13</v>
      </c>
      <c r="G8" s="40" t="s">
        <v>17</v>
      </c>
      <c r="H8" s="10">
        <f t="shared" si="1"/>
        <v>0</v>
      </c>
      <c r="I8" s="10" t="s">
        <v>25</v>
      </c>
      <c r="J8" s="33">
        <f t="shared" si="0"/>
        <v>0</v>
      </c>
      <c r="K8" s="34"/>
      <c r="L8" s="35"/>
      <c r="M8" s="35"/>
      <c r="N8" s="43"/>
      <c r="O8" s="43"/>
      <c r="P8" s="44"/>
      <c r="Q8" s="41"/>
      <c r="R8" s="41"/>
      <c r="S8" s="42"/>
      <c r="T8" s="42"/>
      <c r="U8" s="42"/>
      <c r="V8" s="4"/>
      <c r="W8" s="4"/>
      <c r="X8" s="4"/>
      <c r="Y8" s="4"/>
      <c r="Z8" s="4"/>
      <c r="AA8" s="4"/>
      <c r="AB8" s="4"/>
    </row>
    <row r="9" spans="1:28" x14ac:dyDescent="0.25">
      <c r="A9" s="3"/>
      <c r="B9" s="48" t="s">
        <v>158</v>
      </c>
      <c r="C9" s="49">
        <f>85*0.405</f>
        <v>34.425000000000004</v>
      </c>
      <c r="D9" s="59">
        <f>8215.1*C9^0.435</f>
        <v>38295.965402906477</v>
      </c>
      <c r="E9" s="10">
        <f>D9</f>
        <v>38295.965402906477</v>
      </c>
      <c r="F9" s="10" t="s">
        <v>13</v>
      </c>
      <c r="G9" s="40" t="s">
        <v>17</v>
      </c>
      <c r="H9" s="10">
        <f t="shared" si="1"/>
        <v>38295.965402906477</v>
      </c>
      <c r="I9" s="10" t="s">
        <v>27</v>
      </c>
      <c r="J9" s="33">
        <f t="shared" si="0"/>
        <v>6.8076787788899168E-2</v>
      </c>
      <c r="K9" s="34"/>
      <c r="L9" s="35"/>
      <c r="M9" s="35"/>
      <c r="N9" s="22"/>
      <c r="O9" s="43"/>
      <c r="P9" s="44"/>
      <c r="Q9" s="41"/>
      <c r="R9" s="41"/>
      <c r="S9" s="42"/>
      <c r="T9" s="42"/>
      <c r="U9" s="42"/>
      <c r="V9" s="4"/>
      <c r="W9" s="4"/>
      <c r="X9" s="4"/>
      <c r="Y9" s="4"/>
      <c r="Z9" s="4"/>
      <c r="AA9" s="4"/>
      <c r="AB9" s="4"/>
    </row>
    <row r="10" spans="1:28" x14ac:dyDescent="0.25">
      <c r="A10" s="3"/>
      <c r="B10" s="48" t="s">
        <v>28</v>
      </c>
      <c r="C10" s="32">
        <v>1</v>
      </c>
      <c r="D10" s="10">
        <v>164.43</v>
      </c>
      <c r="E10" s="10">
        <f>D10</f>
        <v>164.43</v>
      </c>
      <c r="F10" s="10" t="s">
        <v>13</v>
      </c>
      <c r="G10" s="40" t="s">
        <v>17</v>
      </c>
      <c r="H10" s="10">
        <f t="shared" si="1"/>
        <v>164.43</v>
      </c>
      <c r="I10" s="10" t="s">
        <v>29</v>
      </c>
      <c r="J10" s="33">
        <f t="shared" si="0"/>
        <v>2.9229883875127826E-4</v>
      </c>
      <c r="K10" s="34"/>
      <c r="L10" s="51"/>
      <c r="M10" s="35"/>
      <c r="N10" s="4"/>
      <c r="O10" s="52"/>
      <c r="P10" s="4"/>
      <c r="Q10" s="41"/>
      <c r="R10" s="41"/>
      <c r="S10" s="42"/>
      <c r="T10" s="42"/>
      <c r="U10" s="42"/>
      <c r="V10" s="4"/>
      <c r="W10" s="4"/>
      <c r="X10" s="4"/>
      <c r="Y10" s="4"/>
      <c r="Z10" s="4"/>
      <c r="AA10" s="4"/>
      <c r="AB10" s="4"/>
    </row>
    <row r="11" spans="1:28" x14ac:dyDescent="0.25">
      <c r="A11" s="3"/>
      <c r="B11" s="48" t="s">
        <v>30</v>
      </c>
      <c r="C11" s="32">
        <v>1</v>
      </c>
      <c r="D11" s="10">
        <v>596.02</v>
      </c>
      <c r="E11" s="10">
        <f>D11</f>
        <v>596.02</v>
      </c>
      <c r="F11" s="10" t="s">
        <v>13</v>
      </c>
      <c r="G11" s="40" t="s">
        <v>17</v>
      </c>
      <c r="H11" s="32">
        <f>E11</f>
        <v>596.02</v>
      </c>
      <c r="I11" s="10" t="s">
        <v>29</v>
      </c>
      <c r="J11" s="33">
        <f t="shared" si="0"/>
        <v>1.0595144065714093E-3</v>
      </c>
      <c r="K11" s="34"/>
      <c r="L11" s="51"/>
      <c r="M11" s="35"/>
      <c r="N11" s="52"/>
      <c r="O11" s="52"/>
      <c r="P11" s="121"/>
      <c r="Q11" s="4"/>
      <c r="R11" s="4"/>
      <c r="S11" s="4"/>
      <c r="T11" s="4"/>
      <c r="U11" s="4"/>
    </row>
    <row r="12" spans="1:28" x14ac:dyDescent="0.25">
      <c r="A12" s="3"/>
      <c r="B12" s="20" t="s">
        <v>31</v>
      </c>
      <c r="C12" s="53"/>
      <c r="D12" s="53"/>
      <c r="E12" s="53">
        <f>SUM(E5:E11)</f>
        <v>303660.38236913079</v>
      </c>
      <c r="F12" s="53" t="s">
        <v>13</v>
      </c>
      <c r="G12" s="112" t="s">
        <v>17</v>
      </c>
      <c r="H12" s="53">
        <f>SUM(H5:H11)</f>
        <v>303660.38236913079</v>
      </c>
      <c r="I12" s="53" t="s">
        <v>32</v>
      </c>
      <c r="J12" s="113">
        <f t="shared" si="0"/>
        <v>0.53980160032394364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8" x14ac:dyDescent="0.25">
      <c r="A13" s="3" t="s">
        <v>33</v>
      </c>
      <c r="B13" s="108" t="s">
        <v>185</v>
      </c>
      <c r="C13" s="10">
        <v>0</v>
      </c>
      <c r="D13" s="10">
        <v>0</v>
      </c>
      <c r="E13" s="106">
        <f>D13*(1+F13)^15+D13*(1+F13)^30+D13*(1+F13)^45</f>
        <v>0</v>
      </c>
      <c r="F13" s="102">
        <v>0.03</v>
      </c>
      <c r="G13" s="54">
        <f>1/(1+F13)^50</f>
        <v>0.22810707978975397</v>
      </c>
      <c r="H13" s="10">
        <f>G13*E13</f>
        <v>0</v>
      </c>
      <c r="I13" s="10" t="s">
        <v>32</v>
      </c>
      <c r="J13" s="33">
        <f t="shared" si="0"/>
        <v>0</v>
      </c>
      <c r="K13" s="34"/>
      <c r="L13" s="4"/>
      <c r="M13" s="122"/>
      <c r="N13" s="122"/>
      <c r="O13" s="122"/>
      <c r="P13" s="4"/>
      <c r="Q13" s="4"/>
      <c r="R13" s="4"/>
      <c r="S13" s="4"/>
      <c r="T13" s="4"/>
      <c r="U13" s="4"/>
    </row>
    <row r="14" spans="1:28" ht="30" x14ac:dyDescent="0.25">
      <c r="A14" s="11"/>
      <c r="B14" s="48" t="s">
        <v>35</v>
      </c>
      <c r="C14" s="10">
        <v>2</v>
      </c>
      <c r="D14" s="10">
        <f>D9</f>
        <v>38295.965402906477</v>
      </c>
      <c r="E14" s="106">
        <f>D14*(1+F14)^20+D14*(1+F14)^40</f>
        <v>194089.65978207043</v>
      </c>
      <c r="F14" s="102">
        <v>0.03</v>
      </c>
      <c r="G14" s="54">
        <f t="shared" ref="G14:G15" si="2">1/(1+F14)^50</f>
        <v>0.22810707978975397</v>
      </c>
      <c r="H14" s="10">
        <f>G14*E14</f>
        <v>44273.22551027494</v>
      </c>
      <c r="I14" s="10" t="s">
        <v>32</v>
      </c>
      <c r="J14" s="33">
        <f t="shared" si="0"/>
        <v>7.870225873883617E-2</v>
      </c>
      <c r="K14" s="34"/>
      <c r="L14" s="4"/>
      <c r="M14" s="42"/>
      <c r="N14" s="42"/>
      <c r="O14" s="42"/>
      <c r="P14" s="42"/>
      <c r="Q14" s="4"/>
      <c r="R14" s="4"/>
      <c r="S14" s="4"/>
      <c r="T14" s="4"/>
      <c r="U14" s="4"/>
    </row>
    <row r="15" spans="1:28" ht="45" x14ac:dyDescent="0.25">
      <c r="A15" s="3"/>
      <c r="B15" s="48" t="s">
        <v>36</v>
      </c>
      <c r="C15" s="10">
        <v>6</v>
      </c>
      <c r="D15" s="10">
        <f>D10</f>
        <v>164.43</v>
      </c>
      <c r="E15" s="106">
        <f>D15*(1+F15)^7.5+D15*(1+F15)^15+D15*(1+F15)^22.5+D15*(1+F15)^30+D15*(1+F15)^37.5+D15*(1+F15)^45</f>
        <v>2300.2635812345779</v>
      </c>
      <c r="F15" s="102">
        <v>0.03</v>
      </c>
      <c r="G15" s="54">
        <f t="shared" si="2"/>
        <v>0.22810707978975397</v>
      </c>
      <c r="H15" s="10">
        <f>G15*E15</f>
        <v>524.70640826214105</v>
      </c>
      <c r="I15" s="10" t="s">
        <v>32</v>
      </c>
      <c r="J15" s="33">
        <f t="shared" si="0"/>
        <v>9.3274386559860081E-4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8" ht="45" x14ac:dyDescent="0.25">
      <c r="A16" s="55">
        <f>D19*10/20</f>
        <v>19147.982701453238</v>
      </c>
      <c r="B16" s="48" t="s">
        <v>37</v>
      </c>
      <c r="C16" s="32">
        <v>6</v>
      </c>
      <c r="D16" s="10">
        <f>D11</f>
        <v>596.02</v>
      </c>
      <c r="E16" s="106">
        <f>D16*(1+F16)^7.5+D16*(1+F16)^15+D16*(1+F16)^22.5+D16*(1+F16)^30+D16*(1+F16)^37.5+D16*(1+F16)^45</f>
        <v>8337.9133958975435</v>
      </c>
      <c r="F16" s="102">
        <v>0.03</v>
      </c>
      <c r="G16" s="54">
        <f>1/(1+F16)^50</f>
        <v>0.22810707978975397</v>
      </c>
      <c r="H16" s="10">
        <f>G16*E16</f>
        <v>1901.9370762780595</v>
      </c>
      <c r="I16" s="10" t="s">
        <v>32</v>
      </c>
      <c r="J16" s="33">
        <f t="shared" si="0"/>
        <v>3.3809766999579037E-3</v>
      </c>
      <c r="K16" s="34"/>
      <c r="L16" s="4"/>
      <c r="M16" s="35"/>
      <c r="N16" s="52"/>
      <c r="O16" s="52"/>
      <c r="P16" s="121"/>
      <c r="Q16" s="4"/>
      <c r="R16" s="4"/>
      <c r="S16" s="4"/>
      <c r="T16" s="4"/>
      <c r="U16" s="4"/>
    </row>
    <row r="17" spans="1:22" x14ac:dyDescent="0.25">
      <c r="A17" s="11"/>
      <c r="B17" s="56" t="s">
        <v>38</v>
      </c>
      <c r="C17" s="53"/>
      <c r="D17" s="53">
        <f>SUM(D13:D16)</f>
        <v>39056.415402906474</v>
      </c>
      <c r="E17" s="53">
        <f>SUM(E13:E16)</f>
        <v>204727.83675920256</v>
      </c>
      <c r="F17" s="111" t="s">
        <v>13</v>
      </c>
      <c r="G17" s="112" t="s">
        <v>32</v>
      </c>
      <c r="H17" s="53">
        <f>SUM(H13:H16)</f>
        <v>46699.868994815144</v>
      </c>
      <c r="I17" s="53" t="s">
        <v>32</v>
      </c>
      <c r="J17" s="113">
        <f t="shared" si="0"/>
        <v>8.3015979304392681E-2</v>
      </c>
      <c r="K17" s="34"/>
      <c r="L17" s="74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3" t="s">
        <v>39</v>
      </c>
      <c r="B18" s="109" t="s">
        <v>40</v>
      </c>
      <c r="C18" s="10">
        <v>0</v>
      </c>
      <c r="D18" s="10">
        <f>D13</f>
        <v>0</v>
      </c>
      <c r="E18" s="106">
        <f>(10/15)*D18*(1+F18)^50</f>
        <v>0</v>
      </c>
      <c r="F18" s="102">
        <v>0.03</v>
      </c>
      <c r="G18" s="54">
        <f>1/(1+F18)^50</f>
        <v>0.22810707978975397</v>
      </c>
      <c r="H18" s="106">
        <f>E18*G18</f>
        <v>0</v>
      </c>
      <c r="I18" s="10" t="s">
        <v>41</v>
      </c>
      <c r="J18" s="33">
        <f t="shared" si="0"/>
        <v>0</v>
      </c>
      <c r="K18" s="34"/>
      <c r="L18" s="4"/>
      <c r="M18" s="122"/>
      <c r="N18" s="122"/>
      <c r="O18" s="122"/>
      <c r="P18" s="4"/>
      <c r="Q18" s="4"/>
      <c r="R18" s="4"/>
      <c r="S18" s="4"/>
      <c r="T18" s="4"/>
      <c r="U18" s="4"/>
    </row>
    <row r="19" spans="1:22" x14ac:dyDescent="0.25">
      <c r="A19" s="11"/>
      <c r="B19" s="58" t="s">
        <v>42</v>
      </c>
      <c r="C19" s="10">
        <v>0.5</v>
      </c>
      <c r="D19" s="10">
        <f>D14</f>
        <v>38295.965402906477</v>
      </c>
      <c r="E19" s="106">
        <f>(10/20)*D19*(1+F19)^50</f>
        <v>83942.956611000016</v>
      </c>
      <c r="F19" s="102">
        <v>0.03</v>
      </c>
      <c r="G19" s="54">
        <f t="shared" ref="G19:G21" si="3">1/(1+F19)^50</f>
        <v>0.22810707978975397</v>
      </c>
      <c r="H19" s="106">
        <f>E19*G19</f>
        <v>19147.982701453235</v>
      </c>
      <c r="I19" s="10" t="s">
        <v>41</v>
      </c>
      <c r="J19" s="33">
        <f t="shared" si="0"/>
        <v>3.4038393894449577E-2</v>
      </c>
      <c r="K19" s="34"/>
      <c r="L19" s="74"/>
      <c r="M19" s="42"/>
      <c r="N19" s="42"/>
      <c r="O19" s="42"/>
      <c r="P19" s="42"/>
      <c r="Q19" s="4"/>
      <c r="R19" s="4"/>
      <c r="S19" s="4"/>
      <c r="T19" s="4"/>
      <c r="U19" s="4"/>
    </row>
    <row r="20" spans="1:22" x14ac:dyDescent="0.25">
      <c r="A20" s="11"/>
      <c r="B20" s="48" t="s">
        <v>43</v>
      </c>
      <c r="C20" s="10">
        <f>2.5/7.5</f>
        <v>0.33333333333333331</v>
      </c>
      <c r="D20" s="10">
        <f>D15</f>
        <v>164.43</v>
      </c>
      <c r="E20" s="106">
        <f>(2.5/7.5)*D20*(1+F20)^50</f>
        <v>240.28188888533541</v>
      </c>
      <c r="F20" s="102">
        <v>0.03</v>
      </c>
      <c r="G20" s="54">
        <f t="shared" si="3"/>
        <v>0.22810707978975397</v>
      </c>
      <c r="H20" s="106">
        <f t="shared" ref="H20:H21" si="4">E20*G20</f>
        <v>54.81</v>
      </c>
      <c r="I20" s="10" t="s">
        <v>41</v>
      </c>
      <c r="J20" s="33">
        <f t="shared" si="0"/>
        <v>9.7432946250426076E-5</v>
      </c>
      <c r="K20" s="34"/>
      <c r="L20" s="74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11"/>
      <c r="B21" s="48" t="s">
        <v>44</v>
      </c>
      <c r="C21" s="10">
        <f>2.5/7.5</f>
        <v>0.33333333333333331</v>
      </c>
      <c r="D21" s="10">
        <f>D16</f>
        <v>596.02</v>
      </c>
      <c r="E21" s="106">
        <f>(2.5/7.5)*D21*(1+F21)^50</f>
        <v>870.96522175659914</v>
      </c>
      <c r="F21" s="102">
        <v>0.03</v>
      </c>
      <c r="G21" s="54">
        <f t="shared" si="3"/>
        <v>0.22810707978975397</v>
      </c>
      <c r="H21" s="106">
        <f t="shared" si="4"/>
        <v>198.67333333333332</v>
      </c>
      <c r="I21" s="10" t="s">
        <v>41</v>
      </c>
      <c r="J21" s="33">
        <f t="shared" si="0"/>
        <v>3.5317146885713643E-4</v>
      </c>
      <c r="K21" s="34"/>
      <c r="L21" s="74"/>
      <c r="M21" s="4"/>
      <c r="N21" s="4"/>
      <c r="O21" s="4"/>
      <c r="P21" s="4"/>
      <c r="Q21" s="42"/>
      <c r="R21" s="42"/>
      <c r="S21" s="4"/>
      <c r="T21" s="4"/>
      <c r="U21" s="75"/>
      <c r="V21" s="60"/>
    </row>
    <row r="22" spans="1:22" s="21" customFormat="1" x14ac:dyDescent="0.25">
      <c r="A22" s="20"/>
      <c r="B22" s="20" t="s">
        <v>45</v>
      </c>
      <c r="C22" s="53"/>
      <c r="D22" s="53">
        <f>SUM(D18:D21)</f>
        <v>39056.415402906474</v>
      </c>
      <c r="E22" s="53">
        <f>SUM(E18:E21)</f>
        <v>85054.203721641956</v>
      </c>
      <c r="F22" s="111" t="s">
        <v>13</v>
      </c>
      <c r="G22" s="112" t="s">
        <v>32</v>
      </c>
      <c r="H22" s="53">
        <f>SUM(H18:H21)</f>
        <v>19401.466034786568</v>
      </c>
      <c r="I22" s="53" t="s">
        <v>32</v>
      </c>
      <c r="J22" s="113">
        <f t="shared" si="0"/>
        <v>3.4488998309557137E-2</v>
      </c>
      <c r="K22" s="34"/>
      <c r="L22" s="123"/>
      <c r="M22" s="35"/>
      <c r="N22" s="52"/>
      <c r="O22" s="52"/>
      <c r="P22" s="121"/>
      <c r="Q22" s="124"/>
      <c r="R22" s="124"/>
      <c r="S22" s="22"/>
      <c r="T22" s="22"/>
      <c r="U22" s="125"/>
      <c r="V22" s="61"/>
    </row>
    <row r="23" spans="1:22" ht="16.5" customHeight="1" x14ac:dyDescent="0.25">
      <c r="A23" s="56" t="s">
        <v>46</v>
      </c>
      <c r="B23" s="48" t="s">
        <v>47</v>
      </c>
      <c r="C23" s="32" t="s">
        <v>48</v>
      </c>
      <c r="D23" s="10">
        <f>7108*0.02*20</f>
        <v>2843.2</v>
      </c>
      <c r="E23" s="10">
        <f>D23</f>
        <v>2843.2</v>
      </c>
      <c r="F23" s="102">
        <v>0.03</v>
      </c>
      <c r="G23" s="62">
        <f>((1+F23)^50-1)/(0.03*(1+F23)^50)</f>
        <v>25.7297640070082</v>
      </c>
      <c r="H23" s="10">
        <f>E23*G23</f>
        <v>73154.865024725703</v>
      </c>
      <c r="I23" s="63" t="s">
        <v>49</v>
      </c>
      <c r="J23" s="33">
        <f t="shared" si="0"/>
        <v>0.1300436787431358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</row>
    <row r="24" spans="1:22" ht="21" customHeight="1" x14ac:dyDescent="0.25">
      <c r="A24" s="3"/>
      <c r="B24" s="64" t="s">
        <v>50</v>
      </c>
      <c r="C24" s="32" t="s">
        <v>48</v>
      </c>
      <c r="D24" s="10">
        <f>7108*0.02*7</f>
        <v>995.12</v>
      </c>
      <c r="E24" s="10">
        <f>D24</f>
        <v>995.12</v>
      </c>
      <c r="F24" s="102">
        <v>0.03</v>
      </c>
      <c r="G24" s="62">
        <f t="shared" ref="G24:G26" si="5">((1+F24)^50-1)/(0.03*(1+F24)^50)</f>
        <v>25.7297640070082</v>
      </c>
      <c r="H24" s="10">
        <f>E24*G24</f>
        <v>25604.202758653999</v>
      </c>
      <c r="I24" s="63" t="s">
        <v>49</v>
      </c>
      <c r="J24" s="33">
        <f t="shared" si="0"/>
        <v>4.5515287560097539E-2</v>
      </c>
      <c r="K24" s="34"/>
      <c r="L24" s="74"/>
      <c r="M24" s="122"/>
      <c r="N24" s="122"/>
      <c r="O24" s="122"/>
      <c r="P24" s="122"/>
      <c r="Q24" s="122"/>
      <c r="R24" s="122"/>
      <c r="S24" s="4"/>
      <c r="T24" s="4"/>
      <c r="U24" s="4"/>
    </row>
    <row r="25" spans="1:22" ht="19.5" customHeight="1" x14ac:dyDescent="0.25">
      <c r="A25" s="3"/>
      <c r="B25" s="64" t="s">
        <v>51</v>
      </c>
      <c r="C25" s="63" t="s">
        <v>52</v>
      </c>
      <c r="D25" s="107">
        <f>0.017</f>
        <v>1.7000000000000001E-2</v>
      </c>
      <c r="E25" s="63">
        <f>E12*D25</f>
        <v>5162.2265002752238</v>
      </c>
      <c r="F25" s="102">
        <v>0.03</v>
      </c>
      <c r="G25" s="62">
        <f t="shared" si="5"/>
        <v>25.7297640070082</v>
      </c>
      <c r="H25" s="10">
        <f>E25*G25</f>
        <v>132822.86960280535</v>
      </c>
      <c r="I25" s="63" t="s">
        <v>53</v>
      </c>
      <c r="J25" s="33">
        <f t="shared" si="0"/>
        <v>0.23611245237798734</v>
      </c>
      <c r="K25" s="34"/>
      <c r="L25" s="74"/>
      <c r="M25" s="42"/>
      <c r="N25" s="42"/>
      <c r="O25" s="42"/>
      <c r="P25" s="42"/>
      <c r="Q25" s="42"/>
      <c r="R25" s="42"/>
      <c r="S25" s="42"/>
      <c r="T25" s="4"/>
      <c r="U25" s="75"/>
    </row>
    <row r="26" spans="1:22" ht="34.5" customHeight="1" x14ac:dyDescent="0.25">
      <c r="A26" s="3"/>
      <c r="B26" s="108" t="s">
        <v>186</v>
      </c>
      <c r="C26" s="110">
        <v>0</v>
      </c>
      <c r="D26" s="110">
        <v>0.10299999999999999</v>
      </c>
      <c r="E26" s="63">
        <f>D26*C26*150*606</f>
        <v>0</v>
      </c>
      <c r="F26" s="102">
        <v>0.03</v>
      </c>
      <c r="G26" s="62">
        <f t="shared" si="5"/>
        <v>25.7297640070082</v>
      </c>
      <c r="H26" s="10">
        <f>E26*G26</f>
        <v>0</v>
      </c>
      <c r="I26" s="63" t="s">
        <v>182</v>
      </c>
      <c r="J26" s="33">
        <f t="shared" si="0"/>
        <v>0</v>
      </c>
      <c r="K26" s="34"/>
      <c r="L26" s="4"/>
      <c r="M26" s="4"/>
      <c r="N26" s="65"/>
      <c r="O26" s="4"/>
      <c r="P26" s="42"/>
      <c r="Q26" s="42"/>
      <c r="R26" s="4"/>
      <c r="S26" s="4"/>
      <c r="T26" s="4"/>
      <c r="U26" s="4"/>
    </row>
    <row r="27" spans="1:22" ht="30.75" customHeight="1" x14ac:dyDescent="0.25">
      <c r="A27" s="3"/>
      <c r="B27" s="66" t="s">
        <v>55</v>
      </c>
      <c r="C27" s="53"/>
      <c r="D27" s="53"/>
      <c r="E27" s="53">
        <f>SUM(E23:E26)</f>
        <v>9000.5465002752244</v>
      </c>
      <c r="F27" s="57"/>
      <c r="G27" s="57"/>
      <c r="H27" s="53">
        <f>SUM(H23:H26)</f>
        <v>231581.93738618505</v>
      </c>
      <c r="I27" s="53" t="s">
        <v>32</v>
      </c>
      <c r="J27" s="113">
        <f t="shared" si="0"/>
        <v>0.41167141868122065</v>
      </c>
      <c r="K27" s="34"/>
      <c r="L27" s="4"/>
      <c r="M27" s="35"/>
      <c r="N27" s="52"/>
      <c r="O27" s="52"/>
      <c r="P27" s="121"/>
      <c r="Q27" s="124"/>
      <c r="R27" s="124"/>
      <c r="S27" s="22"/>
      <c r="T27" s="4"/>
      <c r="U27" s="4"/>
    </row>
    <row r="28" spans="1:22" ht="18.75" x14ac:dyDescent="0.3">
      <c r="A28" s="16"/>
      <c r="B28" s="114" t="s">
        <v>56</v>
      </c>
      <c r="C28" s="115"/>
      <c r="D28" s="115"/>
      <c r="E28" s="115">
        <f>E12+E17-E22+E27</f>
        <v>432334.56190696661</v>
      </c>
      <c r="F28" s="115"/>
      <c r="G28" s="115"/>
      <c r="H28" s="115">
        <f>H12+H17-H22+H27</f>
        <v>562540.72271534451</v>
      </c>
      <c r="I28" s="117"/>
      <c r="J28" s="116">
        <f>J12+J17-J22+J27</f>
        <v>0.99999999999999978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s="21" customFormat="1" ht="30" x14ac:dyDescent="0.25">
      <c r="B29" s="2" t="s">
        <v>164</v>
      </c>
      <c r="C29" s="20" t="s">
        <v>156</v>
      </c>
      <c r="D29" s="20" t="s">
        <v>156</v>
      </c>
      <c r="E29" s="20" t="s">
        <v>156</v>
      </c>
      <c r="F29" s="20" t="s">
        <v>156</v>
      </c>
      <c r="G29" s="20" t="s">
        <v>156</v>
      </c>
      <c r="H29" s="118">
        <f>H28/G33</f>
        <v>0.1237713361309889</v>
      </c>
      <c r="I29" s="21" t="s">
        <v>162</v>
      </c>
      <c r="J29" s="67">
        <f>MAX(J3:J27)</f>
        <v>0.53980160032394364</v>
      </c>
      <c r="K29" s="68"/>
      <c r="L29" s="22"/>
      <c r="M29" s="122"/>
      <c r="N29" s="122"/>
      <c r="O29" s="122"/>
      <c r="P29" s="122"/>
      <c r="Q29" s="122"/>
      <c r="R29" s="122"/>
      <c r="S29" s="4"/>
      <c r="T29" s="22"/>
      <c r="U29" s="22"/>
    </row>
    <row r="30" spans="1:22" ht="27" thickBot="1" x14ac:dyDescent="0.45">
      <c r="B30" s="128" t="s">
        <v>163</v>
      </c>
      <c r="C30" s="17"/>
      <c r="D30" s="17"/>
      <c r="E30" s="17"/>
      <c r="F30" s="17"/>
      <c r="G30" s="17"/>
      <c r="H30" s="17"/>
      <c r="I30" s="69"/>
      <c r="J30" s="4"/>
      <c r="K30" s="70"/>
      <c r="L30" s="126"/>
      <c r="M30" s="4"/>
      <c r="N30" s="42"/>
      <c r="O30" s="42"/>
      <c r="P30" s="42"/>
      <c r="Q30" s="42"/>
      <c r="R30" s="42"/>
      <c r="S30" s="42"/>
      <c r="T30" s="42"/>
      <c r="U30" s="4"/>
    </row>
    <row r="31" spans="1:22" ht="30" x14ac:dyDescent="0.25">
      <c r="B31" s="130" t="s">
        <v>57</v>
      </c>
      <c r="C31" s="131" t="s">
        <v>58</v>
      </c>
      <c r="D31" s="129" t="s">
        <v>165</v>
      </c>
      <c r="E31" s="2" t="s">
        <v>59</v>
      </c>
      <c r="F31" s="2"/>
      <c r="G31" s="2" t="s">
        <v>60</v>
      </c>
      <c r="H31" s="3"/>
      <c r="J31" s="4"/>
      <c r="K31" s="70"/>
      <c r="L31" s="126"/>
      <c r="M31" s="4"/>
      <c r="N31" s="4"/>
      <c r="O31" s="4"/>
      <c r="P31" s="4"/>
      <c r="Q31" s="4"/>
      <c r="R31" s="4"/>
      <c r="S31" s="4"/>
      <c r="T31" s="4"/>
      <c r="U31" s="4"/>
    </row>
    <row r="32" spans="1:22" s="17" customFormat="1" x14ac:dyDescent="0.25">
      <c r="B32" s="132">
        <v>5</v>
      </c>
      <c r="C32" s="133">
        <f>B32/1000</f>
        <v>5.0000000000000001E-3</v>
      </c>
      <c r="D32" s="87" t="s">
        <v>61</v>
      </c>
      <c r="E32" s="3"/>
      <c r="F32" s="3"/>
      <c r="G32" s="3"/>
      <c r="H32" s="7" t="s">
        <v>58</v>
      </c>
      <c r="I32" s="71"/>
      <c r="J32" s="72"/>
    </row>
    <row r="33" spans="2:30" ht="15.75" thickBot="1" x14ac:dyDescent="0.3">
      <c r="B33" s="134">
        <f>100</f>
        <v>100</v>
      </c>
      <c r="C33" s="135">
        <f>100/1000</f>
        <v>0.1</v>
      </c>
      <c r="D33" s="87">
        <v>606</v>
      </c>
      <c r="E33" s="3">
        <f>D33*150</f>
        <v>90900</v>
      </c>
      <c r="F33" s="3"/>
      <c r="G33" s="3">
        <f>E33*50</f>
        <v>4545000</v>
      </c>
      <c r="H33" s="73">
        <f>H28/G33</f>
        <v>0.1237713361309889</v>
      </c>
      <c r="I33" s="4"/>
      <c r="J33" s="70"/>
    </row>
    <row r="34" spans="2:30" ht="15.75" customHeight="1" x14ac:dyDescent="0.25">
      <c r="J34" s="70"/>
    </row>
    <row r="35" spans="2:30" x14ac:dyDescent="0.25">
      <c r="I35" s="60"/>
    </row>
    <row r="36" spans="2:30" x14ac:dyDescent="0.25">
      <c r="D36" s="70"/>
      <c r="E36" s="60"/>
      <c r="F36" s="60"/>
      <c r="H36" s="17"/>
    </row>
    <row r="37" spans="2:30" ht="21" x14ac:dyDescent="0.35">
      <c r="C37" s="127" t="s">
        <v>168</v>
      </c>
      <c r="E37" s="60"/>
      <c r="F37" s="60"/>
    </row>
    <row r="39" spans="2:30" x14ac:dyDescent="0.25">
      <c r="B39" s="4"/>
      <c r="C39" s="4"/>
      <c r="D39" s="4"/>
      <c r="E39" s="4"/>
      <c r="F39" s="4"/>
      <c r="I39" s="71"/>
      <c r="J39" s="71"/>
      <c r="K39" s="71"/>
      <c r="L39" s="71"/>
      <c r="M39" s="71"/>
      <c r="Y39" s="4"/>
      <c r="AD39" s="4"/>
    </row>
    <row r="40" spans="2:30" x14ac:dyDescent="0.25">
      <c r="I40" s="76"/>
      <c r="J40" s="71"/>
      <c r="K40" s="71"/>
      <c r="L40" s="71"/>
      <c r="M40" s="71"/>
      <c r="N40" s="4"/>
      <c r="Y40" s="4"/>
      <c r="AD40" s="4"/>
    </row>
    <row r="41" spans="2:30" x14ac:dyDescent="0.25">
      <c r="E41" s="84"/>
      <c r="F41" s="84"/>
      <c r="G41" s="85"/>
      <c r="H41" s="50"/>
      <c r="K41" s="4"/>
      <c r="L41" s="4"/>
      <c r="M41" s="4"/>
      <c r="N41" s="4"/>
      <c r="O41" s="4"/>
      <c r="P41" s="4"/>
    </row>
    <row r="42" spans="2:30" x14ac:dyDescent="0.25">
      <c r="D42" s="84"/>
    </row>
    <row r="44" spans="2:30" ht="15.75" x14ac:dyDescent="0.25">
      <c r="B44" s="119" t="s">
        <v>166</v>
      </c>
    </row>
    <row r="45" spans="2:30" x14ac:dyDescent="0.25">
      <c r="B45" s="86" t="s">
        <v>78</v>
      </c>
      <c r="G45" t="s">
        <v>87</v>
      </c>
    </row>
    <row r="46" spans="2:30" x14ac:dyDescent="0.25">
      <c r="B46" s="3" t="s">
        <v>79</v>
      </c>
      <c r="C46" s="3" t="s">
        <v>80</v>
      </c>
      <c r="D46" s="3" t="s">
        <v>81</v>
      </c>
      <c r="E46" s="3" t="s">
        <v>82</v>
      </c>
      <c r="F46" s="3"/>
      <c r="G46" s="3" t="s">
        <v>83</v>
      </c>
      <c r="H46" s="7" t="s">
        <v>84</v>
      </c>
      <c r="I46" s="4"/>
    </row>
    <row r="47" spans="2:30" ht="45.75" customHeight="1" x14ac:dyDescent="0.25">
      <c r="B47" s="3"/>
      <c r="C47" s="3" t="s">
        <v>85</v>
      </c>
      <c r="D47" s="2" t="s">
        <v>86</v>
      </c>
      <c r="E47" s="3" t="s">
        <v>1</v>
      </c>
      <c r="F47" s="3"/>
      <c r="G47" s="3" t="s">
        <v>58</v>
      </c>
      <c r="H47" s="7" t="s">
        <v>58</v>
      </c>
      <c r="I47" s="136"/>
    </row>
    <row r="48" spans="2:30" x14ac:dyDescent="0.25">
      <c r="B48" s="18">
        <f>6*0.3048</f>
        <v>1.8288000000000002</v>
      </c>
      <c r="C48" s="12">
        <f>13000/B48</f>
        <v>7108.4864391950996</v>
      </c>
      <c r="D48" s="11">
        <v>0.02</v>
      </c>
      <c r="E48" s="10">
        <f>C48*D48</f>
        <v>142.169728783902</v>
      </c>
      <c r="F48" s="10"/>
      <c r="G48" s="10">
        <f>15*1.31</f>
        <v>19.650000000000002</v>
      </c>
      <c r="H48" s="55">
        <f>5*1.31</f>
        <v>6.5500000000000007</v>
      </c>
      <c r="I48" s="124"/>
    </row>
    <row r="49" spans="1:6" x14ac:dyDescent="0.25">
      <c r="B49" s="21"/>
      <c r="D49" s="75"/>
    </row>
    <row r="50" spans="1:6" x14ac:dyDescent="0.25">
      <c r="A50" t="s">
        <v>167</v>
      </c>
      <c r="B50" s="19"/>
    </row>
    <row r="51" spans="1:6" x14ac:dyDescent="0.25">
      <c r="B51" s="19"/>
    </row>
    <row r="52" spans="1:6" x14ac:dyDescent="0.25">
      <c r="B52" t="s">
        <v>92</v>
      </c>
    </row>
    <row r="53" spans="1:6" x14ac:dyDescent="0.25">
      <c r="B53" s="89" t="s">
        <v>93</v>
      </c>
    </row>
    <row r="54" spans="1:6" x14ac:dyDescent="0.25">
      <c r="B54" t="s">
        <v>94</v>
      </c>
    </row>
    <row r="55" spans="1:6" x14ac:dyDescent="0.25">
      <c r="B55" t="s">
        <v>95</v>
      </c>
    </row>
    <row r="56" spans="1:6" x14ac:dyDescent="0.25">
      <c r="B56" t="s">
        <v>96</v>
      </c>
    </row>
    <row r="57" spans="1:6" x14ac:dyDescent="0.25">
      <c r="B57" t="s">
        <v>97</v>
      </c>
    </row>
    <row r="58" spans="1:6" x14ac:dyDescent="0.25">
      <c r="B58" t="s">
        <v>98</v>
      </c>
    </row>
    <row r="59" spans="1:6" x14ac:dyDescent="0.25">
      <c r="B59" t="s">
        <v>99</v>
      </c>
      <c r="E59" s="59"/>
      <c r="F59" s="59"/>
    </row>
    <row r="60" spans="1:6" x14ac:dyDescent="0.25">
      <c r="B60" t="s">
        <v>100</v>
      </c>
    </row>
    <row r="61" spans="1:6" x14ac:dyDescent="0.25">
      <c r="B61" t="s">
        <v>101</v>
      </c>
    </row>
    <row r="62" spans="1:6" x14ac:dyDescent="0.25">
      <c r="B62" s="90" t="s">
        <v>102</v>
      </c>
    </row>
    <row r="63" spans="1:6" x14ac:dyDescent="0.25">
      <c r="B63" s="90" t="s">
        <v>103</v>
      </c>
    </row>
    <row r="64" spans="1:6" x14ac:dyDescent="0.25">
      <c r="B64" t="s">
        <v>104</v>
      </c>
    </row>
    <row r="65" spans="2:2" x14ac:dyDescent="0.25">
      <c r="B65" t="s">
        <v>105</v>
      </c>
    </row>
    <row r="66" spans="2:2" x14ac:dyDescent="0.25">
      <c r="B66" s="92"/>
    </row>
    <row r="71" spans="2:2" x14ac:dyDescent="0.25">
      <c r="B71" s="91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opLeftCell="A2" workbookViewId="0">
      <selection activeCell="M10" sqref="M10"/>
    </sheetView>
  </sheetViews>
  <sheetFormatPr defaultRowHeight="15" x14ac:dyDescent="0.25"/>
  <cols>
    <col min="1" max="1" width="14.28515625" customWidth="1"/>
    <col min="2" max="2" width="14.5703125" customWidth="1"/>
    <col min="3" max="3" width="11.85546875" customWidth="1"/>
    <col min="4" max="5" width="11.5703125" bestFit="1" customWidth="1"/>
    <col min="6" max="6" width="10.5703125" bestFit="1" customWidth="1"/>
    <col min="7" max="7" width="12.5703125" customWidth="1"/>
    <col min="8" max="8" width="11.5703125" bestFit="1" customWidth="1"/>
  </cols>
  <sheetData>
    <row r="1" spans="1:7" x14ac:dyDescent="0.25">
      <c r="A1" t="s">
        <v>160</v>
      </c>
    </row>
    <row r="2" spans="1:7" x14ac:dyDescent="0.25">
      <c r="A2" t="s">
        <v>159</v>
      </c>
      <c r="B2" t="s">
        <v>108</v>
      </c>
      <c r="C2" t="s">
        <v>139</v>
      </c>
      <c r="D2" t="s">
        <v>140</v>
      </c>
      <c r="E2" t="s">
        <v>109</v>
      </c>
      <c r="F2" t="s">
        <v>110</v>
      </c>
      <c r="G2" s="31"/>
    </row>
    <row r="3" spans="1:7" x14ac:dyDescent="0.25">
      <c r="A3" t="s">
        <v>111</v>
      </c>
      <c r="B3" t="s">
        <v>1</v>
      </c>
      <c r="C3" t="s">
        <v>141</v>
      </c>
      <c r="D3" t="s">
        <v>142</v>
      </c>
      <c r="E3" t="s">
        <v>62</v>
      </c>
      <c r="F3" s="92" t="s">
        <v>112</v>
      </c>
    </row>
    <row r="4" spans="1:7" x14ac:dyDescent="0.25">
      <c r="A4">
        <v>500</v>
      </c>
      <c r="B4" s="94">
        <f>A4/264.17</f>
        <v>1.8927205965855318</v>
      </c>
      <c r="C4">
        <v>4</v>
      </c>
      <c r="D4">
        <v>6</v>
      </c>
      <c r="E4">
        <v>675</v>
      </c>
    </row>
    <row r="5" spans="1:7" x14ac:dyDescent="0.25">
      <c r="A5">
        <v>750</v>
      </c>
      <c r="B5" s="94">
        <f t="shared" ref="B5:B17" si="0">A5/264.17</f>
        <v>2.8390808948782977</v>
      </c>
      <c r="C5">
        <v>4</v>
      </c>
      <c r="D5">
        <v>9</v>
      </c>
      <c r="E5">
        <v>975</v>
      </c>
    </row>
    <row r="6" spans="1:7" x14ac:dyDescent="0.25">
      <c r="A6" s="95">
        <v>1000</v>
      </c>
      <c r="B6" s="94">
        <f t="shared" si="0"/>
        <v>3.7854411931710636</v>
      </c>
      <c r="C6">
        <v>5</v>
      </c>
      <c r="D6">
        <v>7</v>
      </c>
      <c r="E6" s="95">
        <v>1300</v>
      </c>
    </row>
    <row r="7" spans="1:7" x14ac:dyDescent="0.25">
      <c r="A7" s="95">
        <v>1500</v>
      </c>
      <c r="B7" s="94">
        <f t="shared" si="0"/>
        <v>5.6781617897565955</v>
      </c>
      <c r="C7">
        <v>5</v>
      </c>
      <c r="D7" t="s">
        <v>143</v>
      </c>
      <c r="E7" s="95">
        <v>1925</v>
      </c>
    </row>
    <row r="8" spans="1:7" x14ac:dyDescent="0.25">
      <c r="A8" s="95">
        <v>2000</v>
      </c>
      <c r="B8" s="94">
        <f t="shared" si="0"/>
        <v>7.5708823863421273</v>
      </c>
      <c r="C8">
        <v>7</v>
      </c>
      <c r="D8">
        <v>7</v>
      </c>
      <c r="E8" s="95">
        <v>2250</v>
      </c>
    </row>
    <row r="9" spans="1:7" x14ac:dyDescent="0.25">
      <c r="A9" s="95">
        <v>2500</v>
      </c>
      <c r="B9" s="94">
        <f t="shared" si="0"/>
        <v>9.4636029829276591</v>
      </c>
      <c r="C9">
        <v>8</v>
      </c>
      <c r="D9" t="s">
        <v>144</v>
      </c>
      <c r="E9" s="95">
        <v>2725</v>
      </c>
    </row>
    <row r="10" spans="1:7" x14ac:dyDescent="0.25">
      <c r="A10" s="95">
        <v>3000</v>
      </c>
      <c r="B10" s="94">
        <f t="shared" si="0"/>
        <v>11.356323579513191</v>
      </c>
      <c r="C10">
        <v>8</v>
      </c>
      <c r="D10">
        <v>9</v>
      </c>
      <c r="E10" s="95">
        <v>3225</v>
      </c>
    </row>
    <row r="11" spans="1:7" x14ac:dyDescent="0.25">
      <c r="A11" s="95">
        <v>4000</v>
      </c>
      <c r="B11" s="94">
        <f t="shared" si="0"/>
        <v>15.141764772684255</v>
      </c>
      <c r="C11">
        <v>8</v>
      </c>
      <c r="D11">
        <v>12</v>
      </c>
      <c r="E11" s="95">
        <v>4825</v>
      </c>
    </row>
    <row r="12" spans="1:7" x14ac:dyDescent="0.25">
      <c r="A12" s="95">
        <v>5000</v>
      </c>
      <c r="B12" s="94">
        <f t="shared" si="0"/>
        <v>18.927205965855318</v>
      </c>
      <c r="C12" t="s">
        <v>145</v>
      </c>
      <c r="D12" t="s">
        <v>146</v>
      </c>
      <c r="E12" s="95">
        <v>5975</v>
      </c>
    </row>
    <row r="13" spans="1:7" x14ac:dyDescent="0.25">
      <c r="A13" s="95">
        <v>6500</v>
      </c>
      <c r="B13" s="94">
        <f t="shared" si="0"/>
        <v>24.605367755611915</v>
      </c>
      <c r="C13">
        <v>10</v>
      </c>
      <c r="D13">
        <v>12</v>
      </c>
      <c r="E13" s="95">
        <v>7675</v>
      </c>
    </row>
    <row r="14" spans="1:7" x14ac:dyDescent="0.25">
      <c r="A14" s="95">
        <v>9000</v>
      </c>
      <c r="B14" s="94">
        <f t="shared" si="0"/>
        <v>34.068970738539576</v>
      </c>
      <c r="C14">
        <v>12</v>
      </c>
      <c r="D14">
        <v>12</v>
      </c>
      <c r="E14" s="95">
        <v>10525</v>
      </c>
    </row>
    <row r="15" spans="1:7" x14ac:dyDescent="0.25">
      <c r="A15" s="95">
        <v>12000</v>
      </c>
      <c r="B15" s="94">
        <f t="shared" si="0"/>
        <v>45.425294318052764</v>
      </c>
      <c r="C15">
        <v>12</v>
      </c>
      <c r="D15" t="s">
        <v>147</v>
      </c>
      <c r="E15" s="95">
        <v>14000</v>
      </c>
    </row>
    <row r="16" spans="1:7" x14ac:dyDescent="0.25">
      <c r="A16" s="95">
        <v>16000</v>
      </c>
      <c r="B16" s="94">
        <f t="shared" si="0"/>
        <v>60.567059090737018</v>
      </c>
      <c r="C16">
        <v>14</v>
      </c>
      <c r="D16">
        <v>14</v>
      </c>
      <c r="E16" s="95">
        <v>18200</v>
      </c>
    </row>
    <row r="17" spans="1:9" x14ac:dyDescent="0.25">
      <c r="A17" s="95">
        <v>20000</v>
      </c>
      <c r="B17" s="94">
        <f t="shared" si="0"/>
        <v>75.708823863421273</v>
      </c>
      <c r="C17">
        <v>15</v>
      </c>
      <c r="D17">
        <v>15</v>
      </c>
      <c r="E17" s="95">
        <v>22350</v>
      </c>
    </row>
    <row r="18" spans="1:9" x14ac:dyDescent="0.25">
      <c r="C18" t="s">
        <v>148</v>
      </c>
    </row>
    <row r="20" spans="1:9" x14ac:dyDescent="0.25">
      <c r="F20" s="23"/>
    </row>
    <row r="21" spans="1:9" x14ac:dyDescent="0.25">
      <c r="A21" s="3" t="s">
        <v>114</v>
      </c>
      <c r="B21" s="3" t="s">
        <v>109</v>
      </c>
      <c r="D21" s="3" t="s">
        <v>115</v>
      </c>
      <c r="E21" s="3"/>
      <c r="F21" s="3" t="s">
        <v>116</v>
      </c>
      <c r="G21" s="7" t="s">
        <v>117</v>
      </c>
      <c r="H21" s="3" t="s">
        <v>118</v>
      </c>
      <c r="I21" s="3"/>
    </row>
    <row r="22" spans="1:9" x14ac:dyDescent="0.25">
      <c r="A22" s="3" t="s">
        <v>111</v>
      </c>
      <c r="B22" s="3" t="s">
        <v>62</v>
      </c>
      <c r="D22" s="3" t="s">
        <v>1</v>
      </c>
      <c r="E22" s="3" t="s">
        <v>119</v>
      </c>
      <c r="F22" s="3" t="s">
        <v>62</v>
      </c>
      <c r="G22" s="3" t="s">
        <v>120</v>
      </c>
      <c r="H22" s="39"/>
      <c r="I22" s="3"/>
    </row>
    <row r="23" spans="1:9" x14ac:dyDescent="0.25">
      <c r="A23" s="3">
        <v>500</v>
      </c>
      <c r="B23" s="3">
        <v>675</v>
      </c>
      <c r="C23" t="s">
        <v>121</v>
      </c>
      <c r="D23" s="3">
        <v>606</v>
      </c>
      <c r="E23" s="39">
        <f>D23*264.17</f>
        <v>160087.02000000002</v>
      </c>
      <c r="F23" s="39">
        <f>1.1267*E23+161.68</f>
        <v>180531.72543400002</v>
      </c>
      <c r="G23" s="11">
        <f>E23*0.134</f>
        <v>21451.660680000005</v>
      </c>
      <c r="H23" s="11">
        <f>6.125*G23</f>
        <v>131391.42166500003</v>
      </c>
      <c r="I23" s="3"/>
    </row>
    <row r="24" spans="1:9" x14ac:dyDescent="0.25">
      <c r="A24" s="3">
        <v>750</v>
      </c>
      <c r="B24" s="3">
        <v>975</v>
      </c>
      <c r="C24" t="s">
        <v>122</v>
      </c>
      <c r="D24" s="11">
        <f>D23/8</f>
        <v>75.75</v>
      </c>
      <c r="E24" s="39">
        <f>D24*264.17</f>
        <v>20010.877500000002</v>
      </c>
      <c r="F24" s="39">
        <f>1.1267*E24+161.68</f>
        <v>22707.935679250004</v>
      </c>
      <c r="G24" s="11">
        <f>E24*0.134</f>
        <v>2681.4575850000006</v>
      </c>
      <c r="H24" s="11">
        <f>6.125*G24</f>
        <v>16423.927708125004</v>
      </c>
    </row>
    <row r="25" spans="1:9" x14ac:dyDescent="0.25">
      <c r="A25" s="79">
        <v>1000</v>
      </c>
      <c r="B25" s="79">
        <v>1300</v>
      </c>
      <c r="D25">
        <v>6.2</v>
      </c>
      <c r="E25" s="39">
        <f>D25*264.17</f>
        <v>1637.854</v>
      </c>
      <c r="F25" s="39">
        <f>1.1267*E25+161.68</f>
        <v>2007.0501018000002</v>
      </c>
      <c r="G25" s="11">
        <f>E25*0.134</f>
        <v>219.47243600000002</v>
      </c>
      <c r="H25" s="11">
        <f>6.125*G25</f>
        <v>1344.2686705000001</v>
      </c>
    </row>
    <row r="26" spans="1:9" x14ac:dyDescent="0.25">
      <c r="A26" s="79">
        <v>1500</v>
      </c>
      <c r="B26" s="79">
        <v>1925</v>
      </c>
    </row>
    <row r="27" spans="1:9" x14ac:dyDescent="0.25">
      <c r="A27" s="79">
        <v>2000</v>
      </c>
      <c r="B27" s="79">
        <v>2250</v>
      </c>
    </row>
    <row r="28" spans="1:9" x14ac:dyDescent="0.25">
      <c r="A28" s="79">
        <v>2500</v>
      </c>
      <c r="B28" s="79">
        <v>2725</v>
      </c>
    </row>
    <row r="29" spans="1:9" x14ac:dyDescent="0.25">
      <c r="A29" s="79">
        <v>3000</v>
      </c>
      <c r="B29" s="79">
        <v>3225</v>
      </c>
      <c r="F29" s="94"/>
      <c r="G29" s="94"/>
      <c r="H29" s="94"/>
    </row>
    <row r="30" spans="1:9" x14ac:dyDescent="0.25">
      <c r="A30" s="79">
        <v>4000</v>
      </c>
      <c r="B30" s="79">
        <v>4825</v>
      </c>
      <c r="G30" s="59"/>
    </row>
    <row r="31" spans="1:9" x14ac:dyDescent="0.25">
      <c r="A31" s="79">
        <v>5000</v>
      </c>
      <c r="B31" s="79">
        <v>5975</v>
      </c>
    </row>
    <row r="32" spans="1:9" x14ac:dyDescent="0.25">
      <c r="A32" s="79">
        <v>6500</v>
      </c>
      <c r="B32" s="79">
        <v>7675</v>
      </c>
    </row>
    <row r="33" spans="1:14" x14ac:dyDescent="0.25">
      <c r="A33" s="79">
        <v>9000</v>
      </c>
      <c r="B33" s="79">
        <v>10525</v>
      </c>
    </row>
    <row r="34" spans="1:14" x14ac:dyDescent="0.25">
      <c r="A34" s="79">
        <v>12000</v>
      </c>
      <c r="B34" s="79">
        <v>14000</v>
      </c>
    </row>
    <row r="35" spans="1:14" x14ac:dyDescent="0.25">
      <c r="A35" s="79">
        <v>16000</v>
      </c>
      <c r="B35" s="79">
        <v>18200</v>
      </c>
      <c r="F35" s="60"/>
    </row>
    <row r="36" spans="1:14" x14ac:dyDescent="0.25">
      <c r="A36" s="79">
        <v>20000</v>
      </c>
      <c r="B36" s="79">
        <v>22350</v>
      </c>
      <c r="G36" s="60"/>
    </row>
    <row r="38" spans="1:14" x14ac:dyDescent="0.25">
      <c r="A38">
        <f>E23/20000</f>
        <v>8.0043510000000015</v>
      </c>
    </row>
    <row r="39" spans="1:14" x14ac:dyDescent="0.25">
      <c r="A39" s="59">
        <f>B36*A38</f>
        <v>178897.24485000005</v>
      </c>
    </row>
    <row r="41" spans="1:14" ht="15.75" thickBot="1" x14ac:dyDescent="0.3"/>
    <row r="42" spans="1:14" x14ac:dyDescent="0.25">
      <c r="H42" s="3" t="s">
        <v>123</v>
      </c>
      <c r="I42" s="3" t="s">
        <v>124</v>
      </c>
      <c r="J42" s="96" t="s">
        <v>123</v>
      </c>
      <c r="K42" s="96" t="s">
        <v>125</v>
      </c>
      <c r="L42" s="71" t="s">
        <v>126</v>
      </c>
    </row>
    <row r="43" spans="1:14" ht="45" x14ac:dyDescent="0.25">
      <c r="F43" s="4"/>
      <c r="G43" s="4"/>
      <c r="H43" s="2" t="s">
        <v>127</v>
      </c>
      <c r="I43" s="3" t="s">
        <v>128</v>
      </c>
      <c r="J43" s="1" t="s">
        <v>129</v>
      </c>
      <c r="K43" s="4" t="s">
        <v>130</v>
      </c>
      <c r="L43" t="s">
        <v>131</v>
      </c>
    </row>
    <row r="44" spans="1:14" ht="30" x14ac:dyDescent="0.25">
      <c r="F44" s="9" t="s">
        <v>132</v>
      </c>
      <c r="G44" s="9"/>
      <c r="H44" s="97">
        <f>(0.74+1.67)/2</f>
        <v>1.2050000000000001</v>
      </c>
      <c r="I44" s="98">
        <f>(0.3+1.25)/2</f>
        <v>0.77500000000000002</v>
      </c>
      <c r="J44" s="1" t="s">
        <v>133</v>
      </c>
      <c r="K44" s="4" t="s">
        <v>134</v>
      </c>
    </row>
    <row r="45" spans="1:14" x14ac:dyDescent="0.25">
      <c r="F45" s="3" t="s">
        <v>1</v>
      </c>
      <c r="G45" s="3" t="s">
        <v>135</v>
      </c>
      <c r="H45" s="3" t="s">
        <v>62</v>
      </c>
      <c r="I45" s="3"/>
      <c r="J45" s="3"/>
      <c r="K45" s="3"/>
      <c r="L45" s="3"/>
    </row>
    <row r="46" spans="1:14" ht="17.25" x14ac:dyDescent="0.25">
      <c r="A46" s="99" t="s">
        <v>136</v>
      </c>
      <c r="F46" s="3">
        <v>6.2</v>
      </c>
      <c r="G46" s="55">
        <f>264.17*F46</f>
        <v>1637.854</v>
      </c>
      <c r="H46" s="10">
        <f>G46*$H$44</f>
        <v>1973.6140700000001</v>
      </c>
      <c r="I46" s="10">
        <f>G46*$I$44</f>
        <v>1269.3368500000001</v>
      </c>
      <c r="J46" s="3"/>
      <c r="K46" s="3"/>
      <c r="L46" s="53">
        <f>297.64*F46+161.68</f>
        <v>2007.048</v>
      </c>
      <c r="N46">
        <f>F46*6</f>
        <v>37.200000000000003</v>
      </c>
    </row>
    <row r="47" spans="1:14" x14ac:dyDescent="0.25">
      <c r="A47" t="s">
        <v>92</v>
      </c>
      <c r="F47" s="18">
        <v>9.0016666666666669</v>
      </c>
      <c r="G47" s="55">
        <f t="shared" ref="G47:G49" si="1">264.17*F47</f>
        <v>2377.9702833333336</v>
      </c>
      <c r="H47" s="10">
        <f t="shared" ref="H47:H49" si="2">G47*$H$44</f>
        <v>2865.4541914166671</v>
      </c>
      <c r="I47" s="10">
        <f t="shared" ref="I47:I49" si="3">G47*$I$44</f>
        <v>1842.9269695833336</v>
      </c>
      <c r="J47" s="3"/>
      <c r="K47" s="3"/>
      <c r="L47" s="53">
        <f t="shared" ref="L47" si="4">297.64*F47+161.68</f>
        <v>2840.9360666666666</v>
      </c>
      <c r="M47" s="13"/>
      <c r="N47">
        <f>F47*6</f>
        <v>54.010000000000005</v>
      </c>
    </row>
    <row r="48" spans="1:14" x14ac:dyDescent="0.25">
      <c r="F48" s="18">
        <v>19.834047697353213</v>
      </c>
      <c r="G48" s="55">
        <f t="shared" si="1"/>
        <v>5239.5603802097985</v>
      </c>
      <c r="H48" s="10">
        <f t="shared" si="2"/>
        <v>6313.6702581528079</v>
      </c>
      <c r="I48" s="10">
        <f t="shared" si="3"/>
        <v>4060.6592946625938</v>
      </c>
      <c r="J48" s="3"/>
      <c r="K48" s="3"/>
      <c r="L48" s="53">
        <f>297.64*F48+161.68</f>
        <v>6065.0859566402105</v>
      </c>
      <c r="N48" s="25"/>
    </row>
    <row r="49" spans="1:14" x14ac:dyDescent="0.25">
      <c r="A49" t="s">
        <v>137</v>
      </c>
      <c r="F49" s="3">
        <v>606</v>
      </c>
      <c r="G49" s="55">
        <f t="shared" si="1"/>
        <v>160087.02000000002</v>
      </c>
      <c r="H49" s="10">
        <f t="shared" si="2"/>
        <v>192904.85910000003</v>
      </c>
      <c r="I49" s="10">
        <f t="shared" si="3"/>
        <v>124067.44050000001</v>
      </c>
      <c r="J49" s="3"/>
      <c r="K49" s="3"/>
      <c r="L49" s="53">
        <f>297.64*F49+161.68</f>
        <v>180531.52</v>
      </c>
      <c r="N49" s="25"/>
    </row>
    <row r="50" spans="1:14" x14ac:dyDescent="0.25">
      <c r="A50">
        <f>606*264.17</f>
        <v>160087.02000000002</v>
      </c>
      <c r="F50" s="94">
        <f>F47+F46</f>
        <v>15.201666666666668</v>
      </c>
      <c r="I50" s="100"/>
      <c r="K50" s="60"/>
      <c r="L50" s="53">
        <f>297.64*F50+161.68</f>
        <v>4686.3040666666675</v>
      </c>
      <c r="N50" s="14"/>
    </row>
    <row r="51" spans="1:14" x14ac:dyDescent="0.25">
      <c r="N51" s="4"/>
    </row>
  </sheetData>
  <hyperlinks>
    <hyperlink ref="F3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opLeftCell="A94" workbookViewId="0">
      <selection activeCell="C54" sqref="C54"/>
    </sheetView>
  </sheetViews>
  <sheetFormatPr defaultRowHeight="15" x14ac:dyDescent="0.25"/>
  <cols>
    <col min="1" max="1" width="18" customWidth="1"/>
    <col min="2" max="2" width="14.5703125" customWidth="1"/>
    <col min="3" max="3" width="11.85546875" customWidth="1"/>
    <col min="4" max="5" width="11.5703125" bestFit="1" customWidth="1"/>
    <col min="6" max="6" width="10.5703125" bestFit="1" customWidth="1"/>
    <col min="7" max="7" width="12.5703125" customWidth="1"/>
    <col min="8" max="8" width="13.28515625" bestFit="1" customWidth="1"/>
  </cols>
  <sheetData>
    <row r="1" spans="1:7" x14ac:dyDescent="0.25">
      <c r="A1" t="s">
        <v>107</v>
      </c>
      <c r="B1" t="s">
        <v>108</v>
      </c>
      <c r="C1" t="s">
        <v>109</v>
      </c>
      <c r="F1" t="s">
        <v>110</v>
      </c>
      <c r="G1" s="31"/>
    </row>
    <row r="2" spans="1:7" x14ac:dyDescent="0.25">
      <c r="A2" t="s">
        <v>111</v>
      </c>
      <c r="B2" t="s">
        <v>1</v>
      </c>
      <c r="C2" t="s">
        <v>62</v>
      </c>
      <c r="F2" s="92" t="s">
        <v>112</v>
      </c>
    </row>
    <row r="3" spans="1:7" x14ac:dyDescent="0.25">
      <c r="A3" s="59">
        <v>10000</v>
      </c>
      <c r="B3" s="94">
        <f>A3/264.17</f>
        <v>37.854411931710636</v>
      </c>
      <c r="C3" s="59">
        <v>40500</v>
      </c>
    </row>
    <row r="4" spans="1:7" x14ac:dyDescent="0.25">
      <c r="A4" s="59">
        <v>20000</v>
      </c>
      <c r="B4" s="94">
        <f t="shared" ref="B4:B26" si="0">A4/264.17</f>
        <v>75.708823863421273</v>
      </c>
      <c r="C4" s="59">
        <v>61500</v>
      </c>
    </row>
    <row r="5" spans="1:7" x14ac:dyDescent="0.25">
      <c r="A5" s="59">
        <v>30000</v>
      </c>
      <c r="B5" s="94">
        <f t="shared" si="0"/>
        <v>113.56323579513192</v>
      </c>
      <c r="C5" s="59">
        <v>77750</v>
      </c>
    </row>
    <row r="6" spans="1:7" x14ac:dyDescent="0.25">
      <c r="A6" s="59">
        <v>50000</v>
      </c>
      <c r="B6" s="94">
        <f t="shared" si="0"/>
        <v>189.27205965855319</v>
      </c>
      <c r="C6" s="59">
        <v>107250</v>
      </c>
    </row>
    <row r="7" spans="1:7" x14ac:dyDescent="0.25">
      <c r="A7" s="59">
        <v>75000</v>
      </c>
      <c r="B7" s="94">
        <f t="shared" si="0"/>
        <v>283.90808948782978</v>
      </c>
      <c r="C7" s="59">
        <v>134500</v>
      </c>
    </row>
    <row r="8" spans="1:7" x14ac:dyDescent="0.25">
      <c r="A8" s="59">
        <v>100000</v>
      </c>
      <c r="B8" s="94">
        <f t="shared" si="0"/>
        <v>378.54411931710638</v>
      </c>
      <c r="C8" s="59">
        <v>159000</v>
      </c>
    </row>
    <row r="9" spans="1:7" x14ac:dyDescent="0.25">
      <c r="A9" s="59">
        <v>125000</v>
      </c>
      <c r="B9" s="94">
        <f t="shared" si="0"/>
        <v>473.18014914638297</v>
      </c>
      <c r="C9" s="59">
        <v>180000</v>
      </c>
    </row>
    <row r="10" spans="1:7" x14ac:dyDescent="0.25">
      <c r="A10" s="59">
        <v>150000</v>
      </c>
      <c r="B10" s="94">
        <f t="shared" si="0"/>
        <v>567.81617897565957</v>
      </c>
      <c r="C10" s="59">
        <v>203250</v>
      </c>
    </row>
    <row r="11" spans="1:7" x14ac:dyDescent="0.25">
      <c r="A11" s="59">
        <v>200000</v>
      </c>
      <c r="B11" s="94">
        <f t="shared" si="0"/>
        <v>757.08823863421276</v>
      </c>
      <c r="C11" s="59">
        <v>250000</v>
      </c>
    </row>
    <row r="12" spans="1:7" x14ac:dyDescent="0.25">
      <c r="A12" s="59">
        <v>250000</v>
      </c>
      <c r="B12" s="94">
        <f t="shared" si="0"/>
        <v>946.36029829276595</v>
      </c>
      <c r="C12" s="59">
        <v>284000</v>
      </c>
    </row>
    <row r="13" spans="1:7" x14ac:dyDescent="0.25">
      <c r="A13" s="59">
        <v>300000</v>
      </c>
      <c r="B13" s="94">
        <f t="shared" si="0"/>
        <v>1135.6323579513191</v>
      </c>
      <c r="C13" s="59">
        <v>346000</v>
      </c>
    </row>
    <row r="14" spans="1:7" x14ac:dyDescent="0.25">
      <c r="A14" s="59">
        <v>400000</v>
      </c>
      <c r="B14" s="94">
        <f t="shared" si="0"/>
        <v>1514.1764772684255</v>
      </c>
      <c r="C14" s="59">
        <v>376500</v>
      </c>
    </row>
    <row r="15" spans="1:7" x14ac:dyDescent="0.25">
      <c r="A15" s="59">
        <v>500000</v>
      </c>
      <c r="B15" s="94">
        <f t="shared" si="0"/>
        <v>1892.7205965855319</v>
      </c>
      <c r="C15" s="59">
        <v>407500</v>
      </c>
    </row>
    <row r="16" spans="1:7" x14ac:dyDescent="0.25">
      <c r="A16" s="59">
        <v>750000</v>
      </c>
      <c r="B16" s="94">
        <f t="shared" si="0"/>
        <v>2839.0808948782978</v>
      </c>
      <c r="C16" s="59">
        <v>509000</v>
      </c>
    </row>
    <row r="17" spans="1:5" x14ac:dyDescent="0.25">
      <c r="A17" s="59">
        <v>1000000</v>
      </c>
      <c r="B17" s="94">
        <f t="shared" si="0"/>
        <v>3785.4411931710638</v>
      </c>
      <c r="C17" s="59">
        <v>585500</v>
      </c>
    </row>
    <row r="18" spans="1:5" x14ac:dyDescent="0.25">
      <c r="A18" s="59">
        <v>1500000</v>
      </c>
      <c r="B18" s="94">
        <f t="shared" si="0"/>
        <v>5678.1617897565957</v>
      </c>
      <c r="C18" s="59">
        <v>718000</v>
      </c>
    </row>
    <row r="19" spans="1:5" x14ac:dyDescent="0.25">
      <c r="A19" s="59">
        <v>2000000</v>
      </c>
      <c r="B19" s="94">
        <f t="shared" si="0"/>
        <v>7570.8823863421276</v>
      </c>
      <c r="C19" s="59">
        <v>865500</v>
      </c>
    </row>
    <row r="20" spans="1:5" x14ac:dyDescent="0.25">
      <c r="A20" s="59">
        <v>2500000</v>
      </c>
      <c r="B20" s="94">
        <f t="shared" si="0"/>
        <v>9463.6029829276595</v>
      </c>
      <c r="C20" s="59">
        <v>967500</v>
      </c>
    </row>
    <row r="21" spans="1:5" x14ac:dyDescent="0.25">
      <c r="A21" s="59">
        <v>3000000</v>
      </c>
      <c r="B21" s="94">
        <f t="shared" si="0"/>
        <v>11356.323579513191</v>
      </c>
      <c r="C21" s="59">
        <v>1120000</v>
      </c>
    </row>
    <row r="22" spans="1:5" x14ac:dyDescent="0.25">
      <c r="A22" s="59">
        <v>4000000</v>
      </c>
      <c r="B22" s="94">
        <f t="shared" si="0"/>
        <v>15141.764772684255</v>
      </c>
      <c r="C22" s="59">
        <v>1344000</v>
      </c>
    </row>
    <row r="23" spans="1:5" x14ac:dyDescent="0.25">
      <c r="A23" s="59">
        <v>5000000</v>
      </c>
      <c r="B23" s="94">
        <f t="shared" si="0"/>
        <v>18927.205965855319</v>
      </c>
      <c r="C23" s="59">
        <v>1578000</v>
      </c>
    </row>
    <row r="24" spans="1:5" x14ac:dyDescent="0.25">
      <c r="A24" s="59">
        <v>6000000</v>
      </c>
      <c r="B24" s="94">
        <f t="shared" si="0"/>
        <v>22712.647159026383</v>
      </c>
      <c r="C24" s="59">
        <v>1832500</v>
      </c>
    </row>
    <row r="25" spans="1:5" x14ac:dyDescent="0.25">
      <c r="A25" s="59">
        <v>7500000</v>
      </c>
      <c r="B25" s="94">
        <f t="shared" si="0"/>
        <v>28390.808948782978</v>
      </c>
      <c r="C25" s="59">
        <v>2138000</v>
      </c>
    </row>
    <row r="26" spans="1:5" x14ac:dyDescent="0.25">
      <c r="A26" s="59">
        <v>10000000</v>
      </c>
      <c r="B26" s="94">
        <f t="shared" si="0"/>
        <v>37854.411931710638</v>
      </c>
      <c r="C26" s="59">
        <v>2749000</v>
      </c>
    </row>
    <row r="27" spans="1:5" x14ac:dyDescent="0.25">
      <c r="A27" s="95"/>
      <c r="B27" s="94"/>
      <c r="E27" s="95"/>
    </row>
    <row r="28" spans="1:5" x14ac:dyDescent="0.25">
      <c r="A28" s="95" t="s">
        <v>113</v>
      </c>
      <c r="B28" s="94">
        <v>606</v>
      </c>
      <c r="C28" s="59">
        <f>4845.4*B28^0.5886</f>
        <v>210422.90964363067</v>
      </c>
      <c r="D28" s="59">
        <f>4588.9*B28^0.5989</f>
        <v>212878.32696622433</v>
      </c>
      <c r="E28" s="95"/>
    </row>
    <row r="29" spans="1:5" x14ac:dyDescent="0.25">
      <c r="A29" s="95"/>
      <c r="B29" s="94">
        <v>37.854411931710636</v>
      </c>
      <c r="C29" s="59">
        <f>4845.4*B29^0.5886</f>
        <v>41134.763916257791</v>
      </c>
      <c r="D29" s="59">
        <f>4588.9*B29^0.5989</f>
        <v>40442.925919553985</v>
      </c>
      <c r="E29" s="95"/>
    </row>
    <row r="30" spans="1:5" x14ac:dyDescent="0.25">
      <c r="A30" s="95"/>
      <c r="B30" s="94"/>
      <c r="E30" s="95"/>
    </row>
    <row r="33" spans="1:9" x14ac:dyDescent="0.25">
      <c r="F33" s="23"/>
    </row>
    <row r="34" spans="1:9" x14ac:dyDescent="0.25">
      <c r="A34" s="3" t="s">
        <v>114</v>
      </c>
      <c r="B34" s="3" t="s">
        <v>109</v>
      </c>
      <c r="D34" s="3" t="s">
        <v>115</v>
      </c>
      <c r="E34" s="3"/>
      <c r="F34" s="3" t="s">
        <v>116</v>
      </c>
      <c r="G34" s="7" t="s">
        <v>117</v>
      </c>
      <c r="H34" s="3" t="s">
        <v>118</v>
      </c>
      <c r="I34" s="3"/>
    </row>
    <row r="35" spans="1:9" x14ac:dyDescent="0.25">
      <c r="A35" s="3" t="s">
        <v>111</v>
      </c>
      <c r="B35" s="3" t="s">
        <v>62</v>
      </c>
      <c r="D35" s="3" t="s">
        <v>1</v>
      </c>
      <c r="E35" s="3" t="s">
        <v>119</v>
      </c>
      <c r="F35" s="3" t="s">
        <v>62</v>
      </c>
      <c r="G35" s="3" t="s">
        <v>120</v>
      </c>
      <c r="H35" s="39"/>
      <c r="I35" s="3"/>
    </row>
    <row r="36" spans="1:9" x14ac:dyDescent="0.25">
      <c r="A36" s="3">
        <v>500</v>
      </c>
      <c r="B36" s="3">
        <v>675</v>
      </c>
      <c r="C36" t="s">
        <v>121</v>
      </c>
      <c r="D36" s="3">
        <v>606</v>
      </c>
      <c r="E36" s="39">
        <f>D36*264.17</f>
        <v>160087.02000000002</v>
      </c>
      <c r="F36" s="39">
        <f>1.1267*E36+161.68</f>
        <v>180531.72543400002</v>
      </c>
      <c r="G36" s="11">
        <f>E36*0.134</f>
        <v>21451.660680000005</v>
      </c>
      <c r="H36" s="11">
        <f>6.125*G36</f>
        <v>131391.42166500003</v>
      </c>
      <c r="I36" s="3"/>
    </row>
    <row r="37" spans="1:9" x14ac:dyDescent="0.25">
      <c r="A37" s="3">
        <v>750</v>
      </c>
      <c r="B37" s="3">
        <v>975</v>
      </c>
      <c r="C37" t="s">
        <v>122</v>
      </c>
      <c r="D37" s="11">
        <f>D36/8</f>
        <v>75.75</v>
      </c>
      <c r="E37" s="39">
        <f>D37*264.17</f>
        <v>20010.877500000002</v>
      </c>
      <c r="F37" s="39">
        <f>1.1267*E37+161.68</f>
        <v>22707.935679250004</v>
      </c>
      <c r="G37" s="11">
        <f>E37*0.134</f>
        <v>2681.4575850000006</v>
      </c>
      <c r="H37" s="11">
        <f>6.125*G37</f>
        <v>16423.927708125004</v>
      </c>
    </row>
    <row r="38" spans="1:9" x14ac:dyDescent="0.25">
      <c r="A38" s="79">
        <v>1000</v>
      </c>
      <c r="B38" s="79">
        <v>1300</v>
      </c>
      <c r="D38">
        <v>6.2</v>
      </c>
      <c r="E38" s="39">
        <f>D38*264.17</f>
        <v>1637.854</v>
      </c>
      <c r="F38" s="39">
        <f>1.1267*E38+161.68</f>
        <v>2007.0501018000002</v>
      </c>
      <c r="G38" s="11">
        <f>E38*0.134</f>
        <v>219.47243600000002</v>
      </c>
      <c r="H38" s="11">
        <f>6.125*G38</f>
        <v>1344.2686705000001</v>
      </c>
    </row>
    <row r="39" spans="1:9" x14ac:dyDescent="0.25">
      <c r="A39" s="79">
        <v>1500</v>
      </c>
      <c r="B39" s="79">
        <v>1925</v>
      </c>
    </row>
    <row r="40" spans="1:9" x14ac:dyDescent="0.25">
      <c r="A40" s="79">
        <v>2000</v>
      </c>
      <c r="B40" s="79">
        <v>2250</v>
      </c>
    </row>
    <row r="41" spans="1:9" x14ac:dyDescent="0.25">
      <c r="A41" s="79">
        <v>2500</v>
      </c>
      <c r="B41" s="79">
        <v>2725</v>
      </c>
    </row>
    <row r="42" spans="1:9" x14ac:dyDescent="0.25">
      <c r="A42" s="79">
        <v>3000</v>
      </c>
      <c r="B42" s="79">
        <v>3225</v>
      </c>
      <c r="F42" s="94"/>
      <c r="G42" s="94"/>
      <c r="H42" s="94"/>
    </row>
    <row r="43" spans="1:9" x14ac:dyDescent="0.25">
      <c r="A43" s="79">
        <v>4000</v>
      </c>
      <c r="B43" s="79">
        <v>4825</v>
      </c>
      <c r="G43" s="59"/>
    </row>
    <row r="44" spans="1:9" x14ac:dyDescent="0.25">
      <c r="A44" s="79">
        <v>5000</v>
      </c>
      <c r="B44" s="79">
        <v>5975</v>
      </c>
    </row>
    <row r="45" spans="1:9" x14ac:dyDescent="0.25">
      <c r="A45" s="79">
        <v>6500</v>
      </c>
      <c r="B45" s="79">
        <v>7675</v>
      </c>
    </row>
    <row r="46" spans="1:9" x14ac:dyDescent="0.25">
      <c r="A46" s="79">
        <v>9000</v>
      </c>
      <c r="B46" s="79">
        <v>10525</v>
      </c>
    </row>
    <row r="47" spans="1:9" x14ac:dyDescent="0.25">
      <c r="A47" s="79">
        <v>12000</v>
      </c>
      <c r="B47" s="79">
        <v>14000</v>
      </c>
    </row>
    <row r="48" spans="1:9" x14ac:dyDescent="0.25">
      <c r="A48" s="79">
        <v>16000</v>
      </c>
      <c r="B48" s="79">
        <v>18200</v>
      </c>
      <c r="F48" s="60"/>
    </row>
    <row r="49" spans="1:14" x14ac:dyDescent="0.25">
      <c r="A49" s="79">
        <v>20000</v>
      </c>
      <c r="B49" s="79">
        <v>22350</v>
      </c>
      <c r="G49" s="60"/>
    </row>
    <row r="51" spans="1:14" x14ac:dyDescent="0.25">
      <c r="A51">
        <f>E36/20000</f>
        <v>8.0043510000000015</v>
      </c>
    </row>
    <row r="52" spans="1:14" x14ac:dyDescent="0.25">
      <c r="A52" s="59">
        <f>B49*A51</f>
        <v>178897.24485000005</v>
      </c>
    </row>
    <row r="54" spans="1:14" ht="15.75" thickBot="1" x14ac:dyDescent="0.3"/>
    <row r="55" spans="1:14" x14ac:dyDescent="0.25">
      <c r="H55" s="3" t="s">
        <v>123</v>
      </c>
      <c r="I55" s="3" t="s">
        <v>124</v>
      </c>
      <c r="J55" s="96" t="s">
        <v>123</v>
      </c>
      <c r="K55" s="96" t="s">
        <v>125</v>
      </c>
      <c r="L55" s="71" t="s">
        <v>126</v>
      </c>
    </row>
    <row r="56" spans="1:14" ht="45" x14ac:dyDescent="0.25">
      <c r="F56" s="4"/>
      <c r="G56" s="4"/>
      <c r="H56" s="2" t="s">
        <v>127</v>
      </c>
      <c r="I56" s="3" t="s">
        <v>128</v>
      </c>
      <c r="J56" s="1" t="s">
        <v>129</v>
      </c>
      <c r="K56" s="4" t="s">
        <v>130</v>
      </c>
      <c r="L56" t="s">
        <v>131</v>
      </c>
    </row>
    <row r="57" spans="1:14" ht="30" x14ac:dyDescent="0.25">
      <c r="F57" s="9" t="s">
        <v>132</v>
      </c>
      <c r="G57" s="9"/>
      <c r="H57" s="97">
        <f>(0.74+1.67)/2</f>
        <v>1.2050000000000001</v>
      </c>
      <c r="I57" s="98">
        <f>(0.3+1.25)/2</f>
        <v>0.77500000000000002</v>
      </c>
      <c r="J57" s="1" t="s">
        <v>133</v>
      </c>
      <c r="K57" s="4" t="s">
        <v>134</v>
      </c>
    </row>
    <row r="58" spans="1:14" x14ac:dyDescent="0.25">
      <c r="F58" s="3" t="s">
        <v>1</v>
      </c>
      <c r="G58" s="3" t="s">
        <v>135</v>
      </c>
      <c r="H58" s="3" t="s">
        <v>62</v>
      </c>
      <c r="I58" s="3"/>
      <c r="J58" s="3"/>
      <c r="K58" s="3"/>
      <c r="L58" s="3"/>
    </row>
    <row r="59" spans="1:14" ht="17.25" x14ac:dyDescent="0.25">
      <c r="A59" s="99" t="s">
        <v>136</v>
      </c>
      <c r="F59" s="3">
        <v>6.2</v>
      </c>
      <c r="G59" s="55">
        <f>264.17*F59</f>
        <v>1637.854</v>
      </c>
      <c r="H59" s="10">
        <f>G59*$H$57</f>
        <v>1973.6140700000001</v>
      </c>
      <c r="I59" s="10">
        <f>G59*$I$57</f>
        <v>1269.3368500000001</v>
      </c>
      <c r="J59" s="3"/>
      <c r="K59" s="3"/>
      <c r="L59" s="53">
        <f>297.64*F59+161.68</f>
        <v>2007.048</v>
      </c>
      <c r="N59">
        <f>F59*6</f>
        <v>37.200000000000003</v>
      </c>
    </row>
    <row r="60" spans="1:14" x14ac:dyDescent="0.25">
      <c r="A60" t="s">
        <v>92</v>
      </c>
      <c r="F60" s="18">
        <v>9.0016666666666669</v>
      </c>
      <c r="G60" s="55">
        <f t="shared" ref="G60:G62" si="1">264.17*F60</f>
        <v>2377.9702833333336</v>
      </c>
      <c r="H60" s="10">
        <f t="shared" ref="H60:H62" si="2">G60*$H$57</f>
        <v>2865.4541914166671</v>
      </c>
      <c r="I60" s="10">
        <f t="shared" ref="I60:I62" si="3">G60*$I$57</f>
        <v>1842.9269695833336</v>
      </c>
      <c r="J60" s="3"/>
      <c r="K60" s="3"/>
      <c r="L60" s="53">
        <f t="shared" ref="L60" si="4">297.64*F60+161.68</f>
        <v>2840.9360666666666</v>
      </c>
      <c r="M60" s="13"/>
      <c r="N60">
        <f>F60*6</f>
        <v>54.010000000000005</v>
      </c>
    </row>
    <row r="61" spans="1:14" x14ac:dyDescent="0.25">
      <c r="F61" s="18">
        <v>19.834047697353213</v>
      </c>
      <c r="G61" s="55">
        <f t="shared" si="1"/>
        <v>5239.5603802097985</v>
      </c>
      <c r="H61" s="10">
        <f t="shared" si="2"/>
        <v>6313.6702581528079</v>
      </c>
      <c r="I61" s="10">
        <f t="shared" si="3"/>
        <v>4060.6592946625938</v>
      </c>
      <c r="J61" s="3"/>
      <c r="K61" s="3"/>
      <c r="L61" s="53">
        <f>297.64*F61+161.68</f>
        <v>6065.0859566402105</v>
      </c>
      <c r="N61" s="25"/>
    </row>
    <row r="62" spans="1:14" x14ac:dyDescent="0.25">
      <c r="A62" t="s">
        <v>137</v>
      </c>
      <c r="F62" s="3">
        <v>606</v>
      </c>
      <c r="G62" s="55">
        <f t="shared" si="1"/>
        <v>160087.02000000002</v>
      </c>
      <c r="H62" s="10">
        <f t="shared" si="2"/>
        <v>192904.85910000003</v>
      </c>
      <c r="I62" s="10">
        <f t="shared" si="3"/>
        <v>124067.44050000001</v>
      </c>
      <c r="J62" s="3"/>
      <c r="K62" s="3"/>
      <c r="L62" s="53">
        <f>297.64*F62+161.68</f>
        <v>180531.52</v>
      </c>
      <c r="N62" s="25"/>
    </row>
    <row r="63" spans="1:14" x14ac:dyDescent="0.25">
      <c r="A63">
        <f>606*264.17</f>
        <v>160087.02000000002</v>
      </c>
      <c r="F63" s="94">
        <f>F60+F59</f>
        <v>15.201666666666668</v>
      </c>
      <c r="I63" s="100"/>
      <c r="K63" s="60"/>
      <c r="L63" s="53">
        <f>297.64*F63+161.68</f>
        <v>4686.3040666666675</v>
      </c>
      <c r="N63" s="14"/>
    </row>
    <row r="64" spans="1:14" x14ac:dyDescent="0.25">
      <c r="N64" s="4"/>
    </row>
    <row r="71" spans="1:8" x14ac:dyDescent="0.25">
      <c r="A71" s="95"/>
      <c r="B71" s="95"/>
      <c r="F71" s="95"/>
      <c r="H71" s="95"/>
    </row>
    <row r="72" spans="1:8" x14ac:dyDescent="0.25">
      <c r="A72" s="95"/>
      <c r="B72" s="95"/>
      <c r="C72" s="95"/>
      <c r="F72" s="95"/>
      <c r="G72" t="s">
        <v>138</v>
      </c>
    </row>
    <row r="73" spans="1:8" x14ac:dyDescent="0.25">
      <c r="A73" s="95"/>
      <c r="B73" s="95"/>
      <c r="C73" s="95"/>
      <c r="F73" s="95"/>
    </row>
    <row r="74" spans="1:8" x14ac:dyDescent="0.25">
      <c r="A74" s="95"/>
      <c r="B74" s="95"/>
      <c r="C74" s="95"/>
      <c r="F74" s="95"/>
      <c r="G74" t="s">
        <v>114</v>
      </c>
      <c r="H74" t="s">
        <v>109</v>
      </c>
    </row>
    <row r="75" spans="1:8" x14ac:dyDescent="0.25">
      <c r="A75" s="95"/>
      <c r="B75" s="95"/>
      <c r="C75" s="95"/>
      <c r="F75" s="95"/>
      <c r="G75" t="s">
        <v>111</v>
      </c>
      <c r="H75" t="s">
        <v>62</v>
      </c>
    </row>
    <row r="76" spans="1:8" x14ac:dyDescent="0.25">
      <c r="A76" s="95"/>
      <c r="B76" s="95"/>
      <c r="C76" s="95"/>
      <c r="F76" s="95"/>
      <c r="G76" s="59">
        <v>10000</v>
      </c>
      <c r="H76" s="59">
        <v>40500</v>
      </c>
    </row>
    <row r="77" spans="1:8" x14ac:dyDescent="0.25">
      <c r="A77" s="95"/>
      <c r="B77" s="95"/>
      <c r="C77" s="95"/>
      <c r="F77" s="95"/>
      <c r="G77" s="59">
        <v>20000</v>
      </c>
      <c r="H77" s="59">
        <v>61500</v>
      </c>
    </row>
    <row r="78" spans="1:8" x14ac:dyDescent="0.25">
      <c r="A78" s="95"/>
      <c r="B78" s="95"/>
      <c r="C78" s="95"/>
      <c r="F78" s="95"/>
      <c r="G78" s="59">
        <v>30000</v>
      </c>
      <c r="H78" s="59">
        <v>77750</v>
      </c>
    </row>
    <row r="79" spans="1:8" x14ac:dyDescent="0.25">
      <c r="A79" s="95"/>
      <c r="B79" s="101"/>
      <c r="G79" s="59">
        <v>50000</v>
      </c>
      <c r="H79" s="59">
        <v>107250</v>
      </c>
    </row>
    <row r="80" spans="1:8" x14ac:dyDescent="0.25">
      <c r="A80" s="95"/>
      <c r="B80" s="95"/>
      <c r="G80" s="59">
        <v>75000</v>
      </c>
      <c r="H80" s="59">
        <v>134500</v>
      </c>
    </row>
    <row r="81" spans="1:8" x14ac:dyDescent="0.25">
      <c r="A81" s="95"/>
      <c r="B81" s="95"/>
      <c r="G81" s="59">
        <v>100000</v>
      </c>
      <c r="H81" s="59">
        <v>159000</v>
      </c>
    </row>
    <row r="82" spans="1:8" x14ac:dyDescent="0.25">
      <c r="A82" s="95"/>
      <c r="B82" s="95"/>
      <c r="G82" s="59">
        <v>125000</v>
      </c>
      <c r="H82" s="59">
        <v>180000</v>
      </c>
    </row>
    <row r="83" spans="1:8" x14ac:dyDescent="0.25">
      <c r="A83" s="95"/>
      <c r="B83" s="95"/>
      <c r="G83" s="59">
        <v>150000</v>
      </c>
      <c r="H83" s="59">
        <v>203250</v>
      </c>
    </row>
    <row r="84" spans="1:8" x14ac:dyDescent="0.25">
      <c r="A84" s="95"/>
      <c r="B84" s="95"/>
      <c r="G84" s="59">
        <v>200000</v>
      </c>
      <c r="H84" s="59">
        <v>250000</v>
      </c>
    </row>
    <row r="85" spans="1:8" x14ac:dyDescent="0.25">
      <c r="A85" s="95"/>
      <c r="B85" s="95"/>
      <c r="G85" s="59">
        <v>250000</v>
      </c>
      <c r="H85" s="59">
        <v>284000</v>
      </c>
    </row>
    <row r="86" spans="1:8" x14ac:dyDescent="0.25">
      <c r="A86" s="95"/>
      <c r="B86" s="95"/>
      <c r="G86" s="59">
        <v>300000</v>
      </c>
      <c r="H86" s="59">
        <v>346000</v>
      </c>
    </row>
    <row r="87" spans="1:8" x14ac:dyDescent="0.25">
      <c r="G87" s="59">
        <v>400000</v>
      </c>
      <c r="H87" s="59">
        <v>376500</v>
      </c>
    </row>
    <row r="88" spans="1:8" x14ac:dyDescent="0.25">
      <c r="G88" s="59">
        <v>500000</v>
      </c>
      <c r="H88" s="59">
        <v>407500</v>
      </c>
    </row>
    <row r="89" spans="1:8" x14ac:dyDescent="0.25">
      <c r="G89" s="59">
        <v>750000</v>
      </c>
      <c r="H89" s="59">
        <v>509000</v>
      </c>
    </row>
    <row r="90" spans="1:8" x14ac:dyDescent="0.25">
      <c r="G90" s="59">
        <v>1000000</v>
      </c>
      <c r="H90" s="59">
        <v>585500</v>
      </c>
    </row>
    <row r="91" spans="1:8" x14ac:dyDescent="0.25">
      <c r="G91" s="59">
        <v>1500000</v>
      </c>
      <c r="H91" s="59">
        <v>718000</v>
      </c>
    </row>
    <row r="92" spans="1:8" x14ac:dyDescent="0.25">
      <c r="G92" s="59">
        <v>2000000</v>
      </c>
      <c r="H92" s="59">
        <v>865500</v>
      </c>
    </row>
    <row r="93" spans="1:8" x14ac:dyDescent="0.25">
      <c r="G93" s="59">
        <v>2500000</v>
      </c>
      <c r="H93" s="59">
        <v>967500</v>
      </c>
    </row>
    <row r="94" spans="1:8" x14ac:dyDescent="0.25">
      <c r="G94" s="59">
        <v>3000000</v>
      </c>
      <c r="H94" s="59">
        <v>1120000</v>
      </c>
    </row>
    <row r="95" spans="1:8" x14ac:dyDescent="0.25">
      <c r="G95" s="59">
        <v>4000000</v>
      </c>
      <c r="H95" s="59">
        <v>1344000</v>
      </c>
    </row>
    <row r="96" spans="1:8" x14ac:dyDescent="0.25">
      <c r="G96" s="59">
        <v>5000000</v>
      </c>
      <c r="H96" s="59">
        <v>1578000</v>
      </c>
    </row>
    <row r="97" spans="7:8" x14ac:dyDescent="0.25">
      <c r="G97" s="59">
        <v>6000000</v>
      </c>
      <c r="H97" s="59">
        <v>1832500</v>
      </c>
    </row>
    <row r="98" spans="7:8" x14ac:dyDescent="0.25">
      <c r="G98" s="59">
        <v>7500000</v>
      </c>
      <c r="H98" s="59">
        <v>2138000</v>
      </c>
    </row>
    <row r="99" spans="7:8" x14ac:dyDescent="0.25">
      <c r="G99" s="59">
        <v>10000000</v>
      </c>
      <c r="H99" s="59">
        <v>2749000</v>
      </c>
    </row>
  </sheetData>
  <hyperlinks>
    <hyperlink ref="F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="85" zoomScaleNormal="85" workbookViewId="0">
      <selection activeCell="H20" sqref="H20"/>
    </sheetView>
  </sheetViews>
  <sheetFormatPr defaultRowHeight="15" x14ac:dyDescent="0.25"/>
  <cols>
    <col min="1" max="1" width="12.85546875" bestFit="1" customWidth="1"/>
    <col min="2" max="2" width="12.42578125" bestFit="1" customWidth="1"/>
    <col min="3" max="3" width="13.42578125" bestFit="1" customWidth="1"/>
    <col min="4" max="4" width="9.85546875" bestFit="1" customWidth="1"/>
    <col min="5" max="5" width="9.42578125" bestFit="1" customWidth="1"/>
    <col min="6" max="6" width="12.85546875" customWidth="1"/>
  </cols>
  <sheetData>
    <row r="1" spans="1:6" s="9" customFormat="1" ht="45" x14ac:dyDescent="0.25">
      <c r="A1" s="2" t="s">
        <v>169</v>
      </c>
      <c r="B1" s="2" t="s">
        <v>170</v>
      </c>
      <c r="C1" s="2" t="s">
        <v>171</v>
      </c>
      <c r="D1" s="2" t="s">
        <v>116</v>
      </c>
      <c r="E1" s="2" t="s">
        <v>172</v>
      </c>
      <c r="F1" s="2" t="s">
        <v>91</v>
      </c>
    </row>
    <row r="2" spans="1:6" x14ac:dyDescent="0.25">
      <c r="A2" s="3" t="s">
        <v>77</v>
      </c>
      <c r="B2" s="3" t="s">
        <v>89</v>
      </c>
      <c r="C2" s="3" t="s">
        <v>88</v>
      </c>
      <c r="D2" s="3" t="s">
        <v>90</v>
      </c>
      <c r="E2" s="7" t="s">
        <v>173</v>
      </c>
      <c r="F2" s="7" t="s">
        <v>174</v>
      </c>
    </row>
    <row r="3" spans="1:6" x14ac:dyDescent="0.25">
      <c r="A3" s="3">
        <v>17.5</v>
      </c>
      <c r="B3" s="3">
        <v>1120</v>
      </c>
      <c r="C3" s="55">
        <f>A3*0.405</f>
        <v>7.0875000000000004</v>
      </c>
      <c r="D3" s="55">
        <f>B3/0.405</f>
        <v>2765.4320987654319</v>
      </c>
      <c r="E3" s="55">
        <f>8215.1*C3*C3^-0.565</f>
        <v>19256.499407511259</v>
      </c>
      <c r="F3" s="3">
        <f>D3*C3</f>
        <v>19600</v>
      </c>
    </row>
    <row r="4" spans="1:6" x14ac:dyDescent="0.25">
      <c r="A4" s="3">
        <v>25</v>
      </c>
      <c r="B4" s="3">
        <v>880</v>
      </c>
      <c r="C4" s="55">
        <f t="shared" ref="C4:C16" si="0">A4*0.405</f>
        <v>10.125</v>
      </c>
      <c r="D4" s="55">
        <f t="shared" ref="D4:D16" si="1">B4/0.405</f>
        <v>2172.8395061728393</v>
      </c>
      <c r="E4" s="55">
        <f t="shared" ref="E4:E16" si="2">8215.1*C4*C4^-0.565</f>
        <v>22488.458811990236</v>
      </c>
      <c r="F4" s="3">
        <f t="shared" ref="F4:F16" si="3">D4*C4</f>
        <v>21999.999999999996</v>
      </c>
    </row>
    <row r="5" spans="1:6" x14ac:dyDescent="0.25">
      <c r="A5" s="3">
        <v>35</v>
      </c>
      <c r="B5" s="3">
        <v>740</v>
      </c>
      <c r="C5" s="55">
        <f t="shared" si="0"/>
        <v>14.175000000000001</v>
      </c>
      <c r="D5" s="55">
        <f t="shared" si="1"/>
        <v>1827.1604938271603</v>
      </c>
      <c r="E5" s="55">
        <f t="shared" si="2"/>
        <v>26033.070155214155</v>
      </c>
      <c r="F5" s="3">
        <f t="shared" si="3"/>
        <v>25900</v>
      </c>
    </row>
    <row r="6" spans="1:6" x14ac:dyDescent="0.25">
      <c r="A6" s="3">
        <v>47.5</v>
      </c>
      <c r="B6" s="3">
        <v>640</v>
      </c>
      <c r="C6" s="55">
        <f t="shared" si="0"/>
        <v>19.237500000000001</v>
      </c>
      <c r="D6" s="55">
        <f t="shared" si="1"/>
        <v>1580.2469135802469</v>
      </c>
      <c r="E6" s="55">
        <f t="shared" si="2"/>
        <v>29731.547171512895</v>
      </c>
      <c r="F6" s="3">
        <f t="shared" si="3"/>
        <v>30400</v>
      </c>
    </row>
    <row r="7" spans="1:6" x14ac:dyDescent="0.25">
      <c r="A7" s="3">
        <v>60</v>
      </c>
      <c r="B7" s="3">
        <v>560</v>
      </c>
      <c r="C7" s="55">
        <f t="shared" si="0"/>
        <v>24.3</v>
      </c>
      <c r="D7" s="55">
        <f t="shared" si="1"/>
        <v>1382.7160493827159</v>
      </c>
      <c r="E7" s="55">
        <f t="shared" si="2"/>
        <v>32911.796069974494</v>
      </c>
      <c r="F7" s="3">
        <f t="shared" si="3"/>
        <v>33600</v>
      </c>
    </row>
    <row r="8" spans="1:6" x14ac:dyDescent="0.25">
      <c r="A8" s="3">
        <v>72.5</v>
      </c>
      <c r="B8" s="3">
        <v>500</v>
      </c>
      <c r="C8" s="55">
        <f t="shared" si="0"/>
        <v>29.362500000000001</v>
      </c>
      <c r="D8" s="55">
        <f t="shared" si="1"/>
        <v>1234.5679012345679</v>
      </c>
      <c r="E8" s="55">
        <f t="shared" si="2"/>
        <v>35735.743504470724</v>
      </c>
      <c r="F8" s="3">
        <f t="shared" si="3"/>
        <v>36250</v>
      </c>
    </row>
    <row r="9" spans="1:6" x14ac:dyDescent="0.25">
      <c r="A9" s="20">
        <v>85</v>
      </c>
      <c r="B9" s="20">
        <v>420</v>
      </c>
      <c r="C9" s="88">
        <f t="shared" si="0"/>
        <v>34.425000000000004</v>
      </c>
      <c r="D9" s="88">
        <f t="shared" si="1"/>
        <v>1037.037037037037</v>
      </c>
      <c r="E9" s="55">
        <f>8215.1*C9*C9^-0.565</f>
        <v>38295.965402906491</v>
      </c>
      <c r="F9" s="3">
        <f>D9*C9</f>
        <v>35700</v>
      </c>
    </row>
    <row r="10" spans="1:6" x14ac:dyDescent="0.25">
      <c r="A10" s="3">
        <v>102.5</v>
      </c>
      <c r="B10" s="3">
        <v>400</v>
      </c>
      <c r="C10" s="55">
        <f t="shared" si="0"/>
        <v>41.512500000000003</v>
      </c>
      <c r="D10" s="55">
        <f t="shared" si="1"/>
        <v>987.65432098765427</v>
      </c>
      <c r="E10" s="55">
        <f t="shared" si="2"/>
        <v>41545.18248134922</v>
      </c>
      <c r="F10" s="3">
        <f t="shared" si="3"/>
        <v>41000</v>
      </c>
    </row>
    <row r="11" spans="1:6" x14ac:dyDescent="0.25">
      <c r="A11" s="3">
        <v>122.5</v>
      </c>
      <c r="B11" s="3">
        <v>360</v>
      </c>
      <c r="C11" s="55">
        <f t="shared" si="0"/>
        <v>49.612500000000004</v>
      </c>
      <c r="D11" s="55">
        <f t="shared" si="1"/>
        <v>888.8888888888888</v>
      </c>
      <c r="E11" s="55">
        <f t="shared" si="2"/>
        <v>44894.691131292195</v>
      </c>
      <c r="F11" s="3">
        <f t="shared" si="3"/>
        <v>44100</v>
      </c>
    </row>
    <row r="12" spans="1:6" x14ac:dyDescent="0.25">
      <c r="A12" s="3">
        <v>142.5</v>
      </c>
      <c r="B12" s="3">
        <v>340</v>
      </c>
      <c r="C12" s="55">
        <f t="shared" si="0"/>
        <v>57.712500000000006</v>
      </c>
      <c r="D12" s="55">
        <f t="shared" si="1"/>
        <v>839.50617283950612</v>
      </c>
      <c r="E12" s="55">
        <f t="shared" si="2"/>
        <v>47947.421349393662</v>
      </c>
      <c r="F12" s="3">
        <f t="shared" si="3"/>
        <v>48450</v>
      </c>
    </row>
    <row r="13" spans="1:6" x14ac:dyDescent="0.25">
      <c r="A13" s="3">
        <v>165</v>
      </c>
      <c r="B13" s="3">
        <v>320</v>
      </c>
      <c r="C13" s="55">
        <f t="shared" si="0"/>
        <v>66.825000000000003</v>
      </c>
      <c r="D13" s="55">
        <f t="shared" si="1"/>
        <v>790.12345679012344</v>
      </c>
      <c r="E13" s="55">
        <f t="shared" si="2"/>
        <v>51104.754362849395</v>
      </c>
      <c r="F13" s="3">
        <f t="shared" si="3"/>
        <v>52800</v>
      </c>
    </row>
    <row r="14" spans="1:6" x14ac:dyDescent="0.25">
      <c r="A14" s="3">
        <v>185</v>
      </c>
      <c r="B14" s="3">
        <v>300</v>
      </c>
      <c r="C14" s="55">
        <f t="shared" si="0"/>
        <v>74.925000000000011</v>
      </c>
      <c r="D14" s="55">
        <f t="shared" si="1"/>
        <v>740.74074074074065</v>
      </c>
      <c r="E14" s="55">
        <f t="shared" si="2"/>
        <v>53712.515410749598</v>
      </c>
      <c r="F14" s="3">
        <f t="shared" si="3"/>
        <v>55500</v>
      </c>
    </row>
    <row r="15" spans="1:6" x14ac:dyDescent="0.25">
      <c r="A15" s="3">
        <v>210</v>
      </c>
      <c r="B15" s="3">
        <v>280</v>
      </c>
      <c r="C15" s="55">
        <f t="shared" si="0"/>
        <v>85.050000000000011</v>
      </c>
      <c r="D15" s="55">
        <f t="shared" si="1"/>
        <v>691.35802469135797</v>
      </c>
      <c r="E15" s="55">
        <f t="shared" si="2"/>
        <v>56757.228798910583</v>
      </c>
      <c r="F15" s="3">
        <f t="shared" si="3"/>
        <v>58800</v>
      </c>
    </row>
    <row r="16" spans="1:6" x14ac:dyDescent="0.25">
      <c r="A16" s="3">
        <v>235</v>
      </c>
      <c r="B16" s="3">
        <v>240</v>
      </c>
      <c r="C16" s="55">
        <f t="shared" si="0"/>
        <v>95.175000000000011</v>
      </c>
      <c r="D16" s="55">
        <f t="shared" si="1"/>
        <v>592.59259259259261</v>
      </c>
      <c r="E16" s="55">
        <f t="shared" si="2"/>
        <v>59603.300541823461</v>
      </c>
      <c r="F16" s="3">
        <f t="shared" si="3"/>
        <v>56400.000000000007</v>
      </c>
    </row>
    <row r="19" spans="1:21" x14ac:dyDescent="0.25">
      <c r="H19">
        <f>1-0.565</f>
        <v>0.43500000000000005</v>
      </c>
    </row>
    <row r="23" spans="1:21" x14ac:dyDescent="0.25">
      <c r="A23" t="s">
        <v>175</v>
      </c>
    </row>
    <row r="24" spans="1:21" x14ac:dyDescent="0.25">
      <c r="A24" s="3" t="s">
        <v>91</v>
      </c>
    </row>
    <row r="25" spans="1:21" x14ac:dyDescent="0.25">
      <c r="A25" s="3" t="s">
        <v>176</v>
      </c>
      <c r="B25" s="3" t="s">
        <v>177</v>
      </c>
      <c r="C25" s="3"/>
      <c r="D25" s="3"/>
      <c r="E25" s="3"/>
      <c r="F25" s="3"/>
      <c r="G25" s="3"/>
    </row>
    <row r="26" spans="1:21" x14ac:dyDescent="0.25">
      <c r="A26" s="3" t="s">
        <v>178</v>
      </c>
      <c r="B26" s="3" t="s">
        <v>178</v>
      </c>
      <c r="C26" s="3"/>
      <c r="D26" s="3"/>
      <c r="E26" s="3"/>
      <c r="F26" s="3"/>
      <c r="G26" s="3"/>
    </row>
    <row r="27" spans="1:21" x14ac:dyDescent="0.25">
      <c r="A27" s="3">
        <f>50/20</f>
        <v>2.5</v>
      </c>
      <c r="B27" s="3">
        <f>200/10</f>
        <v>20</v>
      </c>
      <c r="C27" s="3"/>
      <c r="D27" s="3"/>
      <c r="E27" s="3"/>
      <c r="F27" s="3"/>
      <c r="G27" s="3"/>
    </row>
    <row r="28" spans="1:21" x14ac:dyDescent="0.25">
      <c r="A28" s="3" t="s">
        <v>179</v>
      </c>
      <c r="B28" s="3" t="s">
        <v>0</v>
      </c>
      <c r="C28" s="3" t="s">
        <v>179</v>
      </c>
      <c r="D28" s="3" t="s">
        <v>0</v>
      </c>
      <c r="E28" s="3" t="s">
        <v>179</v>
      </c>
      <c r="F28" s="3" t="s">
        <v>0</v>
      </c>
      <c r="G28" s="3" t="s">
        <v>180</v>
      </c>
    </row>
    <row r="29" spans="1:21" x14ac:dyDescent="0.25">
      <c r="A29" s="3" t="s">
        <v>181</v>
      </c>
      <c r="B29" s="3" t="s">
        <v>181</v>
      </c>
      <c r="C29" s="3"/>
      <c r="D29" s="3"/>
      <c r="E29" s="3">
        <v>0</v>
      </c>
      <c r="F29" s="3"/>
      <c r="G29" s="3"/>
      <c r="U29" s="94"/>
    </row>
    <row r="30" spans="1:21" x14ac:dyDescent="0.25">
      <c r="A30" s="3">
        <v>7</v>
      </c>
      <c r="B30" s="3">
        <v>6</v>
      </c>
      <c r="C30" s="3">
        <f t="shared" ref="C30:D43" si="4">A30*A$27</f>
        <v>17.5</v>
      </c>
      <c r="D30" s="3">
        <f t="shared" si="4"/>
        <v>120</v>
      </c>
      <c r="E30" s="3">
        <f t="shared" ref="E30:F43" si="5">0+C30</f>
        <v>17.5</v>
      </c>
      <c r="F30" s="3">
        <f>1000+D30</f>
        <v>1120</v>
      </c>
      <c r="G30" s="3">
        <v>1</v>
      </c>
    </row>
    <row r="31" spans="1:21" x14ac:dyDescent="0.25">
      <c r="A31" s="3">
        <v>10</v>
      </c>
      <c r="B31" s="3">
        <v>4</v>
      </c>
      <c r="C31" s="3">
        <f t="shared" si="4"/>
        <v>25</v>
      </c>
      <c r="D31" s="3">
        <f t="shared" si="4"/>
        <v>80</v>
      </c>
      <c r="E31" s="3">
        <f t="shared" si="5"/>
        <v>25</v>
      </c>
      <c r="F31" s="3">
        <f>800+D31</f>
        <v>880</v>
      </c>
      <c r="G31" s="3">
        <v>2</v>
      </c>
    </row>
    <row r="32" spans="1:21" x14ac:dyDescent="0.25">
      <c r="A32" s="3">
        <v>14</v>
      </c>
      <c r="B32" s="3">
        <v>7</v>
      </c>
      <c r="C32" s="3">
        <f t="shared" si="4"/>
        <v>35</v>
      </c>
      <c r="D32" s="3">
        <f t="shared" si="4"/>
        <v>140</v>
      </c>
      <c r="E32" s="3">
        <f t="shared" si="5"/>
        <v>35</v>
      </c>
      <c r="F32" s="3">
        <f>600+D32</f>
        <v>740</v>
      </c>
      <c r="G32" s="3">
        <v>3</v>
      </c>
    </row>
    <row r="33" spans="1:7" x14ac:dyDescent="0.25">
      <c r="A33" s="3">
        <v>19</v>
      </c>
      <c r="B33" s="3">
        <v>2</v>
      </c>
      <c r="C33" s="3">
        <f>A33*A$27</f>
        <v>47.5</v>
      </c>
      <c r="D33" s="3">
        <f t="shared" si="4"/>
        <v>40</v>
      </c>
      <c r="E33" s="3">
        <f t="shared" si="5"/>
        <v>47.5</v>
      </c>
      <c r="F33" s="3">
        <f>600+D33</f>
        <v>640</v>
      </c>
      <c r="G33" s="3">
        <v>4</v>
      </c>
    </row>
    <row r="34" spans="1:7" x14ac:dyDescent="0.25">
      <c r="A34" s="3">
        <v>24</v>
      </c>
      <c r="B34" s="3">
        <v>28</v>
      </c>
      <c r="C34" s="3">
        <f>A34*A$27</f>
        <v>60</v>
      </c>
      <c r="D34" s="3">
        <f>B34*B$27</f>
        <v>560</v>
      </c>
      <c r="E34" s="3">
        <f t="shared" si="5"/>
        <v>60</v>
      </c>
      <c r="F34" s="3">
        <f>0+D34</f>
        <v>560</v>
      </c>
      <c r="G34" s="3">
        <v>5</v>
      </c>
    </row>
    <row r="35" spans="1:7" x14ac:dyDescent="0.25">
      <c r="A35" s="3">
        <v>29</v>
      </c>
      <c r="B35" s="3">
        <v>25</v>
      </c>
      <c r="C35" s="3">
        <f t="shared" ref="C35:C43" si="6">A35*A$27</f>
        <v>72.5</v>
      </c>
      <c r="D35" s="3">
        <f t="shared" si="4"/>
        <v>500</v>
      </c>
      <c r="E35" s="3">
        <f t="shared" si="5"/>
        <v>72.5</v>
      </c>
      <c r="F35" s="3">
        <f>0+D35</f>
        <v>500</v>
      </c>
      <c r="G35" s="3">
        <v>6</v>
      </c>
    </row>
    <row r="36" spans="1:7" x14ac:dyDescent="0.25">
      <c r="A36" s="3">
        <v>34</v>
      </c>
      <c r="B36" s="3">
        <v>21</v>
      </c>
      <c r="C36" s="3">
        <f t="shared" si="6"/>
        <v>85</v>
      </c>
      <c r="D36" s="3">
        <f t="shared" si="4"/>
        <v>420</v>
      </c>
      <c r="E36" s="3">
        <f t="shared" si="5"/>
        <v>85</v>
      </c>
      <c r="F36" s="3">
        <f t="shared" si="5"/>
        <v>420</v>
      </c>
      <c r="G36" s="3">
        <v>7</v>
      </c>
    </row>
    <row r="37" spans="1:7" x14ac:dyDescent="0.25">
      <c r="A37" s="3">
        <v>41</v>
      </c>
      <c r="B37" s="3">
        <v>20</v>
      </c>
      <c r="C37" s="3">
        <f t="shared" si="6"/>
        <v>102.5</v>
      </c>
      <c r="D37" s="3">
        <f t="shared" si="4"/>
        <v>400</v>
      </c>
      <c r="E37" s="3">
        <f t="shared" si="5"/>
        <v>102.5</v>
      </c>
      <c r="F37" s="3">
        <f t="shared" si="5"/>
        <v>400</v>
      </c>
      <c r="G37" s="3">
        <v>8</v>
      </c>
    </row>
    <row r="38" spans="1:7" x14ac:dyDescent="0.25">
      <c r="A38" s="3">
        <v>49</v>
      </c>
      <c r="B38" s="3">
        <v>18</v>
      </c>
      <c r="C38" s="3">
        <f t="shared" si="6"/>
        <v>122.5</v>
      </c>
      <c r="D38" s="3">
        <f t="shared" si="4"/>
        <v>360</v>
      </c>
      <c r="E38" s="3">
        <f t="shared" si="5"/>
        <v>122.5</v>
      </c>
      <c r="F38" s="3">
        <f t="shared" si="5"/>
        <v>360</v>
      </c>
      <c r="G38" s="3">
        <v>9</v>
      </c>
    </row>
    <row r="39" spans="1:7" x14ac:dyDescent="0.25">
      <c r="A39" s="3">
        <v>57</v>
      </c>
      <c r="B39" s="3">
        <v>17</v>
      </c>
      <c r="C39" s="3">
        <f t="shared" si="6"/>
        <v>142.5</v>
      </c>
      <c r="D39" s="3">
        <f t="shared" si="4"/>
        <v>340</v>
      </c>
      <c r="E39" s="3">
        <f t="shared" si="5"/>
        <v>142.5</v>
      </c>
      <c r="F39" s="3">
        <f t="shared" si="5"/>
        <v>340</v>
      </c>
      <c r="G39" s="3">
        <v>10</v>
      </c>
    </row>
    <row r="40" spans="1:7" x14ac:dyDescent="0.25">
      <c r="A40" s="3">
        <v>66</v>
      </c>
      <c r="B40" s="3">
        <v>16</v>
      </c>
      <c r="C40" s="3">
        <f t="shared" si="6"/>
        <v>165</v>
      </c>
      <c r="D40" s="3">
        <f t="shared" si="4"/>
        <v>320</v>
      </c>
      <c r="E40" s="3">
        <f t="shared" si="5"/>
        <v>165</v>
      </c>
      <c r="F40" s="3">
        <f t="shared" si="5"/>
        <v>320</v>
      </c>
      <c r="G40" s="3">
        <v>11</v>
      </c>
    </row>
    <row r="41" spans="1:7" x14ac:dyDescent="0.25">
      <c r="A41" s="3">
        <v>74</v>
      </c>
      <c r="B41" s="3">
        <v>15</v>
      </c>
      <c r="C41" s="3">
        <f t="shared" si="6"/>
        <v>185</v>
      </c>
      <c r="D41" s="3">
        <f t="shared" si="4"/>
        <v>300</v>
      </c>
      <c r="E41" s="3">
        <f t="shared" si="5"/>
        <v>185</v>
      </c>
      <c r="F41" s="3">
        <f t="shared" si="5"/>
        <v>300</v>
      </c>
      <c r="G41" s="3">
        <v>12</v>
      </c>
    </row>
    <row r="42" spans="1:7" x14ac:dyDescent="0.25">
      <c r="A42" s="3">
        <v>84</v>
      </c>
      <c r="B42" s="3">
        <v>14</v>
      </c>
      <c r="C42" s="3">
        <f t="shared" si="6"/>
        <v>210</v>
      </c>
      <c r="D42" s="3">
        <f t="shared" si="4"/>
        <v>280</v>
      </c>
      <c r="E42" s="3">
        <f t="shared" si="5"/>
        <v>210</v>
      </c>
      <c r="F42" s="3">
        <f t="shared" si="5"/>
        <v>280</v>
      </c>
      <c r="G42" s="3">
        <v>13</v>
      </c>
    </row>
    <row r="43" spans="1:7" x14ac:dyDescent="0.25">
      <c r="A43" s="3">
        <v>94</v>
      </c>
      <c r="B43" s="3">
        <v>12</v>
      </c>
      <c r="C43" s="3">
        <f t="shared" si="6"/>
        <v>235</v>
      </c>
      <c r="D43" s="3">
        <f t="shared" si="4"/>
        <v>240</v>
      </c>
      <c r="E43" s="3">
        <f t="shared" si="5"/>
        <v>235</v>
      </c>
      <c r="F43" s="3">
        <f t="shared" si="5"/>
        <v>240</v>
      </c>
      <c r="G43" s="3">
        <v>14</v>
      </c>
    </row>
    <row r="48" spans="1:7" x14ac:dyDescent="0.25">
      <c r="A48" t="s">
        <v>105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55" zoomScaleNormal="100" workbookViewId="0">
      <selection activeCell="E41" sqref="E41"/>
    </sheetView>
  </sheetViews>
  <sheetFormatPr defaultRowHeight="15" x14ac:dyDescent="0.25"/>
  <cols>
    <col min="1" max="1" width="32.85546875" customWidth="1"/>
    <col min="2" max="2" width="23.28515625" customWidth="1"/>
    <col min="3" max="3" width="17.28515625" style="21" customWidth="1"/>
    <col min="4" max="4" width="11.5703125" bestFit="1" customWidth="1"/>
    <col min="5" max="5" width="15.85546875" style="21" customWidth="1"/>
    <col min="6" max="6" width="11.5703125" bestFit="1" customWidth="1"/>
    <col min="7" max="7" width="11.5703125" style="21" bestFit="1" customWidth="1"/>
    <col min="8" max="8" width="11.5703125" bestFit="1" customWidth="1"/>
    <col min="9" max="9" width="11.5703125" style="21" bestFit="1" customWidth="1"/>
    <col min="10" max="10" width="21.85546875" customWidth="1"/>
  </cols>
  <sheetData>
    <row r="1" spans="1:10" s="9" customFormat="1" ht="42" customHeight="1" x14ac:dyDescent="0.25">
      <c r="A1" s="140" t="s">
        <v>154</v>
      </c>
      <c r="B1" s="144" t="s">
        <v>188</v>
      </c>
      <c r="C1" s="145"/>
      <c r="D1" s="144" t="s">
        <v>189</v>
      </c>
      <c r="E1" s="145"/>
      <c r="F1" s="144" t="s">
        <v>190</v>
      </c>
      <c r="G1" s="145"/>
      <c r="H1" s="144" t="s">
        <v>191</v>
      </c>
      <c r="I1" s="145"/>
      <c r="J1" s="140" t="s">
        <v>10</v>
      </c>
    </row>
    <row r="2" spans="1:10" s="9" customFormat="1" ht="45" x14ac:dyDescent="0.25">
      <c r="A2" s="141"/>
      <c r="B2" s="2" t="s">
        <v>6</v>
      </c>
      <c r="C2" s="104" t="s">
        <v>9</v>
      </c>
      <c r="D2" s="2" t="s">
        <v>6</v>
      </c>
      <c r="E2" s="104" t="s">
        <v>9</v>
      </c>
      <c r="F2" s="2" t="s">
        <v>6</v>
      </c>
      <c r="G2" s="104" t="s">
        <v>9</v>
      </c>
      <c r="H2" s="2" t="s">
        <v>6</v>
      </c>
      <c r="I2" s="104" t="s">
        <v>9</v>
      </c>
      <c r="J2" s="141"/>
    </row>
    <row r="3" spans="1:10" x14ac:dyDescent="0.25">
      <c r="A3" s="2" t="s">
        <v>12</v>
      </c>
      <c r="B3" s="3" t="s">
        <v>13</v>
      </c>
      <c r="C3" s="20"/>
      <c r="D3" s="3" t="s">
        <v>13</v>
      </c>
      <c r="E3" s="20"/>
      <c r="F3" s="3" t="s">
        <v>13</v>
      </c>
      <c r="G3" s="20"/>
      <c r="H3" s="3" t="s">
        <v>13</v>
      </c>
      <c r="I3" s="20"/>
      <c r="J3" s="3"/>
    </row>
    <row r="4" spans="1:10" x14ac:dyDescent="0.25">
      <c r="A4" s="2" t="s">
        <v>14</v>
      </c>
      <c r="B4" s="3" t="s">
        <v>13</v>
      </c>
      <c r="C4" s="20"/>
      <c r="D4" s="3" t="s">
        <v>13</v>
      </c>
      <c r="E4" s="20"/>
      <c r="F4" s="3" t="s">
        <v>13</v>
      </c>
      <c r="G4" s="20"/>
      <c r="H4" s="3" t="s">
        <v>13</v>
      </c>
      <c r="I4" s="20"/>
      <c r="J4" s="3" t="s">
        <v>13</v>
      </c>
    </row>
    <row r="5" spans="1:10" ht="30" x14ac:dyDescent="0.25">
      <c r="A5" s="2" t="s">
        <v>149</v>
      </c>
      <c r="B5" s="10">
        <v>49387</v>
      </c>
      <c r="C5" s="53">
        <v>49387</v>
      </c>
      <c r="D5" s="10">
        <v>49387</v>
      </c>
      <c r="E5" s="53">
        <v>49387</v>
      </c>
      <c r="F5" s="10">
        <v>49387</v>
      </c>
      <c r="G5" s="53">
        <v>49387</v>
      </c>
      <c r="H5" s="10">
        <v>49387</v>
      </c>
      <c r="I5" s="53">
        <v>49387</v>
      </c>
      <c r="J5" s="2" t="s">
        <v>18</v>
      </c>
    </row>
    <row r="6" spans="1:10" ht="30" x14ac:dyDescent="0.25">
      <c r="A6" s="2" t="s">
        <v>150</v>
      </c>
      <c r="B6" s="10">
        <v>2338.6399999999994</v>
      </c>
      <c r="C6" s="53">
        <v>2338.6399999999994</v>
      </c>
      <c r="D6" s="10">
        <v>2338.6399999999994</v>
      </c>
      <c r="E6" s="53">
        <v>2338.6399999999994</v>
      </c>
      <c r="F6" s="10">
        <v>2338.6399999999994</v>
      </c>
      <c r="G6" s="53">
        <v>2338.6399999999994</v>
      </c>
      <c r="H6" s="10">
        <v>2338.6399999999994</v>
      </c>
      <c r="I6" s="53">
        <v>2338.6399999999994</v>
      </c>
      <c r="J6" s="2" t="s">
        <v>20</v>
      </c>
    </row>
    <row r="7" spans="1:10" x14ac:dyDescent="0.25">
      <c r="A7" s="2" t="s">
        <v>153</v>
      </c>
      <c r="B7" s="10">
        <v>180531.52</v>
      </c>
      <c r="C7" s="53">
        <v>180531.52</v>
      </c>
      <c r="D7" s="10">
        <v>212878.32696622433</v>
      </c>
      <c r="E7" s="53">
        <v>212878.32696622433</v>
      </c>
      <c r="F7" s="10">
        <v>180531.52</v>
      </c>
      <c r="G7" s="53">
        <v>180531.52</v>
      </c>
      <c r="H7" s="10">
        <v>212878.32696622433</v>
      </c>
      <c r="I7" s="53">
        <v>212878.32696622433</v>
      </c>
      <c r="J7" s="2" t="s">
        <v>22</v>
      </c>
    </row>
    <row r="8" spans="1:10" x14ac:dyDescent="0.25">
      <c r="A8" s="2" t="s">
        <v>23</v>
      </c>
      <c r="B8" s="10">
        <v>3934</v>
      </c>
      <c r="C8" s="53">
        <v>3934</v>
      </c>
      <c r="D8" s="10">
        <v>3934</v>
      </c>
      <c r="E8" s="53">
        <v>3934</v>
      </c>
      <c r="F8" s="10">
        <v>0</v>
      </c>
      <c r="G8" s="53">
        <v>0</v>
      </c>
      <c r="H8" s="10">
        <v>0</v>
      </c>
      <c r="I8" s="53">
        <v>0</v>
      </c>
      <c r="J8" s="2" t="s">
        <v>25</v>
      </c>
    </row>
    <row r="9" spans="1:10" ht="30" x14ac:dyDescent="0.25">
      <c r="A9" s="2" t="s">
        <v>26</v>
      </c>
      <c r="B9" s="10">
        <v>38295.965402906477</v>
      </c>
      <c r="C9" s="53">
        <v>38295.965402906477</v>
      </c>
      <c r="D9" s="10">
        <v>38295.965402906477</v>
      </c>
      <c r="E9" s="53">
        <v>38295.965402906477</v>
      </c>
      <c r="F9" s="10">
        <v>38295.965402906477</v>
      </c>
      <c r="G9" s="53">
        <v>38295.965402906477</v>
      </c>
      <c r="H9" s="10">
        <v>38295.965402906477</v>
      </c>
      <c r="I9" s="53">
        <v>38295.965402906477</v>
      </c>
      <c r="J9" s="2" t="s">
        <v>27</v>
      </c>
    </row>
    <row r="10" spans="1:10" x14ac:dyDescent="0.25">
      <c r="A10" s="2" t="s">
        <v>28</v>
      </c>
      <c r="B10" s="10">
        <v>164.43</v>
      </c>
      <c r="C10" s="53">
        <v>164.43</v>
      </c>
      <c r="D10" s="10">
        <v>164.43</v>
      </c>
      <c r="E10" s="53">
        <v>164.43</v>
      </c>
      <c r="F10" s="10">
        <v>164.43</v>
      </c>
      <c r="G10" s="53">
        <v>164.43</v>
      </c>
      <c r="H10" s="10">
        <v>164.43</v>
      </c>
      <c r="I10" s="53">
        <v>164.43</v>
      </c>
      <c r="J10" s="2" t="s">
        <v>29</v>
      </c>
    </row>
    <row r="11" spans="1:10" x14ac:dyDescent="0.25">
      <c r="A11" s="2" t="s">
        <v>30</v>
      </c>
      <c r="B11" s="10">
        <v>596.02</v>
      </c>
      <c r="C11" s="53">
        <v>596.02</v>
      </c>
      <c r="D11" s="10">
        <v>596.02</v>
      </c>
      <c r="E11" s="53">
        <v>596.02</v>
      </c>
      <c r="F11" s="10">
        <v>596.02</v>
      </c>
      <c r="G11" s="53">
        <v>596.02</v>
      </c>
      <c r="H11" s="10">
        <v>596.02</v>
      </c>
      <c r="I11" s="53">
        <v>596.02</v>
      </c>
      <c r="J11" s="2" t="s">
        <v>29</v>
      </c>
    </row>
    <row r="12" spans="1:10" x14ac:dyDescent="0.25">
      <c r="A12" s="2" t="s">
        <v>31</v>
      </c>
      <c r="B12" s="10">
        <v>275247.57540290646</v>
      </c>
      <c r="C12" s="53">
        <v>275247.57540290646</v>
      </c>
      <c r="D12" s="10">
        <v>307594.38236913079</v>
      </c>
      <c r="E12" s="53">
        <v>307594.38236913079</v>
      </c>
      <c r="F12" s="10">
        <v>271313.57540290646</v>
      </c>
      <c r="G12" s="53">
        <v>271313.57540290646</v>
      </c>
      <c r="H12" s="10">
        <v>303660.38236913079</v>
      </c>
      <c r="I12" s="53">
        <v>303660.38236913079</v>
      </c>
      <c r="J12" s="2" t="s">
        <v>32</v>
      </c>
    </row>
    <row r="13" spans="1:10" ht="45" x14ac:dyDescent="0.25">
      <c r="A13" s="2" t="s">
        <v>34</v>
      </c>
      <c r="B13" s="10">
        <v>30554.692419623898</v>
      </c>
      <c r="C13" s="53">
        <v>6969.7416617145391</v>
      </c>
      <c r="D13" s="10">
        <v>30554.692419623898</v>
      </c>
      <c r="E13" s="53">
        <v>6969.7416617145391</v>
      </c>
      <c r="F13" s="10">
        <v>0</v>
      </c>
      <c r="G13" s="53">
        <v>0</v>
      </c>
      <c r="H13" s="10">
        <v>0</v>
      </c>
      <c r="I13" s="53">
        <v>0</v>
      </c>
      <c r="J13" s="2" t="s">
        <v>32</v>
      </c>
    </row>
    <row r="14" spans="1:10" ht="30" x14ac:dyDescent="0.25">
      <c r="A14" s="2" t="s">
        <v>35</v>
      </c>
      <c r="B14" s="10">
        <v>194089.65978207043</v>
      </c>
      <c r="C14" s="53">
        <v>44273.22551027494</v>
      </c>
      <c r="D14" s="10">
        <v>194089.65978207043</v>
      </c>
      <c r="E14" s="53">
        <v>44273.22551027494</v>
      </c>
      <c r="F14" s="10">
        <v>194089.65978207043</v>
      </c>
      <c r="G14" s="53">
        <v>44273.22551027494</v>
      </c>
      <c r="H14" s="10">
        <v>194089.65978207043</v>
      </c>
      <c r="I14" s="53">
        <v>44273.22551027494</v>
      </c>
      <c r="J14" s="2" t="s">
        <v>32</v>
      </c>
    </row>
    <row r="15" spans="1:10" ht="45" x14ac:dyDescent="0.25">
      <c r="A15" s="2" t="s">
        <v>36</v>
      </c>
      <c r="B15" s="10">
        <v>2300.2635812345779</v>
      </c>
      <c r="C15" s="53">
        <v>524.70640826214105</v>
      </c>
      <c r="D15" s="10">
        <v>2300.2635812345779</v>
      </c>
      <c r="E15" s="53">
        <v>524.70640826214105</v>
      </c>
      <c r="F15" s="10">
        <v>2300.2635812345779</v>
      </c>
      <c r="G15" s="53">
        <v>524.70640826214105</v>
      </c>
      <c r="H15" s="10">
        <v>2300.2635812345779</v>
      </c>
      <c r="I15" s="53">
        <v>524.70640826214105</v>
      </c>
      <c r="J15" s="2" t="s">
        <v>32</v>
      </c>
    </row>
    <row r="16" spans="1:10" ht="45" x14ac:dyDescent="0.25">
      <c r="A16" s="2" t="s">
        <v>37</v>
      </c>
      <c r="B16" s="10">
        <v>8337.9133958975435</v>
      </c>
      <c r="C16" s="53">
        <v>1901.9370762780595</v>
      </c>
      <c r="D16" s="10">
        <v>8337.9133958975435</v>
      </c>
      <c r="E16" s="53">
        <v>1901.9370762780595</v>
      </c>
      <c r="F16" s="10">
        <v>8337.9133958975435</v>
      </c>
      <c r="G16" s="53">
        <v>1901.9370762780595</v>
      </c>
      <c r="H16" s="10">
        <v>8337.9133958975435</v>
      </c>
      <c r="I16" s="53">
        <v>1901.9370762780595</v>
      </c>
      <c r="J16" s="2" t="s">
        <v>32</v>
      </c>
    </row>
    <row r="17" spans="1:10" x14ac:dyDescent="0.25">
      <c r="A17" s="2" t="s">
        <v>38</v>
      </c>
      <c r="B17" s="10">
        <v>235282.52917882646</v>
      </c>
      <c r="C17" s="53">
        <v>53669.610656529687</v>
      </c>
      <c r="D17" s="10">
        <v>235282.52917882646</v>
      </c>
      <c r="E17" s="53">
        <v>53669.610656529687</v>
      </c>
      <c r="F17" s="10">
        <v>204727.83675920256</v>
      </c>
      <c r="G17" s="53">
        <v>46699.868994815144</v>
      </c>
      <c r="H17" s="10">
        <v>204727.83675920256</v>
      </c>
      <c r="I17" s="53">
        <v>46699.868994815144</v>
      </c>
      <c r="J17" s="2" t="s">
        <v>32</v>
      </c>
    </row>
    <row r="18" spans="1:10" x14ac:dyDescent="0.25">
      <c r="A18" s="2" t="s">
        <v>40</v>
      </c>
      <c r="B18" s="10">
        <v>11497.524185062452</v>
      </c>
      <c r="C18" s="53">
        <v>2622.6666666666665</v>
      </c>
      <c r="D18" s="10">
        <v>11497.524185062452</v>
      </c>
      <c r="E18" s="53">
        <v>2622.6666666666665</v>
      </c>
      <c r="F18" s="10">
        <v>0</v>
      </c>
      <c r="G18" s="53">
        <v>0</v>
      </c>
      <c r="H18" s="10">
        <v>0</v>
      </c>
      <c r="I18" s="53">
        <v>0</v>
      </c>
      <c r="J18" s="2" t="s">
        <v>41</v>
      </c>
    </row>
    <row r="19" spans="1:10" x14ac:dyDescent="0.25">
      <c r="A19" s="2" t="s">
        <v>42</v>
      </c>
      <c r="B19" s="10">
        <v>83942.956611000016</v>
      </c>
      <c r="C19" s="53">
        <v>19147.982701453235</v>
      </c>
      <c r="D19" s="10">
        <v>83942.956611000016</v>
      </c>
      <c r="E19" s="53">
        <v>19147.982701453235</v>
      </c>
      <c r="F19" s="10">
        <v>83942.956611000016</v>
      </c>
      <c r="G19" s="53">
        <v>19147.982701453235</v>
      </c>
      <c r="H19" s="10">
        <v>83942.956611000016</v>
      </c>
      <c r="I19" s="53">
        <v>19147.982701453235</v>
      </c>
      <c r="J19" s="2" t="s">
        <v>41</v>
      </c>
    </row>
    <row r="20" spans="1:10" ht="30" x14ac:dyDescent="0.25">
      <c r="A20" s="2" t="s">
        <v>43</v>
      </c>
      <c r="B20" s="10">
        <v>240.28188888533541</v>
      </c>
      <c r="C20" s="53">
        <v>54.81</v>
      </c>
      <c r="D20" s="10">
        <v>240.28188888533541</v>
      </c>
      <c r="E20" s="53">
        <v>54.81</v>
      </c>
      <c r="F20" s="10">
        <v>240.28188888533541</v>
      </c>
      <c r="G20" s="53">
        <v>54.81</v>
      </c>
      <c r="H20" s="10">
        <v>240.28188888533541</v>
      </c>
      <c r="I20" s="53">
        <v>54.81</v>
      </c>
      <c r="J20" s="2" t="s">
        <v>41</v>
      </c>
    </row>
    <row r="21" spans="1:10" ht="30" x14ac:dyDescent="0.25">
      <c r="A21" s="2" t="s">
        <v>44</v>
      </c>
      <c r="B21" s="10">
        <v>870.96522175659914</v>
      </c>
      <c r="C21" s="53">
        <v>198.67333333333332</v>
      </c>
      <c r="D21" s="10">
        <v>870.96522175659914</v>
      </c>
      <c r="E21" s="53">
        <v>198.67333333333332</v>
      </c>
      <c r="F21" s="10">
        <v>870.96522175659914</v>
      </c>
      <c r="G21" s="53">
        <v>198.67333333333332</v>
      </c>
      <c r="H21" s="10">
        <v>870.96522175659914</v>
      </c>
      <c r="I21" s="53">
        <v>198.67333333333332</v>
      </c>
      <c r="J21" s="2" t="s">
        <v>41</v>
      </c>
    </row>
    <row r="22" spans="1:10" x14ac:dyDescent="0.25">
      <c r="A22" s="2" t="s">
        <v>45</v>
      </c>
      <c r="B22" s="10">
        <v>96551.727906704415</v>
      </c>
      <c r="C22" s="53">
        <v>22024.132701453236</v>
      </c>
      <c r="D22" s="10">
        <v>96551.727906704415</v>
      </c>
      <c r="E22" s="53">
        <v>22024.132701453236</v>
      </c>
      <c r="F22" s="10">
        <v>85054.203721641956</v>
      </c>
      <c r="G22" s="53">
        <v>19401.466034786568</v>
      </c>
      <c r="H22" s="10">
        <v>85054.203721641956</v>
      </c>
      <c r="I22" s="53">
        <v>19401.466034786568</v>
      </c>
      <c r="J22" s="2" t="s">
        <v>32</v>
      </c>
    </row>
    <row r="23" spans="1:10" ht="60" x14ac:dyDescent="0.25">
      <c r="A23" s="2" t="s">
        <v>151</v>
      </c>
      <c r="B23" s="10">
        <v>2843.2</v>
      </c>
      <c r="C23" s="53">
        <v>73154.865024725703</v>
      </c>
      <c r="D23" s="10">
        <v>2843.2</v>
      </c>
      <c r="E23" s="53">
        <v>73154.865024725703</v>
      </c>
      <c r="F23" s="10">
        <v>2843.2</v>
      </c>
      <c r="G23" s="53">
        <v>73154.865024725703</v>
      </c>
      <c r="H23" s="10">
        <v>2843.2</v>
      </c>
      <c r="I23" s="53">
        <v>73154.865024725703</v>
      </c>
      <c r="J23" s="2" t="s">
        <v>49</v>
      </c>
    </row>
    <row r="24" spans="1:10" ht="60" x14ac:dyDescent="0.25">
      <c r="A24" s="2" t="s">
        <v>152</v>
      </c>
      <c r="B24" s="10">
        <v>995.12</v>
      </c>
      <c r="C24" s="53">
        <v>25604.202758653999</v>
      </c>
      <c r="D24" s="10">
        <v>995.12</v>
      </c>
      <c r="E24" s="53">
        <v>25604.202758653999</v>
      </c>
      <c r="F24" s="10">
        <v>995.12</v>
      </c>
      <c r="G24" s="53">
        <v>25604.202758653999</v>
      </c>
      <c r="H24" s="10">
        <v>995.12</v>
      </c>
      <c r="I24" s="53">
        <v>25604.202758653999</v>
      </c>
      <c r="J24" s="2" t="s">
        <v>49</v>
      </c>
    </row>
    <row r="25" spans="1:10" x14ac:dyDescent="0.25">
      <c r="A25" s="2" t="s">
        <v>51</v>
      </c>
      <c r="B25" s="10">
        <v>4679.2087818494101</v>
      </c>
      <c r="C25" s="53">
        <v>120394.93769650563</v>
      </c>
      <c r="D25" s="10">
        <v>5229.1045002752235</v>
      </c>
      <c r="E25" s="53">
        <v>134543.62476006604</v>
      </c>
      <c r="F25" s="10">
        <v>4612.3307818494104</v>
      </c>
      <c r="G25" s="53">
        <v>118674.18253924495</v>
      </c>
      <c r="H25" s="10">
        <v>5162.2265002752238</v>
      </c>
      <c r="I25" s="53">
        <v>132822.86960280535</v>
      </c>
      <c r="J25" s="2" t="s">
        <v>53</v>
      </c>
    </row>
    <row r="26" spans="1:10" ht="30" x14ac:dyDescent="0.25">
      <c r="A26" s="2" t="s">
        <v>54</v>
      </c>
      <c r="B26" s="10">
        <v>2808.81</v>
      </c>
      <c r="C26" s="53">
        <v>72270.018440524698</v>
      </c>
      <c r="D26" s="10">
        <v>2808.81</v>
      </c>
      <c r="E26" s="53">
        <v>72270.018440524698</v>
      </c>
      <c r="F26" s="10">
        <v>0</v>
      </c>
      <c r="G26" s="53">
        <v>0</v>
      </c>
      <c r="H26" s="10">
        <v>0</v>
      </c>
      <c r="I26" s="53">
        <v>0</v>
      </c>
      <c r="J26" s="2" t="s">
        <v>182</v>
      </c>
    </row>
    <row r="27" spans="1:10" x14ac:dyDescent="0.25">
      <c r="A27" s="2" t="s">
        <v>55</v>
      </c>
      <c r="B27" s="10">
        <v>11326.33878184941</v>
      </c>
      <c r="C27" s="53">
        <v>291424.02392041002</v>
      </c>
      <c r="D27" s="10">
        <v>11876.234500275223</v>
      </c>
      <c r="E27" s="53">
        <v>305572.71098397044</v>
      </c>
      <c r="F27" s="10">
        <v>8450.6507818494101</v>
      </c>
      <c r="G27" s="53">
        <v>217433.25032262463</v>
      </c>
      <c r="H27" s="10">
        <v>9000.5465002752244</v>
      </c>
      <c r="I27" s="53">
        <v>231581.93738618505</v>
      </c>
      <c r="J27" s="2" t="s">
        <v>32</v>
      </c>
    </row>
    <row r="28" spans="1:10" x14ac:dyDescent="0.25">
      <c r="A28" s="2" t="s">
        <v>56</v>
      </c>
      <c r="B28" s="10">
        <v>425304.71545687789</v>
      </c>
      <c r="C28" s="53">
        <v>598317.07727839286</v>
      </c>
      <c r="D28" s="10">
        <v>458201.41814152803</v>
      </c>
      <c r="E28" s="53">
        <v>644812.57130817766</v>
      </c>
      <c r="F28" s="10">
        <v>399437.85922231647</v>
      </c>
      <c r="G28" s="53">
        <v>516045.2286855597</v>
      </c>
      <c r="H28" s="10">
        <v>432334.56190696661</v>
      </c>
      <c r="I28" s="53">
        <v>562540.72271534451</v>
      </c>
      <c r="J28" s="2" t="s">
        <v>32</v>
      </c>
    </row>
    <row r="29" spans="1:10" ht="30" x14ac:dyDescent="0.25">
      <c r="A29" s="2" t="s">
        <v>164</v>
      </c>
      <c r="B29" s="103">
        <f t="shared" ref="B29:I29" si="0">B28/(606*150*50)</f>
        <v>9.3576395040017135E-2</v>
      </c>
      <c r="C29" s="105">
        <f t="shared" si="0"/>
        <v>0.13164292129337576</v>
      </c>
      <c r="D29" s="103">
        <f t="shared" si="0"/>
        <v>0.10081439343047921</v>
      </c>
      <c r="E29" s="105">
        <f t="shared" si="0"/>
        <v>0.14187295298309741</v>
      </c>
      <c r="F29" s="103">
        <f t="shared" si="0"/>
        <v>8.7885117540663693E-2</v>
      </c>
      <c r="G29" s="105">
        <f t="shared" si="0"/>
        <v>0.11354130444126727</v>
      </c>
      <c r="H29" s="103">
        <f t="shared" si="0"/>
        <v>9.5123115931125768E-2</v>
      </c>
      <c r="I29" s="105">
        <f t="shared" si="0"/>
        <v>0.1237713361309889</v>
      </c>
      <c r="J29" s="2"/>
    </row>
    <row r="32" spans="1:10" ht="21" x14ac:dyDescent="0.35">
      <c r="B32" s="19"/>
      <c r="C32" s="139" t="s">
        <v>202</v>
      </c>
    </row>
    <row r="34" spans="1:10" x14ac:dyDescent="0.25">
      <c r="A34" s="147" t="s">
        <v>155</v>
      </c>
      <c r="B34" s="147"/>
      <c r="C34" s="147"/>
      <c r="D34" s="147"/>
      <c r="E34" s="147"/>
      <c r="F34" s="147"/>
      <c r="G34" s="147"/>
      <c r="H34" s="147"/>
      <c r="I34" s="147"/>
    </row>
    <row r="35" spans="1:10" ht="27" customHeight="1" x14ac:dyDescent="0.25">
      <c r="A35" s="146" t="s">
        <v>154</v>
      </c>
      <c r="B35" s="146" t="s">
        <v>192</v>
      </c>
      <c r="C35" s="146"/>
      <c r="D35" s="146" t="s">
        <v>193</v>
      </c>
      <c r="E35" s="146"/>
      <c r="F35" s="146" t="s">
        <v>194</v>
      </c>
      <c r="G35" s="146"/>
      <c r="H35" s="146" t="s">
        <v>195</v>
      </c>
      <c r="I35" s="146"/>
      <c r="J35" s="142" t="s">
        <v>10</v>
      </c>
    </row>
    <row r="36" spans="1:10" ht="45" x14ac:dyDescent="0.25">
      <c r="A36" s="146"/>
      <c r="B36" s="2" t="s">
        <v>6</v>
      </c>
      <c r="C36" s="104" t="s">
        <v>9</v>
      </c>
      <c r="D36" s="2" t="s">
        <v>6</v>
      </c>
      <c r="E36" s="104" t="s">
        <v>9</v>
      </c>
      <c r="F36" s="2" t="s">
        <v>6</v>
      </c>
      <c r="G36" s="104" t="s">
        <v>9</v>
      </c>
      <c r="H36" s="2" t="s">
        <v>6</v>
      </c>
      <c r="I36" s="104" t="s">
        <v>9</v>
      </c>
      <c r="J36" s="143"/>
    </row>
    <row r="37" spans="1:10" ht="30" x14ac:dyDescent="0.25">
      <c r="A37" s="2" t="s">
        <v>149</v>
      </c>
      <c r="B37" s="10">
        <v>49387</v>
      </c>
      <c r="C37" s="53">
        <v>49387</v>
      </c>
      <c r="D37" s="10">
        <v>49387</v>
      </c>
      <c r="E37" s="53">
        <v>49387</v>
      </c>
      <c r="F37" s="10">
        <v>49387</v>
      </c>
      <c r="G37" s="53">
        <v>49387</v>
      </c>
      <c r="H37" s="10">
        <v>49387</v>
      </c>
      <c r="I37" s="53">
        <v>49387</v>
      </c>
      <c r="J37" s="2" t="s">
        <v>18</v>
      </c>
    </row>
    <row r="38" spans="1:10" ht="30" x14ac:dyDescent="0.25">
      <c r="A38" s="2" t="s">
        <v>150</v>
      </c>
      <c r="B38" s="10">
        <v>2338.6399999999994</v>
      </c>
      <c r="C38" s="53">
        <v>2338.6399999999994</v>
      </c>
      <c r="D38" s="10">
        <v>2338.6399999999994</v>
      </c>
      <c r="E38" s="53">
        <v>2338.6399999999994</v>
      </c>
      <c r="F38" s="10">
        <v>2338.6399999999994</v>
      </c>
      <c r="G38" s="53">
        <v>2338.6399999999994</v>
      </c>
      <c r="H38" s="10">
        <v>2338.6399999999994</v>
      </c>
      <c r="I38" s="53">
        <v>2338.6399999999994</v>
      </c>
      <c r="J38" s="2" t="s">
        <v>20</v>
      </c>
    </row>
    <row r="39" spans="1:10" x14ac:dyDescent="0.25">
      <c r="A39" s="2" t="s">
        <v>153</v>
      </c>
      <c r="B39" s="10">
        <v>180531.52</v>
      </c>
      <c r="C39" s="53">
        <v>180531.52</v>
      </c>
      <c r="D39" s="10">
        <v>212878.32696622433</v>
      </c>
      <c r="E39" s="53">
        <v>212878.32696622433</v>
      </c>
      <c r="F39" s="10">
        <v>180531.52</v>
      </c>
      <c r="G39" s="53">
        <v>180531.52</v>
      </c>
      <c r="H39" s="10">
        <v>212878.32696622433</v>
      </c>
      <c r="I39" s="53">
        <v>212878.32696622433</v>
      </c>
      <c r="J39" s="2" t="s">
        <v>22</v>
      </c>
    </row>
    <row r="40" spans="1:10" x14ac:dyDescent="0.25">
      <c r="A40" s="2" t="s">
        <v>23</v>
      </c>
      <c r="B40" s="10">
        <v>3934</v>
      </c>
      <c r="C40" s="53">
        <v>3934</v>
      </c>
      <c r="D40" s="10">
        <v>3934</v>
      </c>
      <c r="E40" s="53">
        <v>3934</v>
      </c>
      <c r="F40" s="10">
        <v>0</v>
      </c>
      <c r="G40" s="53">
        <v>0</v>
      </c>
      <c r="H40" s="10">
        <v>0</v>
      </c>
      <c r="I40" s="53">
        <v>0</v>
      </c>
      <c r="J40" s="2" t="s">
        <v>25</v>
      </c>
    </row>
    <row r="41" spans="1:10" ht="30" x14ac:dyDescent="0.25">
      <c r="A41" s="2" t="s">
        <v>26</v>
      </c>
      <c r="B41" s="10">
        <v>38295.965402906477</v>
      </c>
      <c r="C41" s="53">
        <v>38295.965402906477</v>
      </c>
      <c r="D41" s="10">
        <v>38295.965402906477</v>
      </c>
      <c r="E41" s="53">
        <v>38295.965402906477</v>
      </c>
      <c r="F41" s="10">
        <v>38295.965402906477</v>
      </c>
      <c r="G41" s="53">
        <v>38295.965402906477</v>
      </c>
      <c r="H41" s="10">
        <v>38295.965402906477</v>
      </c>
      <c r="I41" s="53">
        <v>38295.965402906477</v>
      </c>
      <c r="J41" s="2" t="s">
        <v>27</v>
      </c>
    </row>
    <row r="42" spans="1:10" ht="30" x14ac:dyDescent="0.25">
      <c r="A42" s="2" t="s">
        <v>200</v>
      </c>
      <c r="B42" s="10">
        <v>164.43</v>
      </c>
      <c r="C42" s="53">
        <v>164.43</v>
      </c>
      <c r="D42" s="10">
        <v>164.43</v>
      </c>
      <c r="E42" s="53">
        <v>164.43</v>
      </c>
      <c r="F42" s="10">
        <v>164.43</v>
      </c>
      <c r="G42" s="53">
        <v>164.43</v>
      </c>
      <c r="H42" s="10">
        <v>164.43</v>
      </c>
      <c r="I42" s="53">
        <v>164.43</v>
      </c>
      <c r="J42" s="2" t="s">
        <v>29</v>
      </c>
    </row>
    <row r="43" spans="1:10" x14ac:dyDescent="0.25">
      <c r="A43" s="2" t="s">
        <v>201</v>
      </c>
      <c r="B43" s="10">
        <v>596.02</v>
      </c>
      <c r="C43" s="53">
        <v>596.02</v>
      </c>
      <c r="D43" s="10">
        <v>596.02</v>
      </c>
      <c r="E43" s="53">
        <v>596.02</v>
      </c>
      <c r="F43" s="10">
        <v>596.02</v>
      </c>
      <c r="G43" s="53">
        <v>596.02</v>
      </c>
      <c r="H43" s="10">
        <v>596.02</v>
      </c>
      <c r="I43" s="53">
        <v>596.02</v>
      </c>
      <c r="J43" s="2" t="s">
        <v>29</v>
      </c>
    </row>
    <row r="44" spans="1:10" x14ac:dyDescent="0.25">
      <c r="A44" s="2" t="s">
        <v>31</v>
      </c>
      <c r="B44" s="10">
        <v>275247.57540290646</v>
      </c>
      <c r="C44" s="53">
        <v>275247.57540290646</v>
      </c>
      <c r="D44" s="10">
        <v>307594.38236913079</v>
      </c>
      <c r="E44" s="53">
        <v>307594.38236913079</v>
      </c>
      <c r="F44" s="10">
        <v>271313.57540290646</v>
      </c>
      <c r="G44" s="53">
        <v>271313.57540290646</v>
      </c>
      <c r="H44" s="10">
        <v>303660.38236913079</v>
      </c>
      <c r="I44" s="53">
        <v>303660.38236913079</v>
      </c>
      <c r="J44" s="2" t="s">
        <v>32</v>
      </c>
    </row>
    <row r="45" spans="1:10" ht="45" x14ac:dyDescent="0.25">
      <c r="A45" s="2" t="s">
        <v>34</v>
      </c>
      <c r="B45" s="10">
        <v>30554.692419623898</v>
      </c>
      <c r="C45" s="53">
        <v>6969.7416617145391</v>
      </c>
      <c r="D45" s="10">
        <v>30554.692419623898</v>
      </c>
      <c r="E45" s="53">
        <v>6969.7416617145391</v>
      </c>
      <c r="F45" s="10">
        <v>0</v>
      </c>
      <c r="G45" s="53">
        <v>0</v>
      </c>
      <c r="H45" s="10">
        <v>0</v>
      </c>
      <c r="I45" s="53">
        <v>0</v>
      </c>
      <c r="J45" s="2" t="s">
        <v>32</v>
      </c>
    </row>
    <row r="46" spans="1:10" ht="30" x14ac:dyDescent="0.25">
      <c r="A46" s="2" t="s">
        <v>35</v>
      </c>
      <c r="B46" s="10">
        <v>194089.65978207043</v>
      </c>
      <c r="C46" s="53">
        <v>44273.22551027494</v>
      </c>
      <c r="D46" s="10">
        <v>194089.65978207043</v>
      </c>
      <c r="E46" s="53">
        <v>44273.22551027494</v>
      </c>
      <c r="F46" s="10">
        <v>194089.65978207043</v>
      </c>
      <c r="G46" s="53">
        <v>44273.22551027494</v>
      </c>
      <c r="H46" s="10">
        <v>194089.65978207043</v>
      </c>
      <c r="I46" s="53">
        <v>44273.22551027494</v>
      </c>
      <c r="J46" s="2" t="s">
        <v>32</v>
      </c>
    </row>
    <row r="47" spans="1:10" ht="45" x14ac:dyDescent="0.25">
      <c r="A47" s="2" t="s">
        <v>196</v>
      </c>
      <c r="B47" s="10">
        <v>2300.2635812345779</v>
      </c>
      <c r="C47" s="53">
        <v>524.70640826214105</v>
      </c>
      <c r="D47" s="10">
        <v>2300.2635812345779</v>
      </c>
      <c r="E47" s="53">
        <v>524.70640826214105</v>
      </c>
      <c r="F47" s="10">
        <v>2300.2635812345779</v>
      </c>
      <c r="G47" s="53">
        <v>524.70640826214105</v>
      </c>
      <c r="H47" s="10">
        <v>2300.2635812345779</v>
      </c>
      <c r="I47" s="53">
        <v>524.70640826214105</v>
      </c>
      <c r="J47" s="2" t="s">
        <v>32</v>
      </c>
    </row>
    <row r="48" spans="1:10" ht="60" x14ac:dyDescent="0.25">
      <c r="A48" s="2" t="s">
        <v>197</v>
      </c>
      <c r="B48" s="10">
        <v>8337.9133958975435</v>
      </c>
      <c r="C48" s="53">
        <v>1901.9370762780595</v>
      </c>
      <c r="D48" s="10">
        <v>8337.9133958975435</v>
      </c>
      <c r="E48" s="53">
        <v>1901.9370762780595</v>
      </c>
      <c r="F48" s="10">
        <v>8337.9133958975435</v>
      </c>
      <c r="G48" s="53">
        <v>1901.9370762780595</v>
      </c>
      <c r="H48" s="10">
        <v>8337.9133958975435</v>
      </c>
      <c r="I48" s="53">
        <v>1901.9370762780595</v>
      </c>
      <c r="J48" s="2" t="s">
        <v>32</v>
      </c>
    </row>
    <row r="49" spans="1:10" x14ac:dyDescent="0.25">
      <c r="A49" s="2" t="s">
        <v>38</v>
      </c>
      <c r="B49" s="10">
        <v>235282.52917882646</v>
      </c>
      <c r="C49" s="53">
        <v>53669.610656529687</v>
      </c>
      <c r="D49" s="10">
        <v>235282.52917882646</v>
      </c>
      <c r="E49" s="53">
        <v>53669.610656529687</v>
      </c>
      <c r="F49" s="10">
        <v>204727.83675920256</v>
      </c>
      <c r="G49" s="53">
        <v>46699.868994815144</v>
      </c>
      <c r="H49" s="10">
        <v>204727.83675920256</v>
      </c>
      <c r="I49" s="53">
        <v>46699.868994815144</v>
      </c>
      <c r="J49" s="2" t="s">
        <v>32</v>
      </c>
    </row>
    <row r="50" spans="1:10" x14ac:dyDescent="0.25">
      <c r="A50" s="2" t="s">
        <v>40</v>
      </c>
      <c r="B50" s="10">
        <v>11497.524185062452</v>
      </c>
      <c r="C50" s="53">
        <v>2622.6666666666665</v>
      </c>
      <c r="D50" s="10">
        <v>11497.524185062452</v>
      </c>
      <c r="E50" s="53">
        <v>2622.6666666666665</v>
      </c>
      <c r="F50" s="10">
        <v>0</v>
      </c>
      <c r="G50" s="53">
        <v>0</v>
      </c>
      <c r="H50" s="10">
        <v>0</v>
      </c>
      <c r="I50" s="53">
        <v>0</v>
      </c>
      <c r="J50" s="2" t="s">
        <v>41</v>
      </c>
    </row>
    <row r="51" spans="1:10" x14ac:dyDescent="0.25">
      <c r="A51" s="2" t="s">
        <v>42</v>
      </c>
      <c r="B51" s="10">
        <v>83942.956611000016</v>
      </c>
      <c r="C51" s="53">
        <v>19147.982701453235</v>
      </c>
      <c r="D51" s="10">
        <v>83942.956611000016</v>
      </c>
      <c r="E51" s="53">
        <v>19147.982701453235</v>
      </c>
      <c r="F51" s="10">
        <v>83942.956611000016</v>
      </c>
      <c r="G51" s="53">
        <v>19147.982701453235</v>
      </c>
      <c r="H51" s="10">
        <v>83942.956611000016</v>
      </c>
      <c r="I51" s="53">
        <v>19147.982701453235</v>
      </c>
      <c r="J51" s="2" t="s">
        <v>41</v>
      </c>
    </row>
    <row r="52" spans="1:10" ht="30" x14ac:dyDescent="0.25">
      <c r="A52" s="2" t="s">
        <v>199</v>
      </c>
      <c r="B52" s="10">
        <v>240.28188888533541</v>
      </c>
      <c r="C52" s="53">
        <v>54.81</v>
      </c>
      <c r="D52" s="10">
        <v>240.28188888533541</v>
      </c>
      <c r="E52" s="53">
        <v>54.81</v>
      </c>
      <c r="F52" s="10">
        <v>240.28188888533541</v>
      </c>
      <c r="G52" s="53">
        <v>54.81</v>
      </c>
      <c r="H52" s="10">
        <v>240.28188888533541</v>
      </c>
      <c r="I52" s="53">
        <v>54.81</v>
      </c>
      <c r="J52" s="2" t="s">
        <v>41</v>
      </c>
    </row>
    <row r="53" spans="1:10" ht="30" x14ac:dyDescent="0.25">
      <c r="A53" s="2" t="s">
        <v>198</v>
      </c>
      <c r="B53" s="10">
        <v>870.96522175659914</v>
      </c>
      <c r="C53" s="53">
        <v>198.67333333333332</v>
      </c>
      <c r="D53" s="10">
        <v>870.96522175659914</v>
      </c>
      <c r="E53" s="53">
        <v>198.67333333333332</v>
      </c>
      <c r="F53" s="10">
        <v>870.96522175659914</v>
      </c>
      <c r="G53" s="53">
        <v>198.67333333333332</v>
      </c>
      <c r="H53" s="10">
        <v>870.96522175659914</v>
      </c>
      <c r="I53" s="53">
        <v>198.67333333333332</v>
      </c>
      <c r="J53" s="2" t="s">
        <v>41</v>
      </c>
    </row>
    <row r="54" spans="1:10" x14ac:dyDescent="0.25">
      <c r="A54" s="2" t="s">
        <v>45</v>
      </c>
      <c r="B54" s="10">
        <v>96551.727906704415</v>
      </c>
      <c r="C54" s="53">
        <v>22024.132701453236</v>
      </c>
      <c r="D54" s="10">
        <v>96551.727906704415</v>
      </c>
      <c r="E54" s="53">
        <v>22024.132701453236</v>
      </c>
      <c r="F54" s="10">
        <v>85054.203721641956</v>
      </c>
      <c r="G54" s="53">
        <v>19401.466034786568</v>
      </c>
      <c r="H54" s="10">
        <v>85054.203721641956</v>
      </c>
      <c r="I54" s="53">
        <v>19401.466034786568</v>
      </c>
      <c r="J54" s="2" t="s">
        <v>32</v>
      </c>
    </row>
    <row r="55" spans="1:10" ht="60" x14ac:dyDescent="0.25">
      <c r="A55" s="2" t="s">
        <v>151</v>
      </c>
      <c r="B55" s="10">
        <v>2843.2</v>
      </c>
      <c r="C55" s="53">
        <v>73154.865024725703</v>
      </c>
      <c r="D55" s="10">
        <v>2843.2</v>
      </c>
      <c r="E55" s="53">
        <v>73154.865024725703</v>
      </c>
      <c r="F55" s="10">
        <v>2843.2</v>
      </c>
      <c r="G55" s="53">
        <v>73154.865024725703</v>
      </c>
      <c r="H55" s="10">
        <v>2843.2</v>
      </c>
      <c r="I55" s="53">
        <v>73154.865024725703</v>
      </c>
      <c r="J55" s="2" t="s">
        <v>49</v>
      </c>
    </row>
    <row r="56" spans="1:10" ht="60" x14ac:dyDescent="0.25">
      <c r="A56" s="2" t="s">
        <v>152</v>
      </c>
      <c r="B56" s="10">
        <v>995.12</v>
      </c>
      <c r="C56" s="53">
        <v>25604.202758653999</v>
      </c>
      <c r="D56" s="10">
        <v>995.12</v>
      </c>
      <c r="E56" s="53">
        <v>25604.202758653999</v>
      </c>
      <c r="F56" s="10">
        <v>995.12</v>
      </c>
      <c r="G56" s="53">
        <v>25604.202758653999</v>
      </c>
      <c r="H56" s="10">
        <v>995.12</v>
      </c>
      <c r="I56" s="53">
        <v>25604.202758653999</v>
      </c>
      <c r="J56" s="2" t="s">
        <v>49</v>
      </c>
    </row>
    <row r="57" spans="1:10" x14ac:dyDescent="0.25">
      <c r="A57" s="2" t="s">
        <v>51</v>
      </c>
      <c r="B57" s="10">
        <v>4679.2087818494101</v>
      </c>
      <c r="C57" s="53">
        <v>120394.93769650563</v>
      </c>
      <c r="D57" s="10">
        <v>5229.1045002752235</v>
      </c>
      <c r="E57" s="53">
        <v>134543.62476006604</v>
      </c>
      <c r="F57" s="10">
        <v>4612.3307818494104</v>
      </c>
      <c r="G57" s="53">
        <v>118674.18253924495</v>
      </c>
      <c r="H57" s="10">
        <v>5162.2265002752238</v>
      </c>
      <c r="I57" s="53">
        <v>132822.86960280535</v>
      </c>
      <c r="J57" s="2" t="s">
        <v>53</v>
      </c>
    </row>
    <row r="58" spans="1:10" ht="30" x14ac:dyDescent="0.25">
      <c r="A58" s="2" t="s">
        <v>54</v>
      </c>
      <c r="B58" s="10">
        <v>2808.81</v>
      </c>
      <c r="C58" s="53">
        <v>72270.018440524698</v>
      </c>
      <c r="D58" s="10">
        <v>2808.81</v>
      </c>
      <c r="E58" s="53">
        <v>72270.018440524698</v>
      </c>
      <c r="F58" s="10">
        <v>0</v>
      </c>
      <c r="G58" s="53">
        <v>0</v>
      </c>
      <c r="H58" s="10">
        <v>0</v>
      </c>
      <c r="I58" s="53">
        <v>0</v>
      </c>
      <c r="J58" s="2" t="s">
        <v>182</v>
      </c>
    </row>
    <row r="59" spans="1:10" x14ac:dyDescent="0.25">
      <c r="A59" s="2" t="s">
        <v>55</v>
      </c>
      <c r="B59" s="10">
        <v>11326.33878184941</v>
      </c>
      <c r="C59" s="53">
        <v>291424.02392041002</v>
      </c>
      <c r="D59" s="10">
        <v>11876.234500275223</v>
      </c>
      <c r="E59" s="53">
        <v>305572.71098397044</v>
      </c>
      <c r="F59" s="10">
        <v>8450.6507818494101</v>
      </c>
      <c r="G59" s="53">
        <v>217433.25032262463</v>
      </c>
      <c r="H59" s="10">
        <v>9000.5465002752244</v>
      </c>
      <c r="I59" s="53">
        <v>231581.93738618505</v>
      </c>
      <c r="J59" s="2" t="s">
        <v>32</v>
      </c>
    </row>
    <row r="60" spans="1:10" x14ac:dyDescent="0.25">
      <c r="A60" s="2" t="s">
        <v>56</v>
      </c>
      <c r="B60" s="10">
        <v>425304.71545687789</v>
      </c>
      <c r="C60" s="53">
        <v>598317.07727839286</v>
      </c>
      <c r="D60" s="10">
        <v>458201.41814152803</v>
      </c>
      <c r="E60" s="53">
        <v>644812.57130817766</v>
      </c>
      <c r="F60" s="10">
        <v>399437.85922231647</v>
      </c>
      <c r="G60" s="53">
        <v>516045.2286855597</v>
      </c>
      <c r="H60" s="10">
        <v>432334.56190696661</v>
      </c>
      <c r="I60" s="53">
        <v>562540.72271534451</v>
      </c>
      <c r="J60" s="2" t="s">
        <v>32</v>
      </c>
    </row>
    <row r="61" spans="1:10" ht="30" x14ac:dyDescent="0.25">
      <c r="A61" s="2" t="s">
        <v>164</v>
      </c>
      <c r="B61" s="103">
        <f>B60/(606*150*50)</f>
        <v>9.3576395040017135E-2</v>
      </c>
      <c r="C61" s="105">
        <f>C60/(606*150*50)</f>
        <v>0.13164292129337576</v>
      </c>
      <c r="D61" s="103">
        <f t="shared" ref="D61:I61" si="1">D60/(606*150*50)</f>
        <v>0.10081439343047921</v>
      </c>
      <c r="E61" s="105">
        <f t="shared" si="1"/>
        <v>0.14187295298309741</v>
      </c>
      <c r="F61" s="103">
        <f t="shared" si="1"/>
        <v>8.7885117540663693E-2</v>
      </c>
      <c r="G61" s="105">
        <f t="shared" si="1"/>
        <v>0.11354130444126727</v>
      </c>
      <c r="H61" s="103">
        <f t="shared" si="1"/>
        <v>9.5123115931125768E-2</v>
      </c>
      <c r="I61" s="105">
        <f t="shared" si="1"/>
        <v>0.1237713361309889</v>
      </c>
      <c r="J61" s="2"/>
    </row>
  </sheetData>
  <mergeCells count="13">
    <mergeCell ref="A1:A2"/>
    <mergeCell ref="J1:J2"/>
    <mergeCell ref="J35:J36"/>
    <mergeCell ref="B1:C1"/>
    <mergeCell ref="D1:E1"/>
    <mergeCell ref="F1:G1"/>
    <mergeCell ref="H1:I1"/>
    <mergeCell ref="A35:A36"/>
    <mergeCell ref="B35:C35"/>
    <mergeCell ref="D35:E35"/>
    <mergeCell ref="F35:G35"/>
    <mergeCell ref="H35:I35"/>
    <mergeCell ref="A34:I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Config. 1 LCC_ARWH ref crop</vt:lpstr>
      <vt:lpstr>Config. 2 LCC ARWH CONC TANK</vt:lpstr>
      <vt:lpstr>Config. 3 LCC ARWH NO PP PE TK</vt:lpstr>
      <vt:lpstr>Config. 4 LCC ARWH NO PP CO TK</vt:lpstr>
      <vt:lpstr>PE tank costs</vt:lpstr>
      <vt:lpstr>CONCRETE tank costs</vt:lpstr>
      <vt:lpstr>Typical pivot system cost</vt:lpstr>
      <vt:lpstr>Table S2, Compare all LCCAs</vt:lpstr>
      <vt:lpstr>'Table S2, Compare all LCCAs'!_Toc511725131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Ghimire, Santosh</cp:lastModifiedBy>
  <dcterms:created xsi:type="dcterms:W3CDTF">2015-04-09T14:47:36Z</dcterms:created>
  <dcterms:modified xsi:type="dcterms:W3CDTF">2018-09-21T13:31:21Z</dcterms:modified>
</cp:coreProperties>
</file>