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\\AA.AD.EPA.GOV\ORD\ATH\USERS\N-Z\sghimire\Net MyDocuments\Research Contractor SR Ghimire\Journals for submissions\PLOS2018\PLOS submission DATA\Cluster 2 data\"/>
    </mc:Choice>
  </mc:AlternateContent>
  <bookViews>
    <workbookView xWindow="0" yWindow="0" windowWidth="23040" windowHeight="9090" firstSheet="3" activeTab="5"/>
  </bookViews>
  <sheets>
    <sheet name="LCC optimal ARWH NO PP NO TK" sheetId="5" r:id="rId1"/>
    <sheet name="TableS4 LCC ARWH NO P NO T" sheetId="6" r:id="rId2"/>
    <sheet name="TableS5. LCC_Well Irrig. crop" sheetId="1" r:id="rId3"/>
    <sheet name="LCCAAux. Ag. RWH and WW" sheetId="7" r:id="rId4"/>
    <sheet name="Auxiliary RWH-crops LCCA m-3 " sheetId="8" r:id="rId5"/>
    <sheet name="24DMO LCCA Data" sheetId="9" r:id="rId6"/>
  </sheets>
  <definedNames>
    <definedName name="_Toc524689091" localSheetId="1">'TableS4 LCC ARWH NO P NO T'!$B$1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" i="8" l="1"/>
  <c r="AD5" i="8"/>
  <c r="AC5" i="8"/>
  <c r="AB5" i="8"/>
  <c r="Z5" i="8"/>
  <c r="Y5" i="8"/>
  <c r="X5" i="8"/>
  <c r="W5" i="8"/>
  <c r="U5" i="8"/>
  <c r="T5" i="8"/>
  <c r="S5" i="8"/>
  <c r="R5" i="8"/>
  <c r="P5" i="8"/>
  <c r="O5" i="8"/>
  <c r="N5" i="8"/>
  <c r="M5" i="8"/>
  <c r="K5" i="8"/>
  <c r="J5" i="8"/>
  <c r="I5" i="8"/>
  <c r="H5" i="8"/>
  <c r="F5" i="8"/>
  <c r="E5" i="8"/>
  <c r="D5" i="8"/>
  <c r="C5" i="8"/>
  <c r="P4" i="7"/>
  <c r="O4" i="7"/>
  <c r="N4" i="7"/>
  <c r="M4" i="7"/>
  <c r="L4" i="7"/>
  <c r="K4" i="7"/>
  <c r="J4" i="7"/>
  <c r="R4" i="7" s="1"/>
  <c r="I4" i="7"/>
  <c r="S4" i="7" s="1"/>
  <c r="H4" i="7"/>
  <c r="T4" i="7" s="1"/>
  <c r="G4" i="7"/>
  <c r="U4" i="7" s="1"/>
  <c r="F4" i="7"/>
  <c r="V4" i="7" s="1"/>
  <c r="E4" i="7"/>
  <c r="W4" i="7" s="1"/>
  <c r="AG3" i="7"/>
  <c r="X4" i="7" l="1"/>
  <c r="AA4" i="7" s="1"/>
  <c r="AF4" i="7" l="1"/>
  <c r="AG4" i="7" s="1"/>
  <c r="AC4" i="7"/>
  <c r="AE4" i="7"/>
  <c r="AB4" i="7"/>
  <c r="AD4" i="7"/>
  <c r="H41" i="6" l="1"/>
  <c r="G41" i="6"/>
  <c r="B41" i="6"/>
  <c r="C41" i="6" s="1"/>
  <c r="E41" i="6" s="1"/>
  <c r="E26" i="6"/>
  <c r="G26" i="6" s="1"/>
  <c r="C26" i="6"/>
  <c r="B26" i="6"/>
  <c r="C25" i="6"/>
  <c r="G19" i="6"/>
  <c r="D19" i="6"/>
  <c r="G18" i="6"/>
  <c r="D18" i="6"/>
  <c r="E18" i="6" s="1"/>
  <c r="G17" i="6"/>
  <c r="D17" i="6"/>
  <c r="E17" i="6" s="1"/>
  <c r="G15" i="6"/>
  <c r="C15" i="6"/>
  <c r="G14" i="6"/>
  <c r="C14" i="6"/>
  <c r="G13" i="6"/>
  <c r="G11" i="6"/>
  <c r="D11" i="6"/>
  <c r="D15" i="6" s="1"/>
  <c r="E15" i="6" s="1"/>
  <c r="G10" i="6"/>
  <c r="D10" i="6"/>
  <c r="D14" i="6" s="1"/>
  <c r="E14" i="6" s="1"/>
  <c r="G9" i="6"/>
  <c r="E7" i="6"/>
  <c r="H7" i="6" s="1"/>
  <c r="E6" i="6"/>
  <c r="H6" i="6" s="1"/>
  <c r="C5" i="6"/>
  <c r="D5" i="6" s="1"/>
  <c r="D4" i="6"/>
  <c r="E4" i="6" s="1"/>
  <c r="H4" i="6" s="1"/>
  <c r="D3" i="6"/>
  <c r="E3" i="6" s="1"/>
  <c r="H15" i="6" l="1"/>
  <c r="H14" i="6"/>
  <c r="H18" i="6"/>
  <c r="H17" i="6"/>
  <c r="E5" i="6"/>
  <c r="H5" i="6" s="1"/>
  <c r="D9" i="6"/>
  <c r="H3" i="6"/>
  <c r="E10" i="6"/>
  <c r="H10" i="6" s="1"/>
  <c r="E11" i="6"/>
  <c r="H11" i="6" s="1"/>
  <c r="E8" i="6" l="1"/>
  <c r="E19" i="6" s="1"/>
  <c r="D13" i="6"/>
  <c r="D12" i="6"/>
  <c r="E9" i="6"/>
  <c r="H8" i="6"/>
  <c r="A11" i="6" l="1"/>
  <c r="D16" i="6"/>
  <c r="E13" i="6"/>
  <c r="E12" i="6"/>
  <c r="H9" i="6"/>
  <c r="H19" i="6"/>
  <c r="E20" i="6"/>
  <c r="H20" i="6" l="1"/>
  <c r="H12" i="6"/>
  <c r="H13" i="6"/>
  <c r="E16" i="6"/>
  <c r="E21" i="6" s="1"/>
  <c r="H16" i="6" l="1"/>
  <c r="H21" i="6" s="1"/>
  <c r="J20" i="6" l="1"/>
  <c r="J13" i="6"/>
  <c r="H22" i="6"/>
  <c r="H26" i="6"/>
  <c r="J6" i="6"/>
  <c r="J7" i="6"/>
  <c r="J15" i="6"/>
  <c r="J14" i="6"/>
  <c r="J18" i="6"/>
  <c r="J4" i="6"/>
  <c r="J11" i="6"/>
  <c r="J3" i="6"/>
  <c r="J5" i="6"/>
  <c r="J17" i="6"/>
  <c r="J10" i="6"/>
  <c r="J8" i="6"/>
  <c r="J19" i="6"/>
  <c r="J9" i="6"/>
  <c r="J12" i="6"/>
  <c r="J16" i="6"/>
  <c r="J22" i="6" l="1"/>
  <c r="J21" i="6"/>
  <c r="D5" i="5" l="1"/>
  <c r="E5" i="5"/>
  <c r="H5" i="5"/>
  <c r="D6" i="5"/>
  <c r="E6" i="5"/>
  <c r="H6" i="5" s="1"/>
  <c r="H7" i="5"/>
  <c r="E8" i="5"/>
  <c r="H8" i="5"/>
  <c r="C9" i="5"/>
  <c r="D9" i="5" s="1"/>
  <c r="E10" i="5"/>
  <c r="H10" i="5"/>
  <c r="E11" i="5"/>
  <c r="H11" i="5" s="1"/>
  <c r="E13" i="5"/>
  <c r="H13" i="5"/>
  <c r="G14" i="5"/>
  <c r="D15" i="5"/>
  <c r="E15" i="5"/>
  <c r="G15" i="5"/>
  <c r="H15" i="5" s="1"/>
  <c r="D16" i="5"/>
  <c r="E16" i="5"/>
  <c r="G16" i="5"/>
  <c r="H16" i="5"/>
  <c r="D18" i="5"/>
  <c r="E18" i="5"/>
  <c r="H18" i="5"/>
  <c r="G19" i="5"/>
  <c r="C20" i="5"/>
  <c r="D20" i="5"/>
  <c r="E20" i="5"/>
  <c r="H20" i="5" s="1"/>
  <c r="G20" i="5"/>
  <c r="C21" i="5"/>
  <c r="D21" i="5"/>
  <c r="E21" i="5"/>
  <c r="G21" i="5"/>
  <c r="H21" i="5"/>
  <c r="D23" i="5"/>
  <c r="E23" i="5"/>
  <c r="H23" i="5" s="1"/>
  <c r="G23" i="5"/>
  <c r="D24" i="5"/>
  <c r="E24" i="5"/>
  <c r="G24" i="5"/>
  <c r="H24" i="5"/>
  <c r="D25" i="5"/>
  <c r="G25" i="5"/>
  <c r="H26" i="5"/>
  <c r="C32" i="5"/>
  <c r="B33" i="5"/>
  <c r="C33" i="5"/>
  <c r="E33" i="5"/>
  <c r="G33" i="5"/>
  <c r="B48" i="5"/>
  <c r="C48" i="5"/>
  <c r="E48" i="5"/>
  <c r="G48" i="5"/>
  <c r="H48" i="5"/>
  <c r="D14" i="5" l="1"/>
  <c r="E9" i="5"/>
  <c r="H9" i="5" s="1"/>
  <c r="E9" i="1"/>
  <c r="E20" i="1" s="1"/>
  <c r="D20" i="1"/>
  <c r="D17" i="5" l="1"/>
  <c r="D19" i="5"/>
  <c r="E14" i="5"/>
  <c r="E12" i="5"/>
  <c r="H12" i="5"/>
  <c r="L8" i="1"/>
  <c r="M7" i="1"/>
  <c r="E25" i="5" l="1"/>
  <c r="H14" i="5"/>
  <c r="E17" i="5"/>
  <c r="E19" i="5"/>
  <c r="A16" i="5"/>
  <c r="D22" i="5"/>
  <c r="D3" i="1"/>
  <c r="E3" i="1" s="1"/>
  <c r="H19" i="5" l="1"/>
  <c r="E22" i="5"/>
  <c r="E28" i="5" s="1"/>
  <c r="H17" i="5"/>
  <c r="H25" i="5"/>
  <c r="E27" i="5"/>
  <c r="H3" i="1"/>
  <c r="B61" i="1"/>
  <c r="H27" i="5" l="1"/>
  <c r="H22" i="5"/>
  <c r="M6" i="1"/>
  <c r="J22" i="5" l="1"/>
  <c r="H28" i="5"/>
  <c r="J27" i="5"/>
  <c r="E28" i="1"/>
  <c r="C28" i="1"/>
  <c r="B28" i="1"/>
  <c r="C27" i="1"/>
  <c r="G21" i="1"/>
  <c r="E21" i="1"/>
  <c r="G20" i="1"/>
  <c r="G18" i="1"/>
  <c r="C18" i="1"/>
  <c r="G17" i="1"/>
  <c r="C17" i="1"/>
  <c r="G16" i="1"/>
  <c r="G15" i="1"/>
  <c r="G13" i="1"/>
  <c r="D13" i="1"/>
  <c r="E13" i="1" s="1"/>
  <c r="G12" i="1"/>
  <c r="D12" i="1"/>
  <c r="D17" i="1" s="1"/>
  <c r="E17" i="1" s="1"/>
  <c r="G11" i="1"/>
  <c r="G10" i="1"/>
  <c r="D10" i="1"/>
  <c r="E10" i="1" s="1"/>
  <c r="E8" i="1"/>
  <c r="H8" i="1" s="1"/>
  <c r="E7" i="1"/>
  <c r="H7" i="1" s="1"/>
  <c r="C6" i="1"/>
  <c r="D6" i="1" s="1"/>
  <c r="E6" i="1" s="1"/>
  <c r="H6" i="1" s="1"/>
  <c r="E5" i="1"/>
  <c r="H5" i="1" s="1"/>
  <c r="D4" i="1"/>
  <c r="E4" i="1" s="1"/>
  <c r="J8" i="5" l="1"/>
  <c r="J10" i="5"/>
  <c r="J24" i="5"/>
  <c r="J7" i="5"/>
  <c r="H33" i="5"/>
  <c r="H29" i="5"/>
  <c r="J5" i="5"/>
  <c r="J29" i="5" s="1"/>
  <c r="J26" i="5"/>
  <c r="J13" i="5"/>
  <c r="J16" i="5"/>
  <c r="J18" i="5"/>
  <c r="J21" i="5"/>
  <c r="J6" i="5"/>
  <c r="J23" i="5"/>
  <c r="J20" i="5"/>
  <c r="J15" i="5"/>
  <c r="J11" i="5"/>
  <c r="J9" i="5"/>
  <c r="J12" i="5"/>
  <c r="J14" i="5"/>
  <c r="J17" i="5"/>
  <c r="J25" i="5"/>
  <c r="J19" i="5"/>
  <c r="H10" i="1"/>
  <c r="G28" i="1"/>
  <c r="H4" i="1"/>
  <c r="H9" i="1" s="1"/>
  <c r="H21" i="1"/>
  <c r="H13" i="1"/>
  <c r="H17" i="1"/>
  <c r="E12" i="1"/>
  <c r="H12" i="1" s="1"/>
  <c r="D18" i="1"/>
  <c r="E18" i="1" s="1"/>
  <c r="H18" i="1" s="1"/>
  <c r="D15" i="1"/>
  <c r="E15" i="1" s="1"/>
  <c r="D11" i="1"/>
  <c r="J28" i="5" l="1"/>
  <c r="H15" i="1"/>
  <c r="D16" i="1"/>
  <c r="E11" i="1"/>
  <c r="E14" i="1" s="1"/>
  <c r="H11" i="1" l="1"/>
  <c r="H14" i="1" s="1"/>
  <c r="E16" i="1"/>
  <c r="E19" i="1" s="1"/>
  <c r="A13" i="1"/>
  <c r="H20" i="1"/>
  <c r="E22" i="1"/>
  <c r="E23" i="1" l="1"/>
  <c r="H22" i="1"/>
  <c r="H16" i="1"/>
  <c r="H19" i="1" s="1"/>
  <c r="H23" i="1" l="1"/>
  <c r="J18" i="1" s="1"/>
  <c r="J19" i="1" l="1"/>
  <c r="J14" i="1"/>
  <c r="J11" i="1"/>
  <c r="J6" i="1"/>
  <c r="J7" i="1"/>
  <c r="H28" i="1"/>
  <c r="J3" i="1"/>
  <c r="J4" i="1"/>
  <c r="J24" i="1" s="1"/>
  <c r="J20" i="1"/>
  <c r="J9" i="1"/>
  <c r="J10" i="1"/>
  <c r="J15" i="1"/>
  <c r="J13" i="1"/>
  <c r="J5" i="1"/>
  <c r="J21" i="1"/>
  <c r="J16" i="1"/>
  <c r="J8" i="1"/>
  <c r="J17" i="1"/>
  <c r="J22" i="1"/>
  <c r="J12" i="1"/>
  <c r="H24" i="1"/>
  <c r="J23" i="1" l="1"/>
</calcChain>
</file>

<file path=xl/comments1.xml><?xml version="1.0" encoding="utf-8"?>
<comments xmlns="http://schemas.openxmlformats.org/spreadsheetml/2006/main">
  <authors>
    <author>Ghimire, Santosh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Ghimire, Santosh:</t>
        </r>
        <r>
          <rPr>
            <sz val="9"/>
            <color indexed="81"/>
            <rFont val="Tahoma"/>
            <family val="2"/>
          </rPr>
          <t xml:space="preserve">
$2.9/CY X 1.31CY/m3</t>
        </r>
      </text>
    </comment>
  </commentList>
</comments>
</file>

<file path=xl/comments2.xml><?xml version="1.0" encoding="utf-8"?>
<comments xmlns="http://schemas.openxmlformats.org/spreadsheetml/2006/main">
  <authors>
    <author>Ghimire, Santosh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Ghimire, Santosh:</t>
        </r>
        <r>
          <rPr>
            <sz val="9"/>
            <color indexed="81"/>
            <rFont val="Tahoma"/>
            <family val="2"/>
          </rPr>
          <t xml:space="preserve">
$2.9/CY X 1.31CY/m3</t>
        </r>
      </text>
    </comment>
  </commentList>
</comments>
</file>

<file path=xl/comments3.xml><?xml version="1.0" encoding="utf-8"?>
<comments xmlns="http://schemas.openxmlformats.org/spreadsheetml/2006/main">
  <authors>
    <author>Ghimire, Santosh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Ghimire, Santosh:</t>
        </r>
        <r>
          <rPr>
            <sz val="9"/>
            <color indexed="81"/>
            <rFont val="Tahoma"/>
            <family val="2"/>
          </rPr>
          <t xml:space="preserve">
 Chosen 155 m consistently with the RWH piping.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Ghimire, Santosh:</t>
        </r>
        <r>
          <rPr>
            <sz val="9"/>
            <color indexed="81"/>
            <rFont val="Tahoma"/>
            <family val="2"/>
          </rPr>
          <t xml:space="preserve">
Excludes pumps, pipeline
power supply</t>
        </r>
      </text>
    </comment>
  </commentList>
</comments>
</file>

<file path=xl/comments4.xml><?xml version="1.0" encoding="utf-8"?>
<comments xmlns="http://schemas.openxmlformats.org/spreadsheetml/2006/main">
  <authors>
    <author>Ghimire, Santosh</author>
  </authors>
  <commentList>
    <comment ref="R2" authorId="0" shapeId="0">
      <text>
        <r>
          <rPr>
            <b/>
            <sz val="9"/>
            <color indexed="81"/>
            <rFont val="Tahoma"/>
            <family val="2"/>
          </rPr>
          <t>Ghimire, Santosh:</t>
        </r>
        <r>
          <rPr>
            <sz val="9"/>
            <color indexed="81"/>
            <rFont val="Tahoma"/>
            <family val="2"/>
          </rPr>
          <t xml:space="preserve">
Iaw0 means  Auxiliary optimal RWH Impact when Well Water = 0% or 100RWH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</rPr>
          <t>Ghimire, Santosh:</t>
        </r>
        <r>
          <rPr>
            <sz val="9"/>
            <color indexed="81"/>
            <rFont val="Tahoma"/>
            <family val="2"/>
          </rPr>
          <t xml:space="preserve">
Iaw0 means  Auxiliary optimal RWH Impact when Well Water = 0%)</t>
        </r>
      </text>
    </comment>
  </commentList>
</comments>
</file>

<file path=xl/sharedStrings.xml><?xml version="1.0" encoding="utf-8"?>
<sst xmlns="http://schemas.openxmlformats.org/spreadsheetml/2006/main" count="645" uniqueCount="186">
  <si>
    <t>Description</t>
  </si>
  <si>
    <t>Magnitude</t>
  </si>
  <si>
    <t>Unit Costs ($/unit volume or length or energy)</t>
  </si>
  <si>
    <t>Cost, base date  (2014 $ value)</t>
  </si>
  <si>
    <t>Discount rate (decimal)</t>
  </si>
  <si>
    <t>Discount factor</t>
  </si>
  <si>
    <t xml:space="preserve">50-yr present value, $ </t>
  </si>
  <si>
    <t>Reference</t>
  </si>
  <si>
    <t>% of LCC</t>
  </si>
  <si>
    <t>n/a</t>
  </si>
  <si>
    <t>Capital Investment</t>
  </si>
  <si>
    <t>already present value</t>
  </si>
  <si>
    <t>Ghimire et al. (2014); CPFC (2014)</t>
  </si>
  <si>
    <t>Pump, 1 unit</t>
  </si>
  <si>
    <t>unit</t>
  </si>
  <si>
    <t>Pentair (2014)</t>
  </si>
  <si>
    <t xml:space="preserve">Pivot-center, 1 unit  irrigating 34 ha </t>
  </si>
  <si>
    <t>Bliesner and Spare (2001)</t>
  </si>
  <si>
    <t>Control valve, 4", cast iron, 1 piece</t>
  </si>
  <si>
    <t>Flomatic Valves (2014)</t>
  </si>
  <si>
    <t>Check valve, 4 ", cast iron, 1 piece</t>
  </si>
  <si>
    <t>Investment sub-total, I</t>
  </si>
  <si>
    <t>As compiled</t>
  </si>
  <si>
    <t>Replacement</t>
  </si>
  <si>
    <t>Pumps, 3 units  (replacements occur at the end of 15, 30, and 45 years)</t>
  </si>
  <si>
    <t>Pivot-center, 2 unit (replacements occur at the end of 20 and 40 years)</t>
  </si>
  <si>
    <t>Check valve, 4 ", cast iron, 6 piece (replacements occur at the end of 7.5, 15, 22.5, 30, 37.5, and 45 years)</t>
  </si>
  <si>
    <t>Control valve, 4", cast iron, 6 piece (replacement occur at the end of 7.5, 15, 22.5, 30, 37.5, and 45 years)</t>
  </si>
  <si>
    <t>Replacement sub-total,  R</t>
  </si>
  <si>
    <t>Residuals</t>
  </si>
  <si>
    <t xml:space="preserve">Pump,  (10/15 of a unit) </t>
  </si>
  <si>
    <t>RICS (2014)</t>
  </si>
  <si>
    <t xml:space="preserve">Pivot-center, 10/20 unit </t>
  </si>
  <si>
    <t>Check valve, 4 ", cast iron, 2.5/7.5 piece</t>
  </si>
  <si>
    <t>Control valve, 4", cast iron, 2.5/7.5 piece</t>
  </si>
  <si>
    <t>Residuals value sub-total, V</t>
  </si>
  <si>
    <t>Annual costs</t>
  </si>
  <si>
    <t>O &amp;M  (1.7% of Investment)</t>
  </si>
  <si>
    <t>1.7% of investment</t>
  </si>
  <si>
    <t>Hogan et al. (2007)</t>
  </si>
  <si>
    <t>Pumping energy cost, 0.3 kWh/m3 @ $0.103/kWh</t>
  </si>
  <si>
    <t>Ghimire et al. (2014)</t>
  </si>
  <si>
    <t>Annual costs sub-total, A</t>
  </si>
  <si>
    <t>Life cycle cost (Lc) = I + R - V + A</t>
  </si>
  <si>
    <t>Life cycle price of rainwater ($/m3) = Lc/life time rainwater supply</t>
  </si>
  <si>
    <t>N/A</t>
  </si>
  <si>
    <t>Maximum</t>
  </si>
  <si>
    <t>In USA, irrigation water price varies (see table below based on WICHELNS D. 2010)</t>
  </si>
  <si>
    <t>$ per 1000 m3</t>
  </si>
  <si>
    <t>$/m3</t>
  </si>
  <si>
    <t xml:space="preserve">Agricultural RWH system </t>
  </si>
  <si>
    <t>m3/yr (150 days operation)</t>
  </si>
  <si>
    <t>life time operation</t>
  </si>
  <si>
    <t>m3/day</t>
  </si>
  <si>
    <t>m</t>
  </si>
  <si>
    <t>Conversion units:</t>
  </si>
  <si>
    <t>1 cubic meter = 264.17 gallon [US, liquid]</t>
  </si>
  <si>
    <t>1 cubic meter/day = 0.183  gallon/minute [US]</t>
  </si>
  <si>
    <t>1 acre foot = 1 233.481 855 3 cubic meter</t>
  </si>
  <si>
    <t>1 cubic meter/day = 0.000 408 cubic foot/second</t>
  </si>
  <si>
    <t>1 acre foot = 1 613.333 356 6 cubic yard</t>
  </si>
  <si>
    <t>flow (gpm)</t>
  </si>
  <si>
    <t>1 meter = 3.28 feet</t>
  </si>
  <si>
    <t>1 acre = 4046.85642 square meters</t>
  </si>
  <si>
    <t>1 inch = 0.025 4 meter</t>
  </si>
  <si>
    <t>1 acre = 43 560 square foot</t>
  </si>
  <si>
    <t>CY= Cubic yard</t>
  </si>
  <si>
    <t>1 cubic meter = 1.31 cubic yard</t>
  </si>
  <si>
    <t>1 cubic meter/second = 15 850.323 141 gallon/minute [US]</t>
  </si>
  <si>
    <t>1 acre = 0.405 hectare</t>
  </si>
  <si>
    <t>ft</t>
  </si>
  <si>
    <t>1 foot = 0.3048 m</t>
  </si>
  <si>
    <t>mm</t>
  </si>
  <si>
    <t>in</t>
  </si>
  <si>
    <t>USDA (2009)</t>
  </si>
  <si>
    <t>Well, 1 unit</t>
  </si>
  <si>
    <t>Well water irrigation Cost breakdown</t>
  </si>
  <si>
    <t>m3</t>
  </si>
  <si>
    <t xml:space="preserve">Based on Marsalek and Marsalek (1997). </t>
  </si>
  <si>
    <t>Vol/depth (m2)</t>
  </si>
  <si>
    <t>disposal rate</t>
  </si>
  <si>
    <t>Cost of dredging</t>
  </si>
  <si>
    <t>Volume of sediment</t>
  </si>
  <si>
    <t>sedimentation depth (m/yr)</t>
  </si>
  <si>
    <t>Surface area</t>
  </si>
  <si>
    <t>water Depth (m) (based on NRCS HB 590)</t>
  </si>
  <si>
    <t>The Northern Virginia Regional Commission</t>
  </si>
  <si>
    <t>USDA (1997)</t>
  </si>
  <si>
    <t>Sediment dredging</t>
  </si>
  <si>
    <t>Additional explanation below:</t>
  </si>
  <si>
    <t>No pumping energy cost</t>
  </si>
  <si>
    <t xml:space="preserve"> Marsalek and Marsalek (1997); USDA (1997); Commission NVR  (2007)</t>
  </si>
  <si>
    <r>
      <t>7108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x 0.02 m / yr</t>
    </r>
  </si>
  <si>
    <r>
      <t>Sediment disposal cost @ $7/m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</si>
  <si>
    <r>
      <t>Dredging, 7108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 0.02 m depth/yr @ $20/m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</si>
  <si>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Pumps, 0 units  </t>
  </si>
  <si>
    <t>Pump, 0 unit</t>
  </si>
  <si>
    <t>SOM (2003)</t>
  </si>
  <si>
    <r>
      <t>Tank 1 unit, Polyethylene, volume, V =  606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</si>
  <si>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Collection &amp; distribution pipe, 155 m (PVC 101.6  mm dia.) @ $15.1/m 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</si>
  <si>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>Ghimire et al. (2014); USDA (2014)</t>
  </si>
  <si>
    <r>
      <t>Sediment chamber, 13000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@ $3.8/m</t>
    </r>
    <r>
      <rPr>
        <vertAlign val="superscript"/>
        <sz val="11"/>
        <color theme="1"/>
        <rFont val="Calibri"/>
        <family val="2"/>
        <scheme val="minor"/>
      </rPr>
      <t>3</t>
    </r>
  </si>
  <si>
    <t>Channel, length (m)</t>
  </si>
  <si>
    <t>Catchment, Area (m2)</t>
  </si>
  <si>
    <t>ARWH Cost breakdown</t>
  </si>
  <si>
    <t xml:space="preserve"> DESIGN  PARAMETERS</t>
  </si>
  <si>
    <r>
      <t xml:space="preserve">Main pipeline (includes suction and discharge), 155 m (PVC 101.6  mm dia.) @ $15.1/m </t>
    </r>
    <r>
      <rPr>
        <vertAlign val="superscript"/>
        <sz val="11"/>
        <color theme="1"/>
        <rFont val="Times New Roman"/>
        <family val="1"/>
      </rPr>
      <t xml:space="preserve"> </t>
    </r>
  </si>
  <si>
    <t>Optimal agricultural RWH Cost breakdown</t>
  </si>
  <si>
    <r>
      <t>Sediment chamber, 13000 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@ $3.8/m</t>
    </r>
    <r>
      <rPr>
        <vertAlign val="superscript"/>
        <sz val="11"/>
        <color theme="1"/>
        <rFont val="Times New Roman"/>
        <family val="1"/>
      </rPr>
      <t>3</t>
    </r>
  </si>
  <si>
    <r>
      <t xml:space="preserve">Collection &amp; distribution pipe, 155 m (PVC 101.6  mm dia.) @ $15.1/m </t>
    </r>
    <r>
      <rPr>
        <vertAlign val="superscript"/>
        <sz val="11"/>
        <color theme="1"/>
        <rFont val="Times New Roman"/>
        <family val="1"/>
      </rPr>
      <t xml:space="preserve"> </t>
    </r>
  </si>
  <si>
    <r>
      <t>Dredging, 7108 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by  0.02 m depth/yr @ $20/m</t>
    </r>
    <r>
      <rPr>
        <vertAlign val="superscript"/>
        <sz val="11"/>
        <color theme="1"/>
        <rFont val="Times New Roman"/>
        <family val="1"/>
      </rPr>
      <t>3</t>
    </r>
  </si>
  <si>
    <r>
      <t>7108 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x 0.02 m / yr</t>
    </r>
  </si>
  <si>
    <r>
      <t>Sediment disposal cost @ $7/m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</t>
    </r>
  </si>
  <si>
    <t>Auxiliary CRWH system augmented with MWS LCCA per m3</t>
  </si>
  <si>
    <t>Well Water LCC Lw)</t>
  </si>
  <si>
    <t>LCC of optimal agricultural RWH  (La)</t>
  </si>
  <si>
    <t>Well water (Fraction, Pw)</t>
  </si>
  <si>
    <t>Optimal agricultural RWH (Fraction, Pa)</t>
  </si>
  <si>
    <t>LCCA of auxiliary agricultural RWH system with WW support, Law% (%WW support, % of Lw)</t>
  </si>
  <si>
    <t>Maximum Lcc</t>
  </si>
  <si>
    <t>Normalized LCC of MWS back up %</t>
  </si>
  <si>
    <t>Tradeoff in Auxiliary agricultural RWH system (0 to 100%)</t>
  </si>
  <si>
    <t>Law0</t>
  </si>
  <si>
    <t>Lw0.2</t>
  </si>
  <si>
    <t>Law0.4</t>
  </si>
  <si>
    <t>Law0.6</t>
  </si>
  <si>
    <t>Law0.8</t>
  </si>
  <si>
    <t>Law1.0</t>
  </si>
  <si>
    <t>Iaw0</t>
  </si>
  <si>
    <t>Iw0.2</t>
  </si>
  <si>
    <t>Iaw0.4</t>
  </si>
  <si>
    <t>Iaw0.6</t>
  </si>
  <si>
    <t>Iaw0.8</t>
  </si>
  <si>
    <t>Iaw1.0</t>
  </si>
  <si>
    <t>LCCA</t>
  </si>
  <si>
    <t>Unit</t>
  </si>
  <si>
    <t>Benchmark Well Water system</t>
  </si>
  <si>
    <t>Optimal Agricultural RWH system</t>
  </si>
  <si>
    <t>LCCA of Well Water Fraction: Pw x Lw</t>
  </si>
  <si>
    <t>LCCA of optimal RWH Fraction: Pa x La</t>
  </si>
  <si>
    <t xml:space="preserve">LCCA </t>
  </si>
  <si>
    <t>Lmax</t>
  </si>
  <si>
    <t>Impact category</t>
  </si>
  <si>
    <t>Life cycle costs</t>
  </si>
  <si>
    <t>LCC</t>
  </si>
  <si>
    <t>Optimal = No Pump and No tank;  Auxiliary = supported by fraction of Well Water</t>
  </si>
  <si>
    <t>0%RWH-Corn</t>
  </si>
  <si>
    <t>0%RWH-Soybeans</t>
  </si>
  <si>
    <t>0%RWH-Wheat</t>
  </si>
  <si>
    <t>0%RWH-Quinoa</t>
  </si>
  <si>
    <t>20%RWH-Corn</t>
  </si>
  <si>
    <t>20%RWH-Soybeans</t>
  </si>
  <si>
    <t>20%RWH-Wheat</t>
  </si>
  <si>
    <t>20%RWH-Quinoa</t>
  </si>
  <si>
    <t>40%RWH-Corn</t>
  </si>
  <si>
    <t>40%RWH-Soybeans</t>
  </si>
  <si>
    <t>40%RWH-Wheat</t>
  </si>
  <si>
    <t>40%RWH-Quinoa</t>
  </si>
  <si>
    <t>60%RWH-Corn</t>
  </si>
  <si>
    <t>60%RWH-Soybeans</t>
  </si>
  <si>
    <t>60%RWH-Wheat</t>
  </si>
  <si>
    <t>60%RWH-Quinoa</t>
  </si>
  <si>
    <t>80%RWH-Corn</t>
  </si>
  <si>
    <t>80%RWH-Soybeans</t>
  </si>
  <si>
    <t>80%RWH-Wheat</t>
  </si>
  <si>
    <t>80%RWH-Quinoa</t>
  </si>
  <si>
    <t>100%RWH-Corn</t>
  </si>
  <si>
    <t>100%RWH-Soybeans</t>
  </si>
  <si>
    <t>100%RWH-Wheat</t>
  </si>
  <si>
    <t>100%RWH-Quinoa</t>
  </si>
  <si>
    <t>LCCA of the six auxiliary optimal gricultural RWH design configurations for four major crop irrigations</t>
  </si>
  <si>
    <t>Corn</t>
  </si>
  <si>
    <t>Soybean</t>
  </si>
  <si>
    <t>Wheat</t>
  </si>
  <si>
    <t>Quinoa</t>
  </si>
  <si>
    <t xml:space="preserve"> ARWH system LCCA </t>
  </si>
  <si>
    <t xml:space="preserve">Auxiliary optimal system 1 (AS1): 100% WW, 0% RWH </t>
  </si>
  <si>
    <t xml:space="preserve">Auxiliary optimal system 2 (AS2): 80% WW, 20% RWH </t>
  </si>
  <si>
    <t xml:space="preserve">Auxiliary optimal system 3 (AS3): 60% WW, 40% RWH </t>
  </si>
  <si>
    <t xml:space="preserve">Auxiliary optimal system 4 (AS4): 40% WW, 60% RWH </t>
  </si>
  <si>
    <t xml:space="preserve">Auxiliary optimal system 5 (AS5): 20% WW, 80% RWH </t>
  </si>
  <si>
    <t xml:space="preserve">Auxiliary optimal system 6 (AS6): 0% WW,100% RWH </t>
  </si>
  <si>
    <t>LCCA of the six auxiliary optimal agricultural RWH design configurations for four major crop irrigations</t>
  </si>
  <si>
    <t xml:space="preserve"> LCCA of auxilliary agricultural RWH systems for crops irrigation</t>
  </si>
  <si>
    <t xml:space="preserve">Table S4. Description of LCCA of optimal agricultural RWH system used in Group 2 DMOs (2). </t>
  </si>
  <si>
    <t xml:space="preserve">Table S5. Description of LCCA of well-water irrigation system used in Group 2 DMOs (2).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</si>
</sst>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#,##0.0"/>
    <numFmt numFmtId="168" formatCode="0.000"/>
    <numFmt numFmtId="169" formatCode="_(* #,##0.000_);_(* \(#,##0.000\);_(* &quot;-&quot;??_);_(@_)"/>
    <numFmt numFmtId="170" formatCode="0.0"/>
    <numFmt numFmtId="171" formatCode="0.0000"/>
    <numFmt numFmtId="172" formatCode="0.0E+00"/>
    <numFmt numFmtId="173" formatCode="0.00000"/>
    <numFmt numFmtId="174" formatCode="0.0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4"/>
      <name val="Times New Roman"/>
      <family val="1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" fillId="0" borderId="0"/>
  </cellStyleXfs>
  <cellXfs count="249">
    <xf numFmtId="0" fontId="0" fillId="0" borderId="0" xfId="0"/>
    <xf numFmtId="0" fontId="0" fillId="0" borderId="1" xfId="0" applyBorder="1"/>
    <xf numFmtId="0" fontId="0" fillId="0" borderId="2" xfId="0" applyBorder="1"/>
    <xf numFmtId="1" fontId="0" fillId="0" borderId="0" xfId="0" applyNumberFormat="1" applyBorder="1"/>
    <xf numFmtId="0" fontId="0" fillId="0" borderId="0" xfId="0" applyBorder="1"/>
    <xf numFmtId="49" fontId="0" fillId="0" borderId="3" xfId="0" applyNumberForma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49" fontId="4" fillId="0" borderId="3" xfId="0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0" fillId="0" borderId="3" xfId="0" applyBorder="1"/>
    <xf numFmtId="49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164" fontId="0" fillId="0" borderId="3" xfId="1" applyNumberFormat="1" applyFont="1" applyBorder="1"/>
    <xf numFmtId="165" fontId="0" fillId="2" borderId="3" xfId="2" applyNumberFormat="1" applyFont="1" applyFill="1" applyBorder="1"/>
    <xf numFmtId="165" fontId="0" fillId="2" borderId="0" xfId="2" applyNumberFormat="1" applyFont="1" applyFill="1" applyBorder="1"/>
    <xf numFmtId="0" fontId="0" fillId="2" borderId="0" xfId="0" applyFill="1" applyBorder="1"/>
    <xf numFmtId="0" fontId="3" fillId="0" borderId="3" xfId="0" applyFont="1" applyBorder="1"/>
    <xf numFmtId="1" fontId="4" fillId="0" borderId="3" xfId="1" applyNumberFormat="1" applyFont="1" applyBorder="1"/>
    <xf numFmtId="164" fontId="0" fillId="0" borderId="0" xfId="1" applyNumberFormat="1" applyFont="1" applyFill="1" applyBorder="1"/>
    <xf numFmtId="164" fontId="0" fillId="0" borderId="0" xfId="0" applyNumberFormat="1" applyBorder="1"/>
    <xf numFmtId="0" fontId="0" fillId="0" borderId="3" xfId="0" applyFill="1" applyBorder="1" applyAlignment="1">
      <alignment wrapText="1"/>
    </xf>
    <xf numFmtId="2" fontId="0" fillId="2" borderId="0" xfId="0" applyNumberFormat="1" applyFill="1" applyBorder="1"/>
    <xf numFmtId="49" fontId="0" fillId="0" borderId="3" xfId="0" applyNumberFormat="1" applyFill="1" applyBorder="1" applyAlignment="1">
      <alignment wrapText="1"/>
    </xf>
    <xf numFmtId="164" fontId="0" fillId="0" borderId="3" xfId="1" applyNumberFormat="1" applyFont="1" applyFill="1" applyBorder="1" applyAlignment="1"/>
    <xf numFmtId="164" fontId="0" fillId="0" borderId="0" xfId="1" applyNumberFormat="1" applyFont="1"/>
    <xf numFmtId="0" fontId="3" fillId="0" borderId="0" xfId="0" applyFont="1" applyBorder="1"/>
    <xf numFmtId="164" fontId="0" fillId="0" borderId="3" xfId="1" applyNumberFormat="1" applyFont="1" applyFill="1" applyBorder="1"/>
    <xf numFmtId="2" fontId="3" fillId="2" borderId="0" xfId="0" applyNumberFormat="1" applyFont="1" applyFill="1" applyBorder="1"/>
    <xf numFmtId="167" fontId="3" fillId="2" borderId="0" xfId="0" applyNumberFormat="1" applyFont="1" applyFill="1" applyBorder="1"/>
    <xf numFmtId="164" fontId="3" fillId="0" borderId="3" xfId="1" applyNumberFormat="1" applyFont="1" applyBorder="1"/>
    <xf numFmtId="1" fontId="6" fillId="0" borderId="3" xfId="1" applyNumberFormat="1" applyFont="1" applyBorder="1"/>
    <xf numFmtId="165" fontId="3" fillId="2" borderId="3" xfId="2" applyNumberFormat="1" applyFont="1" applyFill="1" applyBorder="1"/>
    <xf numFmtId="0" fontId="7" fillId="0" borderId="3" xfId="0" applyFont="1" applyFill="1" applyBorder="1" applyAlignment="1">
      <alignment wrapText="1"/>
    </xf>
    <xf numFmtId="164" fontId="4" fillId="0" borderId="3" xfId="1" applyNumberFormat="1" applyFont="1" applyBorder="1"/>
    <xf numFmtId="2" fontId="4" fillId="0" borderId="3" xfId="0" applyNumberFormat="1" applyFont="1" applyFill="1" applyBorder="1"/>
    <xf numFmtId="168" fontId="4" fillId="0" borderId="3" xfId="1" applyNumberFormat="1" applyFont="1" applyBorder="1"/>
    <xf numFmtId="169" fontId="0" fillId="0" borderId="0" xfId="0" applyNumberFormat="1" applyBorder="1"/>
    <xf numFmtId="43" fontId="0" fillId="0" borderId="3" xfId="0" applyNumberFormat="1" applyBorder="1"/>
    <xf numFmtId="1" fontId="0" fillId="0" borderId="3" xfId="0" applyNumberFormat="1" applyBorder="1"/>
    <xf numFmtId="49" fontId="3" fillId="0" borderId="3" xfId="0" applyNumberFormat="1" applyFont="1" applyFill="1" applyBorder="1" applyAlignment="1">
      <alignment wrapText="1"/>
    </xf>
    <xf numFmtId="164" fontId="3" fillId="0" borderId="3" xfId="1" applyNumberFormat="1" applyFont="1" applyFill="1" applyBorder="1"/>
    <xf numFmtId="164" fontId="0" fillId="0" borderId="0" xfId="1" applyNumberFormat="1" applyFont="1" applyBorder="1"/>
    <xf numFmtId="0" fontId="7" fillId="0" borderId="3" xfId="0" applyFont="1" applyFill="1" applyBorder="1"/>
    <xf numFmtId="0" fontId="7" fillId="0" borderId="3" xfId="0" applyFont="1" applyBorder="1" applyAlignment="1">
      <alignment wrapText="1"/>
    </xf>
    <xf numFmtId="43" fontId="0" fillId="0" borderId="0" xfId="0" applyNumberFormat="1" applyBorder="1"/>
    <xf numFmtId="43" fontId="0" fillId="0" borderId="0" xfId="0" applyNumberFormat="1"/>
    <xf numFmtId="164" fontId="3" fillId="0" borderId="0" xfId="1" applyNumberFormat="1" applyFont="1" applyBorder="1"/>
    <xf numFmtId="164" fontId="3" fillId="0" borderId="0" xfId="0" applyNumberFormat="1" applyFont="1" applyBorder="1"/>
    <xf numFmtId="43" fontId="3" fillId="0" borderId="0" xfId="0" applyNumberFormat="1" applyFont="1" applyBorder="1"/>
    <xf numFmtId="43" fontId="3" fillId="0" borderId="0" xfId="0" applyNumberFormat="1" applyFont="1"/>
    <xf numFmtId="0" fontId="3" fillId="0" borderId="0" xfId="0" applyFont="1"/>
    <xf numFmtId="170" fontId="4" fillId="0" borderId="3" xfId="1" applyNumberFormat="1" applyFont="1" applyBorder="1"/>
    <xf numFmtId="164" fontId="0" fillId="0" borderId="3" xfId="1" applyNumberFormat="1" applyFont="1" applyBorder="1" applyAlignment="1"/>
    <xf numFmtId="49" fontId="0" fillId="0" borderId="3" xfId="0" applyNumberFormat="1" applyFill="1" applyBorder="1" applyAlignment="1"/>
    <xf numFmtId="49" fontId="0" fillId="0" borderId="0" xfId="0" applyNumberFormat="1" applyFill="1" applyBorder="1" applyAlignment="1">
      <alignment wrapText="1"/>
    </xf>
    <xf numFmtId="49" fontId="3" fillId="0" borderId="3" xfId="0" applyNumberFormat="1" applyFont="1" applyFill="1" applyBorder="1" applyAlignment="1"/>
    <xf numFmtId="164" fontId="3" fillId="0" borderId="3" xfId="0" applyNumberFormat="1" applyFont="1" applyBorder="1"/>
    <xf numFmtId="0" fontId="0" fillId="0" borderId="4" xfId="0" applyBorder="1"/>
    <xf numFmtId="0" fontId="8" fillId="0" borderId="3" xfId="0" applyFont="1" applyBorder="1" applyAlignment="1"/>
    <xf numFmtId="164" fontId="8" fillId="0" borderId="3" xfId="1" applyNumberFormat="1" applyFont="1" applyBorder="1" applyAlignment="1"/>
    <xf numFmtId="164" fontId="8" fillId="0" borderId="5" xfId="1" applyNumberFormat="1" applyFont="1" applyBorder="1"/>
    <xf numFmtId="165" fontId="8" fillId="2" borderId="3" xfId="2" applyNumberFormat="1" applyFont="1" applyFill="1" applyBorder="1"/>
    <xf numFmtId="0" fontId="0" fillId="0" borderId="3" xfId="0" applyBorder="1" applyAlignment="1">
      <alignment wrapText="1"/>
    </xf>
    <xf numFmtId="43" fontId="3" fillId="0" borderId="3" xfId="0" applyNumberFormat="1" applyFont="1" applyBorder="1"/>
    <xf numFmtId="165" fontId="3" fillId="0" borderId="3" xfId="0" applyNumberFormat="1" applyFont="1" applyBorder="1"/>
    <xf numFmtId="165" fontId="3" fillId="0" borderId="0" xfId="0" applyNumberFormat="1" applyFont="1"/>
    <xf numFmtId="0" fontId="9" fillId="0" borderId="0" xfId="0" applyFont="1" applyFill="1"/>
    <xf numFmtId="0" fontId="0" fillId="0" borderId="0" xfId="0" applyFill="1"/>
    <xf numFmtId="169" fontId="0" fillId="0" borderId="0" xfId="1" applyNumberFormat="1" applyFont="1" applyBorder="1" applyAlignment="1"/>
    <xf numFmtId="166" fontId="0" fillId="0" borderId="0" xfId="0" applyNumberFormat="1"/>
    <xf numFmtId="166" fontId="0" fillId="0" borderId="0" xfId="0" applyNumberFormat="1" applyBorder="1"/>
    <xf numFmtId="0" fontId="0" fillId="0" borderId="6" xfId="0" applyFill="1" applyBorder="1"/>
    <xf numFmtId="0" fontId="0" fillId="0" borderId="7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Fill="1" applyBorder="1"/>
    <xf numFmtId="0" fontId="0" fillId="0" borderId="9" xfId="0" applyFill="1" applyBorder="1"/>
    <xf numFmtId="0" fontId="0" fillId="0" borderId="5" xfId="0" applyBorder="1"/>
    <xf numFmtId="0" fontId="0" fillId="0" borderId="3" xfId="0" applyFill="1" applyBorder="1"/>
    <xf numFmtId="0" fontId="0" fillId="0" borderId="0" xfId="0" applyFill="1" applyBorder="1"/>
    <xf numFmtId="166" fontId="0" fillId="0" borderId="0" xfId="0" applyNumberFormat="1" applyFill="1"/>
    <xf numFmtId="0" fontId="0" fillId="0" borderId="10" xfId="0" applyFill="1" applyBorder="1"/>
    <xf numFmtId="2" fontId="3" fillId="0" borderId="11" xfId="0" applyNumberFormat="1" applyFont="1" applyFill="1" applyBorder="1"/>
    <xf numFmtId="43" fontId="0" fillId="0" borderId="3" xfId="0" applyNumberFormat="1" applyFill="1" applyBorder="1"/>
    <xf numFmtId="0" fontId="10" fillId="0" borderId="0" xfId="0" applyFont="1" applyBorder="1" applyAlignment="1"/>
    <xf numFmtId="3" fontId="0" fillId="0" borderId="0" xfId="0" applyNumberFormat="1" applyFill="1" applyBorder="1"/>
    <xf numFmtId="11" fontId="0" fillId="0" borderId="0" xfId="0" applyNumberFormat="1"/>
    <xf numFmtId="1" fontId="0" fillId="0" borderId="0" xfId="0" applyNumberFormat="1"/>
    <xf numFmtId="170" fontId="0" fillId="0" borderId="3" xfId="0" applyNumberFormat="1" applyBorder="1"/>
    <xf numFmtId="0" fontId="2" fillId="0" borderId="0" xfId="0" applyFont="1"/>
    <xf numFmtId="43" fontId="0" fillId="0" borderId="0" xfId="1" applyFont="1"/>
    <xf numFmtId="0" fontId="11" fillId="0" borderId="0" xfId="0" applyFont="1"/>
    <xf numFmtId="0" fontId="12" fillId="0" borderId="0" xfId="0" applyFont="1"/>
    <xf numFmtId="2" fontId="4" fillId="0" borderId="3" xfId="0" applyNumberFormat="1" applyFont="1" applyBorder="1" applyAlignment="1">
      <alignment wrapText="1"/>
    </xf>
    <xf numFmtId="169" fontId="0" fillId="0" borderId="0" xfId="1" applyNumberFormat="1" applyFont="1" applyFill="1"/>
    <xf numFmtId="170" fontId="0" fillId="2" borderId="3" xfId="0" applyNumberFormat="1" applyFill="1" applyBorder="1"/>
    <xf numFmtId="170" fontId="3" fillId="2" borderId="3" xfId="0" applyNumberFormat="1" applyFont="1" applyFill="1" applyBorder="1"/>
    <xf numFmtId="171" fontId="0" fillId="2" borderId="3" xfId="0" applyNumberFormat="1" applyFill="1" applyBorder="1"/>
    <xf numFmtId="164" fontId="4" fillId="0" borderId="3" xfId="1" applyNumberFormat="1" applyFont="1" applyBorder="1" applyAlignment="1">
      <alignment wrapText="1"/>
    </xf>
    <xf numFmtId="0" fontId="15" fillId="0" borderId="0" xfId="3" applyAlignment="1" applyProtection="1"/>
    <xf numFmtId="164" fontId="0" fillId="0" borderId="3" xfId="0" applyNumberFormat="1" applyBorder="1"/>
    <xf numFmtId="0" fontId="0" fillId="0" borderId="0" xfId="0" applyFill="1" applyBorder="1" applyAlignment="1">
      <alignment wrapText="1"/>
    </xf>
    <xf numFmtId="0" fontId="16" fillId="0" borderId="0" xfId="0" applyFont="1"/>
    <xf numFmtId="0" fontId="17" fillId="0" borderId="0" xfId="0" applyFont="1"/>
    <xf numFmtId="0" fontId="0" fillId="0" borderId="0" xfId="0" applyNumberFormat="1"/>
    <xf numFmtId="164" fontId="0" fillId="3" borderId="3" xfId="1" applyNumberFormat="1" applyFont="1" applyFill="1" applyBorder="1"/>
    <xf numFmtId="170" fontId="4" fillId="3" borderId="3" xfId="1" applyNumberFormat="1" applyFont="1" applyFill="1" applyBorder="1"/>
    <xf numFmtId="2" fontId="4" fillId="3" borderId="3" xfId="0" applyNumberFormat="1" applyFont="1" applyFill="1" applyBorder="1"/>
    <xf numFmtId="164" fontId="0" fillId="3" borderId="3" xfId="1" applyNumberFormat="1" applyFont="1" applyFill="1" applyBorder="1" applyAlignment="1"/>
    <xf numFmtId="43" fontId="0" fillId="3" borderId="3" xfId="1" applyNumberFormat="1" applyFont="1" applyFill="1" applyBorder="1" applyAlignment="1"/>
    <xf numFmtId="0" fontId="7" fillId="3" borderId="3" xfId="0" applyFont="1" applyFill="1" applyBorder="1" applyAlignment="1">
      <alignment wrapText="1"/>
    </xf>
    <xf numFmtId="164" fontId="4" fillId="3" borderId="3" xfId="1" applyNumberFormat="1" applyFont="1" applyFill="1" applyBorder="1"/>
    <xf numFmtId="168" fontId="4" fillId="3" borderId="3" xfId="1" applyNumberFormat="1" applyFont="1" applyFill="1" applyBorder="1"/>
    <xf numFmtId="0" fontId="7" fillId="3" borderId="3" xfId="0" applyFont="1" applyFill="1" applyBorder="1"/>
    <xf numFmtId="0" fontId="3" fillId="2" borderId="0" xfId="0" applyFont="1" applyFill="1" applyBorder="1"/>
    <xf numFmtId="167" fontId="0" fillId="2" borderId="0" xfId="0" applyNumberFormat="1" applyFill="1" applyBorder="1"/>
    <xf numFmtId="1" fontId="4" fillId="3" borderId="3" xfId="1" applyNumberFormat="1" applyFont="1" applyFill="1" applyBorder="1"/>
    <xf numFmtId="49" fontId="0" fillId="3" borderId="3" xfId="0" applyNumberFormat="1" applyFill="1" applyBorder="1" applyAlignment="1">
      <alignment wrapText="1"/>
    </xf>
    <xf numFmtId="167" fontId="18" fillId="2" borderId="0" xfId="0" applyNumberFormat="1" applyFont="1" applyFill="1" applyBorder="1"/>
    <xf numFmtId="2" fontId="18" fillId="2" borderId="0" xfId="0" applyNumberFormat="1" applyFont="1" applyFill="1" applyBorder="1"/>
    <xf numFmtId="9" fontId="18" fillId="2" borderId="0" xfId="2" applyFont="1" applyFill="1" applyBorder="1"/>
    <xf numFmtId="166" fontId="0" fillId="0" borderId="3" xfId="1" applyNumberFormat="1" applyFont="1" applyBorder="1"/>
    <xf numFmtId="0" fontId="19" fillId="0" borderId="0" xfId="0" applyFont="1" applyFill="1" applyBorder="1"/>
    <xf numFmtId="9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1" fontId="4" fillId="0" borderId="0" xfId="0" applyNumberFormat="1" applyFont="1" applyBorder="1"/>
    <xf numFmtId="0" fontId="4" fillId="0" borderId="0" xfId="0" applyFont="1" applyBorder="1"/>
    <xf numFmtId="0" fontId="4" fillId="0" borderId="3" xfId="0" applyFont="1" applyFill="1" applyBorder="1" applyAlignment="1">
      <alignment wrapText="1"/>
    </xf>
    <xf numFmtId="164" fontId="4" fillId="0" borderId="3" xfId="1" applyNumberFormat="1" applyFont="1" applyFill="1" applyBorder="1" applyAlignment="1"/>
    <xf numFmtId="164" fontId="4" fillId="0" borderId="3" xfId="1" applyNumberFormat="1" applyFont="1" applyFill="1" applyBorder="1"/>
    <xf numFmtId="0" fontId="6" fillId="0" borderId="3" xfId="0" applyFont="1" applyBorder="1"/>
    <xf numFmtId="164" fontId="6" fillId="0" borderId="3" xfId="1" applyNumberFormat="1" applyFont="1" applyBorder="1"/>
    <xf numFmtId="49" fontId="6" fillId="0" borderId="3" xfId="0" applyNumberFormat="1" applyFont="1" applyFill="1" applyBorder="1" applyAlignment="1">
      <alignment wrapText="1"/>
    </xf>
    <xf numFmtId="164" fontId="6" fillId="0" borderId="3" xfId="1" applyNumberFormat="1" applyFont="1" applyFill="1" applyBorder="1"/>
    <xf numFmtId="49" fontId="4" fillId="0" borderId="3" xfId="0" applyNumberFormat="1" applyFont="1" applyFill="1" applyBorder="1" applyAlignment="1"/>
    <xf numFmtId="164" fontId="4" fillId="0" borderId="3" xfId="1" applyNumberFormat="1" applyFont="1" applyBorder="1" applyAlignment="1"/>
    <xf numFmtId="43" fontId="4" fillId="0" borderId="3" xfId="1" applyNumberFormat="1" applyFont="1" applyFill="1" applyBorder="1" applyAlignment="1"/>
    <xf numFmtId="49" fontId="6" fillId="0" borderId="3" xfId="0" applyNumberFormat="1" applyFont="1" applyFill="1" applyBorder="1" applyAlignment="1"/>
    <xf numFmtId="164" fontId="6" fillId="0" borderId="3" xfId="0" applyNumberFormat="1" applyFont="1" applyBorder="1"/>
    <xf numFmtId="0" fontId="21" fillId="0" borderId="3" xfId="0" applyFont="1" applyBorder="1" applyAlignment="1"/>
    <xf numFmtId="164" fontId="21" fillId="0" borderId="3" xfId="1" applyNumberFormat="1" applyFont="1" applyBorder="1" applyAlignment="1"/>
    <xf numFmtId="169" fontId="6" fillId="0" borderId="3" xfId="0" applyNumberFormat="1" applyFont="1" applyBorder="1"/>
    <xf numFmtId="0" fontId="6" fillId="0" borderId="0" xfId="0" applyFont="1"/>
    <xf numFmtId="0" fontId="4" fillId="0" borderId="0" xfId="0" applyFont="1" applyFill="1"/>
    <xf numFmtId="169" fontId="4" fillId="0" borderId="0" xfId="1" applyNumberFormat="1" applyFont="1" applyBorder="1" applyAlignment="1"/>
    <xf numFmtId="0" fontId="4" fillId="0" borderId="6" xfId="0" applyFont="1" applyFill="1" applyBorder="1"/>
    <xf numFmtId="0" fontId="4" fillId="0" borderId="7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8" xfId="0" applyFont="1" applyFill="1" applyBorder="1"/>
    <xf numFmtId="0" fontId="4" fillId="0" borderId="9" xfId="0" applyFont="1" applyFill="1" applyBorder="1"/>
    <xf numFmtId="0" fontId="4" fillId="0" borderId="5" xfId="0" applyFont="1" applyBorder="1"/>
    <xf numFmtId="0" fontId="4" fillId="0" borderId="3" xfId="0" applyFont="1" applyFill="1" applyBorder="1"/>
    <xf numFmtId="0" fontId="4" fillId="0" borderId="0" xfId="0" applyFont="1" applyFill="1" applyBorder="1"/>
    <xf numFmtId="0" fontId="4" fillId="0" borderId="10" xfId="0" applyFont="1" applyFill="1" applyBorder="1"/>
    <xf numFmtId="2" fontId="6" fillId="0" borderId="11" xfId="0" applyNumberFormat="1" applyFont="1" applyFill="1" applyBorder="1"/>
    <xf numFmtId="43" fontId="4" fillId="0" borderId="3" xfId="0" applyNumberFormat="1" applyFont="1" applyFill="1" applyBorder="1"/>
    <xf numFmtId="0" fontId="6" fillId="0" borderId="3" xfId="0" applyFont="1" applyBorder="1" applyAlignment="1"/>
    <xf numFmtId="164" fontId="6" fillId="0" borderId="3" xfId="1" applyNumberFormat="1" applyFont="1" applyBorder="1" applyAlignment="1"/>
    <xf numFmtId="166" fontId="4" fillId="0" borderId="3" xfId="1" applyNumberFormat="1" applyFont="1" applyBorder="1"/>
    <xf numFmtId="165" fontId="4" fillId="2" borderId="3" xfId="2" applyNumberFormat="1" applyFont="1" applyFill="1" applyBorder="1"/>
    <xf numFmtId="165" fontId="6" fillId="2" borderId="3" xfId="2" applyNumberFormat="1" applyFont="1" applyFill="1" applyBorder="1"/>
    <xf numFmtId="1" fontId="4" fillId="0" borderId="3" xfId="0" applyNumberFormat="1" applyFont="1" applyBorder="1"/>
    <xf numFmtId="43" fontId="4" fillId="0" borderId="3" xfId="0" applyNumberFormat="1" applyFont="1" applyBorder="1"/>
    <xf numFmtId="0" fontId="4" fillId="0" borderId="4" xfId="0" applyFont="1" applyBorder="1"/>
    <xf numFmtId="165" fontId="21" fillId="2" borderId="3" xfId="2" applyNumberFormat="1" applyFont="1" applyFill="1" applyBorder="1"/>
    <xf numFmtId="43" fontId="6" fillId="0" borderId="3" xfId="0" applyNumberFormat="1" applyFont="1" applyBorder="1"/>
    <xf numFmtId="165" fontId="6" fillId="0" borderId="3" xfId="0" applyNumberFormat="1" applyFont="1" applyBorder="1"/>
    <xf numFmtId="169" fontId="4" fillId="0" borderId="3" xfId="1" applyNumberFormat="1" applyFont="1" applyFill="1" applyBorder="1"/>
    <xf numFmtId="164" fontId="21" fillId="0" borderId="3" xfId="1" applyNumberFormat="1" applyFont="1" applyBorder="1"/>
    <xf numFmtId="49" fontId="6" fillId="0" borderId="3" xfId="0" applyNumberFormat="1" applyFont="1" applyBorder="1" applyAlignment="1">
      <alignment wrapText="1"/>
    </xf>
    <xf numFmtId="0" fontId="7" fillId="0" borderId="3" xfId="0" applyFont="1" applyBorder="1"/>
    <xf numFmtId="0" fontId="22" fillId="0" borderId="0" xfId="0" applyFont="1"/>
    <xf numFmtId="0" fontId="23" fillId="0" borderId="3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3" xfId="0" applyFont="1" applyFill="1" applyBorder="1"/>
    <xf numFmtId="0" fontId="0" fillId="0" borderId="3" xfId="0" applyFont="1" applyFill="1" applyBorder="1"/>
    <xf numFmtId="0" fontId="0" fillId="0" borderId="4" xfId="0" applyFill="1" applyBorder="1"/>
    <xf numFmtId="1" fontId="0" fillId="0" borderId="3" xfId="0" applyNumberFormat="1" applyFill="1" applyBorder="1"/>
    <xf numFmtId="0" fontId="29" fillId="0" borderId="3" xfId="4" applyFont="1" applyFill="1" applyBorder="1"/>
    <xf numFmtId="2" fontId="0" fillId="0" borderId="3" xfId="0" applyNumberFormat="1" applyFill="1" applyBorder="1"/>
    <xf numFmtId="2" fontId="0" fillId="0" borderId="3" xfId="0" applyNumberFormat="1" applyBorder="1"/>
    <xf numFmtId="2" fontId="29" fillId="0" borderId="3" xfId="4" applyNumberFormat="1" applyFont="1" applyFill="1" applyBorder="1"/>
    <xf numFmtId="2" fontId="3" fillId="0" borderId="3" xfId="0" applyNumberFormat="1" applyFont="1" applyFill="1" applyBorder="1"/>
    <xf numFmtId="2" fontId="0" fillId="0" borderId="4" xfId="0" applyNumberFormat="1" applyFill="1" applyBorder="1"/>
    <xf numFmtId="11" fontId="0" fillId="0" borderId="0" xfId="0" applyNumberFormat="1" applyBorder="1"/>
    <xf numFmtId="2" fontId="0" fillId="0" borderId="0" xfId="0" applyNumberFormat="1" applyFill="1" applyBorder="1"/>
    <xf numFmtId="172" fontId="0" fillId="0" borderId="0" xfId="0" applyNumberFormat="1" applyFill="1"/>
    <xf numFmtId="1" fontId="0" fillId="0" borderId="0" xfId="0" applyNumberFormat="1" applyFill="1"/>
    <xf numFmtId="0" fontId="0" fillId="0" borderId="0" xfId="0" applyBorder="1" applyAlignment="1">
      <alignment wrapText="1"/>
    </xf>
    <xf numFmtId="1" fontId="0" fillId="0" borderId="0" xfId="0" applyNumberFormat="1" applyFill="1" applyBorder="1"/>
    <xf numFmtId="0" fontId="30" fillId="0" borderId="3" xfId="0" applyFont="1" applyBorder="1" applyAlignment="1">
      <alignment wrapText="1"/>
    </xf>
    <xf numFmtId="0" fontId="31" fillId="0" borderId="0" xfId="0" applyFont="1" applyBorder="1"/>
    <xf numFmtId="0" fontId="4" fillId="0" borderId="0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2" fontId="4" fillId="0" borderId="3" xfId="0" applyNumberFormat="1" applyFont="1" applyBorder="1"/>
    <xf numFmtId="2" fontId="4" fillId="0" borderId="0" xfId="0" applyNumberFormat="1" applyFont="1" applyBorder="1"/>
    <xf numFmtId="0" fontId="4" fillId="0" borderId="0" xfId="5" applyFont="1" applyFill="1" applyBorder="1"/>
    <xf numFmtId="0" fontId="3" fillId="0" borderId="0" xfId="0" applyFont="1" applyFill="1" applyBorder="1"/>
    <xf numFmtId="0" fontId="4" fillId="0" borderId="3" xfId="5" applyFont="1" applyFill="1" applyBorder="1"/>
    <xf numFmtId="0" fontId="29" fillId="0" borderId="0" xfId="4" applyFont="1" applyFill="1" applyBorder="1"/>
    <xf numFmtId="0" fontId="0" fillId="0" borderId="0" xfId="0" applyFont="1" applyBorder="1"/>
    <xf numFmtId="11" fontId="4" fillId="0" borderId="0" xfId="0" applyNumberFormat="1" applyFont="1" applyBorder="1"/>
    <xf numFmtId="11" fontId="0" fillId="0" borderId="0" xfId="0" applyNumberFormat="1" applyFont="1" applyFill="1" applyBorder="1"/>
    <xf numFmtId="2" fontId="32" fillId="0" borderId="3" xfId="4" applyNumberFormat="1" applyFont="1" applyFill="1" applyBorder="1"/>
    <xf numFmtId="2" fontId="6" fillId="0" borderId="3" xfId="0" applyNumberFormat="1" applyFont="1" applyFill="1" applyBorder="1"/>
    <xf numFmtId="2" fontId="6" fillId="0" borderId="3" xfId="0" applyNumberFormat="1" applyFont="1" applyBorder="1"/>
    <xf numFmtId="2" fontId="6" fillId="0" borderId="0" xfId="0" applyNumberFormat="1" applyFont="1" applyBorder="1"/>
    <xf numFmtId="2" fontId="29" fillId="0" borderId="0" xfId="4" applyNumberFormat="1" applyFont="1" applyFill="1" applyBorder="1"/>
    <xf numFmtId="2" fontId="0" fillId="0" borderId="0" xfId="0" applyNumberFormat="1" applyBorder="1"/>
    <xf numFmtId="2" fontId="3" fillId="0" borderId="0" xfId="0" applyNumberFormat="1" applyFont="1" applyFill="1" applyBorder="1"/>
    <xf numFmtId="2" fontId="4" fillId="0" borderId="0" xfId="0" applyNumberFormat="1" applyFont="1"/>
    <xf numFmtId="172" fontId="0" fillId="0" borderId="0" xfId="0" applyNumberFormat="1" applyFill="1" applyBorder="1"/>
    <xf numFmtId="172" fontId="4" fillId="0" borderId="0" xfId="0" applyNumberFormat="1" applyFont="1" applyBorder="1"/>
    <xf numFmtId="173" fontId="4" fillId="0" borderId="0" xfId="0" applyNumberFormat="1" applyFont="1"/>
    <xf numFmtId="0" fontId="8" fillId="0" borderId="0" xfId="0" applyFont="1"/>
    <xf numFmtId="0" fontId="33" fillId="0" borderId="0" xfId="0" applyFont="1" applyFill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0" fontId="1" fillId="0" borderId="0" xfId="5" applyFill="1" applyBorder="1"/>
    <xf numFmtId="0" fontId="28" fillId="0" borderId="0" xfId="4" applyFill="1" applyBorder="1"/>
    <xf numFmtId="11" fontId="0" fillId="0" borderId="0" xfId="0" applyNumberFormat="1" applyFill="1" applyBorder="1"/>
    <xf numFmtId="174" fontId="1" fillId="0" borderId="0" xfId="5" applyNumberFormat="1" applyFill="1" applyBorder="1"/>
    <xf numFmtId="0" fontId="28" fillId="0" borderId="0" xfId="0" applyFont="1" applyBorder="1" applyAlignment="1">
      <alignment wrapText="1"/>
    </xf>
    <xf numFmtId="2" fontId="0" fillId="0" borderId="3" xfId="0" applyNumberFormat="1" applyBorder="1" applyAlignment="1">
      <alignment wrapText="1"/>
    </xf>
    <xf numFmtId="0" fontId="34" fillId="0" borderId="0" xfId="0" applyFont="1"/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</cellXfs>
  <cellStyles count="6">
    <cellStyle name="Comma" xfId="1" builtinId="3"/>
    <cellStyle name="Hyperlink" xfId="3" builtinId="8"/>
    <cellStyle name="Normal" xfId="0" builtinId="0"/>
    <cellStyle name="Normal 2 2" xfId="5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1"/>
  <sheetViews>
    <sheetView showGridLines="0" zoomScaleNormal="100" workbookViewId="0">
      <selection activeCell="C15" sqref="C15"/>
    </sheetView>
  </sheetViews>
  <sheetFormatPr defaultRowHeight="15" x14ac:dyDescent="0.25"/>
  <cols>
    <col min="1" max="1" width="18" bestFit="1" customWidth="1"/>
    <col min="2" max="2" width="44.28515625" customWidth="1"/>
    <col min="3" max="3" width="22" customWidth="1"/>
    <col min="4" max="4" width="19.42578125" customWidth="1"/>
    <col min="5" max="6" width="17.85546875" customWidth="1"/>
    <col min="7" max="7" width="21.5703125" customWidth="1"/>
    <col min="8" max="8" width="21.28515625" customWidth="1"/>
    <col min="9" max="9" width="54" bestFit="1" customWidth="1"/>
    <col min="10" max="10" width="18.28515625" customWidth="1"/>
    <col min="11" max="12" width="13.140625" customWidth="1"/>
    <col min="13" max="13" width="10.7109375" customWidth="1"/>
    <col min="14" max="14" width="14.28515625" customWidth="1"/>
    <col min="15" max="15" width="10.42578125" customWidth="1"/>
    <col min="16" max="16" width="11.5703125" bestFit="1" customWidth="1"/>
    <col min="17" max="17" width="19.5703125" customWidth="1"/>
    <col min="18" max="18" width="19" customWidth="1"/>
    <col min="19" max="19" width="12.5703125" bestFit="1" customWidth="1"/>
    <col min="20" max="20" width="12" customWidth="1"/>
    <col min="21" max="21" width="11.28515625" customWidth="1"/>
    <col min="24" max="24" width="18.7109375" customWidth="1"/>
    <col min="31" max="31" width="11.28515625" customWidth="1"/>
  </cols>
  <sheetData>
    <row r="1" spans="1:28" x14ac:dyDescent="0.25">
      <c r="B1" s="1" t="s">
        <v>105</v>
      </c>
      <c r="D1" s="1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13" customFormat="1" ht="48.75" customHeight="1" x14ac:dyDescent="0.25">
      <c r="A2" s="5" t="s">
        <v>104</v>
      </c>
      <c r="B2" s="5" t="s">
        <v>0</v>
      </c>
      <c r="C2" s="5" t="s">
        <v>1</v>
      </c>
      <c r="D2" s="6" t="s">
        <v>2</v>
      </c>
      <c r="E2" s="7" t="s">
        <v>3</v>
      </c>
      <c r="F2" s="7" t="s">
        <v>4</v>
      </c>
      <c r="G2" s="8" t="s">
        <v>5</v>
      </c>
      <c r="H2" s="8" t="s">
        <v>6</v>
      </c>
      <c r="I2" s="9" t="s">
        <v>7</v>
      </c>
      <c r="J2" s="10" t="s">
        <v>8</v>
      </c>
      <c r="K2" s="4"/>
      <c r="L2" s="4"/>
      <c r="M2" s="4"/>
      <c r="N2" s="4"/>
      <c r="O2" s="4"/>
      <c r="P2" s="4"/>
      <c r="Q2" s="4"/>
      <c r="R2" s="4"/>
      <c r="S2" s="4"/>
      <c r="T2" s="11"/>
      <c r="U2" s="11"/>
      <c r="V2" s="11"/>
      <c r="W2" s="11"/>
      <c r="X2" s="11"/>
      <c r="Y2" s="11"/>
      <c r="Z2" s="12"/>
      <c r="AA2" s="11"/>
      <c r="AB2" s="11"/>
    </row>
    <row r="3" spans="1:28" x14ac:dyDescent="0.25">
      <c r="A3" s="10"/>
      <c r="B3" s="5" t="s">
        <v>103</v>
      </c>
      <c r="C3" s="14" t="s">
        <v>9</v>
      </c>
      <c r="D3" s="14" t="s">
        <v>9</v>
      </c>
      <c r="E3" s="14" t="s">
        <v>9</v>
      </c>
      <c r="F3" s="14" t="s">
        <v>9</v>
      </c>
      <c r="G3" s="14"/>
      <c r="H3" s="10"/>
      <c r="I3" s="10"/>
      <c r="J3" s="15"/>
      <c r="K3" s="16"/>
      <c r="L3" s="17"/>
      <c r="M3" s="17"/>
      <c r="N3" s="17"/>
      <c r="O3" s="17"/>
      <c r="P3" s="17"/>
      <c r="Q3" s="125"/>
      <c r="R3" s="12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x14ac:dyDescent="0.25">
      <c r="A4" s="10"/>
      <c r="B4" s="5" t="s">
        <v>102</v>
      </c>
      <c r="C4" s="14">
        <v>50</v>
      </c>
      <c r="D4" s="14" t="s">
        <v>9</v>
      </c>
      <c r="E4" s="14" t="s">
        <v>9</v>
      </c>
      <c r="F4" s="14" t="s">
        <v>9</v>
      </c>
      <c r="G4" s="14"/>
      <c r="H4" s="14"/>
      <c r="I4" s="14" t="s">
        <v>9</v>
      </c>
      <c r="J4" s="15"/>
      <c r="K4" s="16"/>
      <c r="L4" s="17"/>
      <c r="M4" s="17"/>
      <c r="N4" s="17"/>
      <c r="O4" s="17"/>
      <c r="P4" s="17"/>
      <c r="Q4" s="123"/>
      <c r="R4" s="123"/>
      <c r="S4" s="17"/>
      <c r="T4" s="17"/>
      <c r="U4" s="17"/>
      <c r="V4" s="4"/>
      <c r="W4" s="4"/>
      <c r="X4" s="4"/>
      <c r="Y4" s="4"/>
      <c r="Z4" s="4"/>
      <c r="AA4" s="4"/>
      <c r="AB4" s="4"/>
    </row>
    <row r="5" spans="1:28" ht="17.25" x14ac:dyDescent="0.25">
      <c r="A5" s="18" t="s">
        <v>10</v>
      </c>
      <c r="B5" s="5" t="s">
        <v>101</v>
      </c>
      <c r="C5" s="14">
        <v>13000</v>
      </c>
      <c r="D5" s="122">
        <f>2.9*1.31</f>
        <v>3.7989999999999999</v>
      </c>
      <c r="E5" s="14">
        <f>C5*D5</f>
        <v>49387</v>
      </c>
      <c r="F5" s="14" t="s">
        <v>9</v>
      </c>
      <c r="G5" s="19" t="s">
        <v>11</v>
      </c>
      <c r="H5" s="14">
        <f t="shared" ref="H5:H11" si="0">E5</f>
        <v>49387</v>
      </c>
      <c r="I5" s="14" t="s">
        <v>100</v>
      </c>
      <c r="J5" s="15">
        <f t="shared" ref="J5:J27" si="1">H5/$H$28</f>
        <v>0.19250578019113035</v>
      </c>
      <c r="K5" s="16"/>
      <c r="L5" s="4"/>
      <c r="M5" s="4"/>
      <c r="N5" s="4"/>
      <c r="O5" s="4"/>
      <c r="P5" s="4"/>
      <c r="Q5" s="20"/>
      <c r="R5" s="20"/>
      <c r="S5" s="21"/>
      <c r="T5" s="21"/>
      <c r="U5" s="21"/>
      <c r="V5" s="4"/>
      <c r="W5" s="4"/>
      <c r="X5" s="4"/>
      <c r="Y5" s="4"/>
      <c r="Z5" s="4"/>
      <c r="AA5" s="4"/>
      <c r="AB5" s="4"/>
    </row>
    <row r="6" spans="1:28" ht="30" x14ac:dyDescent="0.25">
      <c r="A6" s="10"/>
      <c r="B6" s="22" t="s">
        <v>99</v>
      </c>
      <c r="C6" s="14">
        <v>155</v>
      </c>
      <c r="D6" s="14">
        <f>3.28*4.6</f>
        <v>15.087999999999997</v>
      </c>
      <c r="E6" s="14">
        <f>D6*C6</f>
        <v>2338.6399999999994</v>
      </c>
      <c r="F6" s="14" t="s">
        <v>9</v>
      </c>
      <c r="G6" s="19" t="s">
        <v>11</v>
      </c>
      <c r="H6" s="14">
        <f t="shared" si="0"/>
        <v>2338.6399999999994</v>
      </c>
      <c r="I6" s="9" t="s">
        <v>12</v>
      </c>
      <c r="J6" s="15">
        <f t="shared" si="1"/>
        <v>9.1157939900416082E-3</v>
      </c>
      <c r="K6" s="16"/>
      <c r="L6" s="17"/>
      <c r="M6" s="17"/>
      <c r="N6" s="23"/>
      <c r="O6" s="23"/>
      <c r="P6" s="116"/>
      <c r="Q6" s="20"/>
      <c r="R6" s="20"/>
      <c r="S6" s="21"/>
      <c r="T6" s="21"/>
      <c r="U6" s="21"/>
      <c r="V6" s="4"/>
      <c r="W6" s="4"/>
      <c r="X6" s="4"/>
      <c r="Y6" s="4"/>
      <c r="Z6" s="4"/>
      <c r="AA6" s="4"/>
      <c r="AB6" s="4"/>
    </row>
    <row r="7" spans="1:28" ht="17.25" x14ac:dyDescent="0.25">
      <c r="A7" s="10"/>
      <c r="B7" s="118" t="s">
        <v>98</v>
      </c>
      <c r="C7" s="106">
        <v>0</v>
      </c>
      <c r="D7" s="106"/>
      <c r="E7" s="106"/>
      <c r="F7" s="106"/>
      <c r="G7" s="117"/>
      <c r="H7" s="106">
        <f t="shared" si="0"/>
        <v>0</v>
      </c>
      <c r="I7" s="14" t="s">
        <v>97</v>
      </c>
      <c r="J7" s="15">
        <f t="shared" si="1"/>
        <v>0</v>
      </c>
      <c r="K7" s="16"/>
      <c r="L7" s="121"/>
      <c r="M7" s="17"/>
      <c r="N7" s="23"/>
      <c r="O7" s="120"/>
      <c r="P7" s="119"/>
      <c r="Q7" s="20"/>
      <c r="R7" s="20"/>
      <c r="S7" s="21"/>
      <c r="T7" s="21"/>
      <c r="U7" s="21"/>
      <c r="V7" s="4"/>
      <c r="W7" s="4"/>
      <c r="X7" s="4"/>
      <c r="Y7" s="4"/>
      <c r="Z7" s="4"/>
      <c r="AA7" s="4"/>
      <c r="AB7" s="4"/>
    </row>
    <row r="8" spans="1:28" x14ac:dyDescent="0.25">
      <c r="A8" s="10"/>
      <c r="B8" s="118" t="s">
        <v>96</v>
      </c>
      <c r="C8" s="106" t="s">
        <v>14</v>
      </c>
      <c r="D8" s="106">
        <v>0</v>
      </c>
      <c r="E8" s="106">
        <f>D8</f>
        <v>0</v>
      </c>
      <c r="F8" s="106" t="s">
        <v>9</v>
      </c>
      <c r="G8" s="117" t="s">
        <v>11</v>
      </c>
      <c r="H8" s="106">
        <f t="shared" si="0"/>
        <v>0</v>
      </c>
      <c r="I8" s="14" t="s">
        <v>15</v>
      </c>
      <c r="J8" s="15">
        <f t="shared" si="1"/>
        <v>0</v>
      </c>
      <c r="K8" s="16"/>
      <c r="L8" s="17"/>
      <c r="M8" s="17"/>
      <c r="N8" s="23"/>
      <c r="O8" s="23"/>
      <c r="P8" s="116"/>
      <c r="Q8" s="20"/>
      <c r="R8" s="20"/>
      <c r="S8" s="21"/>
      <c r="T8" s="21"/>
      <c r="U8" s="21"/>
      <c r="V8" s="4"/>
      <c r="W8" s="4"/>
      <c r="X8" s="4"/>
      <c r="Y8" s="4"/>
      <c r="Z8" s="4"/>
      <c r="AA8" s="4"/>
      <c r="AB8" s="4"/>
    </row>
    <row r="9" spans="1:28" x14ac:dyDescent="0.25">
      <c r="A9" s="10"/>
      <c r="B9" s="24" t="s">
        <v>16</v>
      </c>
      <c r="C9" s="25">
        <f>85*0.405</f>
        <v>34.425000000000004</v>
      </c>
      <c r="D9" s="26">
        <f>8215.1*C9^0.435</f>
        <v>38295.965402906477</v>
      </c>
      <c r="E9" s="14">
        <f>D9</f>
        <v>38295.965402906477</v>
      </c>
      <c r="F9" s="14" t="s">
        <v>9</v>
      </c>
      <c r="G9" s="19" t="s">
        <v>11</v>
      </c>
      <c r="H9" s="14">
        <f t="shared" si="0"/>
        <v>38295.965402906477</v>
      </c>
      <c r="I9" s="14" t="s">
        <v>17</v>
      </c>
      <c r="J9" s="15">
        <f t="shared" si="1"/>
        <v>0.14927399311679282</v>
      </c>
      <c r="K9" s="16"/>
      <c r="L9" s="17"/>
      <c r="M9" s="17"/>
      <c r="N9" s="27"/>
      <c r="O9" s="23"/>
      <c r="P9" s="116"/>
      <c r="Q9" s="20"/>
      <c r="R9" s="20"/>
      <c r="S9" s="21"/>
      <c r="T9" s="21"/>
      <c r="U9" s="21"/>
      <c r="V9" s="4"/>
      <c r="W9" s="4"/>
      <c r="X9" s="4"/>
      <c r="Y9" s="4"/>
      <c r="Z9" s="4"/>
      <c r="AA9" s="4"/>
      <c r="AB9" s="4"/>
    </row>
    <row r="10" spans="1:28" x14ac:dyDescent="0.25">
      <c r="A10" s="10"/>
      <c r="B10" s="24" t="s">
        <v>18</v>
      </c>
      <c r="C10" s="28">
        <v>1</v>
      </c>
      <c r="D10" s="14">
        <v>164.43</v>
      </c>
      <c r="E10" s="14">
        <f>D10</f>
        <v>164.43</v>
      </c>
      <c r="F10" s="14" t="s">
        <v>9</v>
      </c>
      <c r="G10" s="19" t="s">
        <v>11</v>
      </c>
      <c r="H10" s="14">
        <f t="shared" si="0"/>
        <v>164.43</v>
      </c>
      <c r="I10" s="14" t="s">
        <v>19</v>
      </c>
      <c r="J10" s="15">
        <f t="shared" si="1"/>
        <v>6.4093233921533126E-4</v>
      </c>
      <c r="K10" s="16"/>
      <c r="L10" s="115"/>
      <c r="M10" s="17"/>
      <c r="N10" s="4"/>
      <c r="O10" s="29"/>
      <c r="P10" s="4"/>
      <c r="Q10" s="20"/>
      <c r="R10" s="20"/>
      <c r="S10" s="21"/>
      <c r="T10" s="21"/>
      <c r="U10" s="21"/>
      <c r="V10" s="4"/>
      <c r="W10" s="4"/>
      <c r="X10" s="4"/>
      <c r="Y10" s="4"/>
      <c r="Z10" s="4"/>
      <c r="AA10" s="4"/>
      <c r="AB10" s="4"/>
    </row>
    <row r="11" spans="1:28" x14ac:dyDescent="0.25">
      <c r="A11" s="10"/>
      <c r="B11" s="24" t="s">
        <v>20</v>
      </c>
      <c r="C11" s="28">
        <v>1</v>
      </c>
      <c r="D11" s="14">
        <v>596.02</v>
      </c>
      <c r="E11" s="14">
        <f>D11</f>
        <v>596.02</v>
      </c>
      <c r="F11" s="14" t="s">
        <v>9</v>
      </c>
      <c r="G11" s="19" t="s">
        <v>11</v>
      </c>
      <c r="H11" s="28">
        <f t="shared" si="0"/>
        <v>596.02</v>
      </c>
      <c r="I11" s="14" t="s">
        <v>19</v>
      </c>
      <c r="J11" s="15">
        <f t="shared" si="1"/>
        <v>2.3232286858792294E-3</v>
      </c>
      <c r="K11" s="16"/>
      <c r="L11" s="115"/>
      <c r="M11" s="17"/>
      <c r="N11" s="29"/>
      <c r="O11" s="29"/>
      <c r="P11" s="30"/>
      <c r="Q11" s="4"/>
      <c r="R11" s="4"/>
      <c r="S11" s="4"/>
      <c r="T11" s="4"/>
      <c r="U11" s="4"/>
    </row>
    <row r="12" spans="1:28" x14ac:dyDescent="0.25">
      <c r="A12" s="10"/>
      <c r="B12" s="18" t="s">
        <v>21</v>
      </c>
      <c r="C12" s="31"/>
      <c r="D12" s="31"/>
      <c r="E12" s="31">
        <f>SUM(E5:E11)</f>
        <v>90782.055402906481</v>
      </c>
      <c r="F12" s="31" t="s">
        <v>9</v>
      </c>
      <c r="G12" s="32" t="s">
        <v>11</v>
      </c>
      <c r="H12" s="31">
        <f>SUM(H5:H11)</f>
        <v>90782.055402906481</v>
      </c>
      <c r="I12" s="31" t="s">
        <v>22</v>
      </c>
      <c r="J12" s="33">
        <f t="shared" si="1"/>
        <v>0.35385972832305934</v>
      </c>
      <c r="K12" s="16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8" x14ac:dyDescent="0.25">
      <c r="A13" s="10" t="s">
        <v>23</v>
      </c>
      <c r="B13" s="111" t="s">
        <v>95</v>
      </c>
      <c r="C13" s="106">
        <v>0</v>
      </c>
      <c r="D13" s="106">
        <v>0</v>
      </c>
      <c r="E13" s="112">
        <f>D13*(1+F13)^15+D13*(1+F13)^30+D13*(1+F13)^45</f>
        <v>0</v>
      </c>
      <c r="F13" s="108"/>
      <c r="G13" s="113"/>
      <c r="H13" s="106">
        <f>G13*E13</f>
        <v>0</v>
      </c>
      <c r="I13" s="14" t="s">
        <v>22</v>
      </c>
      <c r="J13" s="15">
        <f t="shared" si="1"/>
        <v>0</v>
      </c>
      <c r="K13" s="16"/>
      <c r="L13" s="4"/>
      <c r="M13" s="38"/>
      <c r="N13" s="38"/>
      <c r="O13" s="38"/>
      <c r="P13" s="4"/>
      <c r="Q13" s="4"/>
      <c r="R13" s="4"/>
      <c r="S13" s="4"/>
      <c r="T13" s="4"/>
      <c r="U13" s="4"/>
    </row>
    <row r="14" spans="1:28" ht="30" x14ac:dyDescent="0.25">
      <c r="A14" s="39"/>
      <c r="B14" s="24" t="s">
        <v>25</v>
      </c>
      <c r="C14" s="14">
        <v>2</v>
      </c>
      <c r="D14" s="14">
        <f>D9</f>
        <v>38295.965402906477</v>
      </c>
      <c r="E14" s="35">
        <f>D14*(1+F14)^20+D14*(1+F14)^40</f>
        <v>194089.65978207043</v>
      </c>
      <c r="F14" s="36">
        <v>0.03</v>
      </c>
      <c r="G14" s="37">
        <f>1/(1+F14)^50</f>
        <v>0.22810707978975397</v>
      </c>
      <c r="H14" s="14">
        <f>G14*E14</f>
        <v>44273.22551027494</v>
      </c>
      <c r="I14" s="14" t="s">
        <v>22</v>
      </c>
      <c r="J14" s="15">
        <f t="shared" si="1"/>
        <v>0.17257277863472842</v>
      </c>
      <c r="K14" s="16"/>
      <c r="L14" s="4"/>
      <c r="M14" s="21"/>
      <c r="N14" s="21"/>
      <c r="O14" s="21"/>
      <c r="P14" s="21"/>
      <c r="Q14" s="4"/>
      <c r="R14" s="4"/>
      <c r="S14" s="4"/>
      <c r="T14" s="4"/>
      <c r="U14" s="4"/>
    </row>
    <row r="15" spans="1:28" ht="45" x14ac:dyDescent="0.25">
      <c r="A15" s="10"/>
      <c r="B15" s="24" t="s">
        <v>26</v>
      </c>
      <c r="C15" s="14">
        <v>6</v>
      </c>
      <c r="D15" s="14">
        <f>D10</f>
        <v>164.43</v>
      </c>
      <c r="E15" s="35">
        <f>D15*(1+F15)^7.5+D15*(1+F15)^15+D15*(1+F15)^22.5+D15*(1+F15)^30+D15*(1+F15)^37.5+D15*(1+F15)^45</f>
        <v>2300.2635812345779</v>
      </c>
      <c r="F15" s="36">
        <v>0.03</v>
      </c>
      <c r="G15" s="37">
        <f>1/(1+F15)^50</f>
        <v>0.22810707978975397</v>
      </c>
      <c r="H15" s="14">
        <f>G15*E15</f>
        <v>524.70640826214105</v>
      </c>
      <c r="I15" s="14" t="s">
        <v>22</v>
      </c>
      <c r="J15" s="15">
        <f t="shared" si="1"/>
        <v>2.0452551581142653E-3</v>
      </c>
      <c r="K15" s="16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8" ht="45" x14ac:dyDescent="0.25">
      <c r="A16" s="40">
        <f>D19*10/20</f>
        <v>19147.982701453238</v>
      </c>
      <c r="B16" s="24" t="s">
        <v>27</v>
      </c>
      <c r="C16" s="28">
        <v>6</v>
      </c>
      <c r="D16" s="14">
        <f>D11</f>
        <v>596.02</v>
      </c>
      <c r="E16" s="35">
        <f>D16*(1+F16)^7.5+D16*(1+F16)^15+D16*(1+F16)^22.5+D16*(1+F16)^30+D16*(1+F16)^37.5+D16*(1+F16)^45</f>
        <v>8337.9133958975435</v>
      </c>
      <c r="F16" s="36">
        <v>0.03</v>
      </c>
      <c r="G16" s="37">
        <f>1/(1+F16)^50</f>
        <v>0.22810707978975397</v>
      </c>
      <c r="H16" s="14">
        <f>G16*E16</f>
        <v>1901.9370762780595</v>
      </c>
      <c r="I16" s="14" t="s">
        <v>22</v>
      </c>
      <c r="J16" s="15">
        <f t="shared" si="1"/>
        <v>7.4135679580323811E-3</v>
      </c>
      <c r="K16" s="16"/>
      <c r="L16" s="4"/>
      <c r="M16" s="17"/>
      <c r="N16" s="29"/>
      <c r="O16" s="29"/>
      <c r="P16" s="30"/>
      <c r="Q16" s="4"/>
      <c r="R16" s="4"/>
      <c r="S16" s="4"/>
      <c r="T16" s="4"/>
      <c r="U16" s="4"/>
    </row>
    <row r="17" spans="1:22" x14ac:dyDescent="0.25">
      <c r="A17" s="39"/>
      <c r="B17" s="41" t="s">
        <v>28</v>
      </c>
      <c r="C17" s="31"/>
      <c r="D17" s="31">
        <f>SUM(D13:D16)</f>
        <v>39056.415402906474</v>
      </c>
      <c r="E17" s="31">
        <f>SUM(E13:E16)</f>
        <v>204727.83675920256</v>
      </c>
      <c r="F17" s="42" t="s">
        <v>9</v>
      </c>
      <c r="G17" s="32" t="s">
        <v>22</v>
      </c>
      <c r="H17" s="31">
        <f>SUM(H13:H16)</f>
        <v>46699.868994815144</v>
      </c>
      <c r="I17" s="31" t="s">
        <v>22</v>
      </c>
      <c r="J17" s="33">
        <f t="shared" si="1"/>
        <v>0.18203160175087507</v>
      </c>
      <c r="K17" s="16"/>
      <c r="L17" s="43"/>
      <c r="M17" s="4"/>
      <c r="N17" s="4"/>
      <c r="O17" s="4"/>
      <c r="P17" s="4"/>
      <c r="Q17" s="4"/>
      <c r="R17" s="4"/>
      <c r="S17" s="4"/>
      <c r="T17" s="4"/>
      <c r="U17" s="4"/>
    </row>
    <row r="18" spans="1:22" x14ac:dyDescent="0.25">
      <c r="A18" s="10" t="s">
        <v>29</v>
      </c>
      <c r="B18" s="114" t="s">
        <v>30</v>
      </c>
      <c r="C18" s="106">
        <v>0</v>
      </c>
      <c r="D18" s="106">
        <f>D13</f>
        <v>0</v>
      </c>
      <c r="E18" s="112">
        <f>(10/15)*D18*(1+F18)^50</f>
        <v>0</v>
      </c>
      <c r="F18" s="108"/>
      <c r="G18" s="113"/>
      <c r="H18" s="112">
        <f>E18*G18</f>
        <v>0</v>
      </c>
      <c r="I18" s="14" t="s">
        <v>31</v>
      </c>
      <c r="J18" s="15">
        <f t="shared" si="1"/>
        <v>0</v>
      </c>
      <c r="K18" s="16"/>
      <c r="L18" s="4"/>
      <c r="M18" s="38"/>
      <c r="N18" s="38"/>
      <c r="O18" s="38"/>
      <c r="P18" s="4"/>
      <c r="Q18" s="4"/>
      <c r="R18" s="4"/>
      <c r="S18" s="4"/>
      <c r="T18" s="4"/>
      <c r="U18" s="4"/>
    </row>
    <row r="19" spans="1:22" x14ac:dyDescent="0.25">
      <c r="A19" s="39"/>
      <c r="B19" s="45" t="s">
        <v>32</v>
      </c>
      <c r="C19" s="14">
        <v>0.5</v>
      </c>
      <c r="D19" s="14">
        <f>D14</f>
        <v>38295.965402906477</v>
      </c>
      <c r="E19" s="35">
        <f>(10/20)*D19*(1+F19)^50</f>
        <v>83942.956611000016</v>
      </c>
      <c r="F19" s="36">
        <v>0.03</v>
      </c>
      <c r="G19" s="37">
        <f>1/(1+F19)^50</f>
        <v>0.22810707978975397</v>
      </c>
      <c r="H19" s="35">
        <f>E19*G19</f>
        <v>19147.982701453235</v>
      </c>
      <c r="I19" s="14" t="s">
        <v>31</v>
      </c>
      <c r="J19" s="15">
        <f t="shared" si="1"/>
        <v>7.4636996558396396E-2</v>
      </c>
      <c r="K19" s="16"/>
      <c r="L19" s="43"/>
      <c r="M19" s="21"/>
      <c r="N19" s="21"/>
      <c r="O19" s="21"/>
      <c r="P19" s="21"/>
      <c r="Q19" s="4"/>
      <c r="R19" s="4"/>
      <c r="S19" s="4"/>
      <c r="T19" s="4"/>
      <c r="U19" s="4"/>
    </row>
    <row r="20" spans="1:22" x14ac:dyDescent="0.25">
      <c r="A20" s="39"/>
      <c r="B20" s="24" t="s">
        <v>33</v>
      </c>
      <c r="C20" s="14">
        <f>2.5/7.5</f>
        <v>0.33333333333333331</v>
      </c>
      <c r="D20" s="14">
        <f>D15</f>
        <v>164.43</v>
      </c>
      <c r="E20" s="35">
        <f>(2.5/7.5)*D20*(1+F20)^50</f>
        <v>240.28188888533541</v>
      </c>
      <c r="F20" s="36">
        <v>0.03</v>
      </c>
      <c r="G20" s="37">
        <f>1/(1+F20)^50</f>
        <v>0.22810707978975397</v>
      </c>
      <c r="H20" s="35">
        <f>E20*G20</f>
        <v>54.81</v>
      </c>
      <c r="I20" s="14" t="s">
        <v>31</v>
      </c>
      <c r="J20" s="15">
        <f t="shared" si="1"/>
        <v>2.1364411307177707E-4</v>
      </c>
      <c r="K20" s="16"/>
      <c r="L20" s="43"/>
      <c r="M20" s="4"/>
      <c r="N20" s="4"/>
      <c r="O20" s="4"/>
      <c r="P20" s="4"/>
      <c r="Q20" s="4"/>
      <c r="R20" s="4"/>
      <c r="S20" s="4"/>
      <c r="T20" s="4"/>
      <c r="U20" s="4"/>
    </row>
    <row r="21" spans="1:22" x14ac:dyDescent="0.25">
      <c r="A21" s="39"/>
      <c r="B21" s="24" t="s">
        <v>34</v>
      </c>
      <c r="C21" s="14">
        <f>2.5/7.5</f>
        <v>0.33333333333333331</v>
      </c>
      <c r="D21" s="14">
        <f>D16</f>
        <v>596.02</v>
      </c>
      <c r="E21" s="35">
        <f>(2.5/7.5)*D21*(1+F21)^50</f>
        <v>870.96522175659914</v>
      </c>
      <c r="F21" s="36">
        <v>0.03</v>
      </c>
      <c r="G21" s="37">
        <f>1/(1+F21)^50</f>
        <v>0.22810707978975397</v>
      </c>
      <c r="H21" s="35">
        <f>E21*G21</f>
        <v>198.67333333333332</v>
      </c>
      <c r="I21" s="14" t="s">
        <v>31</v>
      </c>
      <c r="J21" s="15">
        <f t="shared" si="1"/>
        <v>7.7440956195974305E-4</v>
      </c>
      <c r="K21" s="16"/>
      <c r="L21" s="43"/>
      <c r="M21" s="4"/>
      <c r="N21" s="4"/>
      <c r="O21" s="4"/>
      <c r="P21" s="4"/>
      <c r="Q21" s="21"/>
      <c r="R21" s="21"/>
      <c r="S21" s="4"/>
      <c r="T21" s="4"/>
      <c r="U21" s="46"/>
      <c r="V21" s="47"/>
    </row>
    <row r="22" spans="1:22" s="52" customFormat="1" x14ac:dyDescent="0.25">
      <c r="A22" s="18"/>
      <c r="B22" s="18" t="s">
        <v>35</v>
      </c>
      <c r="C22" s="31"/>
      <c r="D22" s="31">
        <f>SUM(D18:D21)</f>
        <v>39056.415402906474</v>
      </c>
      <c r="E22" s="31">
        <f>SUM(E18:E21)</f>
        <v>85054.203721641956</v>
      </c>
      <c r="F22" s="42" t="s">
        <v>9</v>
      </c>
      <c r="G22" s="32" t="s">
        <v>22</v>
      </c>
      <c r="H22" s="31">
        <f>SUM(H18:H21)</f>
        <v>19401.466034786568</v>
      </c>
      <c r="I22" s="31" t="s">
        <v>22</v>
      </c>
      <c r="J22" s="33">
        <f t="shared" si="1"/>
        <v>7.5625050233427915E-2</v>
      </c>
      <c r="K22" s="16"/>
      <c r="L22" s="48"/>
      <c r="M22" s="17"/>
      <c r="N22" s="29"/>
      <c r="O22" s="29"/>
      <c r="P22" s="30"/>
      <c r="Q22" s="49"/>
      <c r="R22" s="49"/>
      <c r="S22" s="27"/>
      <c r="T22" s="27"/>
      <c r="U22" s="50"/>
      <c r="V22" s="51"/>
    </row>
    <row r="23" spans="1:22" ht="16.5" customHeight="1" x14ac:dyDescent="0.25">
      <c r="A23" s="41" t="s">
        <v>36</v>
      </c>
      <c r="B23" s="24" t="s">
        <v>94</v>
      </c>
      <c r="C23" s="28" t="s">
        <v>92</v>
      </c>
      <c r="D23" s="14">
        <f>7108*0.02*20</f>
        <v>2843.2</v>
      </c>
      <c r="E23" s="14">
        <f>D23</f>
        <v>2843.2</v>
      </c>
      <c r="F23" s="36">
        <v>0.03</v>
      </c>
      <c r="G23" s="53">
        <f>((1+F23)^50-1)/(0.03*(1+F23)^50)</f>
        <v>25.7297640070082</v>
      </c>
      <c r="H23" s="14">
        <f>E23*G23</f>
        <v>73154.865024725703</v>
      </c>
      <c r="I23" s="54" t="s">
        <v>91</v>
      </c>
      <c r="J23" s="15">
        <f t="shared" si="1"/>
        <v>0.28515063410131519</v>
      </c>
      <c r="K23" s="16"/>
      <c r="L23" s="4"/>
      <c r="M23" s="4"/>
      <c r="N23" s="4"/>
      <c r="O23" s="4"/>
      <c r="P23" s="4"/>
      <c r="Q23" s="4"/>
      <c r="R23" s="4"/>
      <c r="S23" s="4"/>
      <c r="T23" s="4"/>
      <c r="U23" s="4"/>
      <c r="V23" s="47"/>
    </row>
    <row r="24" spans="1:22" ht="21" customHeight="1" x14ac:dyDescent="0.25">
      <c r="A24" s="10"/>
      <c r="B24" s="55" t="s">
        <v>93</v>
      </c>
      <c r="C24" s="28" t="s">
        <v>92</v>
      </c>
      <c r="D24" s="14">
        <f>7108*0.02*7</f>
        <v>995.12</v>
      </c>
      <c r="E24" s="14">
        <f>D24</f>
        <v>995.12</v>
      </c>
      <c r="F24" s="36">
        <v>0.03</v>
      </c>
      <c r="G24" s="53">
        <f>((1+F24)^50-1)/(0.03*(1+F24)^50)</f>
        <v>25.7297640070082</v>
      </c>
      <c r="H24" s="14">
        <f>E24*G24</f>
        <v>25604.202758653999</v>
      </c>
      <c r="I24" s="54" t="s">
        <v>91</v>
      </c>
      <c r="J24" s="15">
        <f t="shared" si="1"/>
        <v>9.9802721935460331E-2</v>
      </c>
      <c r="K24" s="16"/>
      <c r="L24" s="43"/>
      <c r="M24" s="38"/>
      <c r="N24" s="38"/>
      <c r="O24" s="38"/>
      <c r="P24" s="38"/>
      <c r="Q24" s="38"/>
      <c r="R24" s="38"/>
      <c r="S24" s="4"/>
      <c r="T24" s="4"/>
      <c r="U24" s="4"/>
    </row>
    <row r="25" spans="1:22" ht="19.5" customHeight="1" x14ac:dyDescent="0.25">
      <c r="A25" s="10"/>
      <c r="B25" s="55" t="s">
        <v>37</v>
      </c>
      <c r="C25" s="54" t="s">
        <v>38</v>
      </c>
      <c r="D25" s="95">
        <f>0.017</f>
        <v>1.7000000000000001E-2</v>
      </c>
      <c r="E25" s="54">
        <f>E12*D25</f>
        <v>1543.2949418494102</v>
      </c>
      <c r="F25" s="36">
        <v>0.03</v>
      </c>
      <c r="G25" s="53">
        <f>((1+F25)^50-1)/(0.03*(1+F25)^50)</f>
        <v>25.7297640070082</v>
      </c>
      <c r="H25" s="14">
        <f>E25*G25</f>
        <v>39708.614646994763</v>
      </c>
      <c r="I25" s="54" t="s">
        <v>39</v>
      </c>
      <c r="J25" s="15">
        <f t="shared" si="1"/>
        <v>0.15478036412271798</v>
      </c>
      <c r="K25" s="16"/>
      <c r="L25" s="43"/>
      <c r="M25" s="21"/>
      <c r="N25" s="21"/>
      <c r="O25" s="21"/>
      <c r="P25" s="21"/>
      <c r="Q25" s="21"/>
      <c r="R25" s="21"/>
      <c r="S25" s="21"/>
      <c r="T25" s="4"/>
      <c r="U25" s="46"/>
    </row>
    <row r="26" spans="1:22" ht="34.5" customHeight="1" x14ac:dyDescent="0.25">
      <c r="A26" s="10"/>
      <c r="B26" s="111" t="s">
        <v>90</v>
      </c>
      <c r="C26" s="110"/>
      <c r="D26" s="110"/>
      <c r="E26" s="109"/>
      <c r="F26" s="108"/>
      <c r="G26" s="107"/>
      <c r="H26" s="106">
        <f>E26*G26</f>
        <v>0</v>
      </c>
      <c r="I26" s="54" t="s">
        <v>41</v>
      </c>
      <c r="J26" s="15">
        <f t="shared" si="1"/>
        <v>0</v>
      </c>
      <c r="K26" s="16"/>
      <c r="L26" s="4"/>
      <c r="M26" s="4"/>
      <c r="N26" s="56"/>
      <c r="O26" s="4"/>
      <c r="P26" s="21"/>
      <c r="Q26" s="21"/>
      <c r="R26" s="4"/>
      <c r="S26" s="4"/>
      <c r="T26" s="4"/>
      <c r="U26" s="4"/>
    </row>
    <row r="27" spans="1:22" ht="30.75" customHeight="1" x14ac:dyDescent="0.25">
      <c r="A27" s="10"/>
      <c r="B27" s="57" t="s">
        <v>42</v>
      </c>
      <c r="C27" s="31"/>
      <c r="D27" s="31"/>
      <c r="E27" s="31">
        <f>SUM(E23:E26)</f>
        <v>5381.6149418494097</v>
      </c>
      <c r="F27" s="58"/>
      <c r="G27" s="58"/>
      <c r="H27" s="31">
        <f>SUM(H23:H26)</f>
        <v>138467.68243037447</v>
      </c>
      <c r="I27" s="31" t="s">
        <v>22</v>
      </c>
      <c r="J27" s="33">
        <f t="shared" si="1"/>
        <v>0.5397337201594935</v>
      </c>
      <c r="K27" s="16"/>
      <c r="L27" s="4"/>
      <c r="M27" s="17"/>
      <c r="N27" s="29"/>
      <c r="O27" s="29"/>
      <c r="P27" s="30"/>
      <c r="Q27" s="49"/>
      <c r="R27" s="49"/>
      <c r="S27" s="27"/>
      <c r="T27" s="4"/>
      <c r="U27" s="4"/>
    </row>
    <row r="28" spans="1:22" ht="18.75" x14ac:dyDescent="0.3">
      <c r="A28" s="59"/>
      <c r="B28" s="60" t="s">
        <v>43</v>
      </c>
      <c r="C28" s="61"/>
      <c r="D28" s="61"/>
      <c r="E28" s="61">
        <f>E12+E17-E22+E27</f>
        <v>215837.30338231646</v>
      </c>
      <c r="F28" s="61"/>
      <c r="G28" s="61"/>
      <c r="H28" s="61">
        <f>H12+H17-H22+H27</f>
        <v>256548.14079330952</v>
      </c>
      <c r="I28" s="62"/>
      <c r="J28" s="63">
        <f>J12+J17-J22+J27</f>
        <v>1</v>
      </c>
      <c r="K28" s="16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2" s="52" customFormat="1" ht="30" x14ac:dyDescent="0.25">
      <c r="B29" s="64" t="s">
        <v>44</v>
      </c>
      <c r="C29" s="18" t="s">
        <v>45</v>
      </c>
      <c r="D29" s="18" t="s">
        <v>45</v>
      </c>
      <c r="E29" s="18" t="s">
        <v>45</v>
      </c>
      <c r="F29" s="18" t="s">
        <v>45</v>
      </c>
      <c r="G29" s="18" t="s">
        <v>45</v>
      </c>
      <c r="H29" s="65">
        <f>H28/G33</f>
        <v>5.6446235598087903E-2</v>
      </c>
      <c r="I29" s="52" t="s">
        <v>46</v>
      </c>
      <c r="J29" s="66">
        <f>MAX(J3:J27)</f>
        <v>0.5397337201594935</v>
      </c>
      <c r="K29" s="67"/>
      <c r="L29" s="27"/>
      <c r="M29" s="38"/>
      <c r="N29" s="38"/>
      <c r="O29" s="38"/>
      <c r="P29" s="38"/>
      <c r="Q29" s="38"/>
      <c r="R29" s="38"/>
      <c r="S29" s="4"/>
      <c r="T29" s="27"/>
      <c r="U29" s="27"/>
    </row>
    <row r="30" spans="1:22" ht="27" thickBot="1" x14ac:dyDescent="0.45">
      <c r="B30" s="68" t="s">
        <v>47</v>
      </c>
      <c r="C30" s="69"/>
      <c r="D30" s="69"/>
      <c r="E30" s="69"/>
      <c r="F30" s="69"/>
      <c r="G30" s="69"/>
      <c r="H30" s="69"/>
      <c r="I30" s="70"/>
      <c r="J30" s="4"/>
      <c r="K30" s="71"/>
      <c r="L30" s="72"/>
      <c r="M30" s="4"/>
      <c r="N30" s="21"/>
      <c r="O30" s="21"/>
      <c r="P30" s="21"/>
      <c r="Q30" s="21"/>
      <c r="R30" s="21"/>
      <c r="S30" s="21"/>
      <c r="T30" s="21"/>
      <c r="U30" s="4"/>
    </row>
    <row r="31" spans="1:22" ht="30" x14ac:dyDescent="0.25">
      <c r="B31" s="73" t="s">
        <v>48</v>
      </c>
      <c r="C31" s="74" t="s">
        <v>49</v>
      </c>
      <c r="D31" s="75" t="s">
        <v>50</v>
      </c>
      <c r="E31" s="64" t="s">
        <v>51</v>
      </c>
      <c r="F31" s="64"/>
      <c r="G31" s="64" t="s">
        <v>52</v>
      </c>
      <c r="H31" s="10"/>
      <c r="J31" s="4"/>
      <c r="K31" s="71"/>
      <c r="L31" s="72"/>
      <c r="M31" s="4"/>
      <c r="N31" s="4"/>
      <c r="O31" s="4"/>
      <c r="P31" s="4"/>
      <c r="Q31" s="4"/>
      <c r="R31" s="4"/>
      <c r="S31" s="4"/>
      <c r="T31" s="4"/>
      <c r="U31" s="4"/>
    </row>
    <row r="32" spans="1:22" s="69" customFormat="1" x14ac:dyDescent="0.25">
      <c r="B32" s="76">
        <v>5</v>
      </c>
      <c r="C32" s="77">
        <f>B32/1000</f>
        <v>5.0000000000000001E-3</v>
      </c>
      <c r="D32" s="78" t="s">
        <v>53</v>
      </c>
      <c r="E32" s="10"/>
      <c r="F32" s="10"/>
      <c r="G32" s="10"/>
      <c r="H32" s="79" t="s">
        <v>49</v>
      </c>
      <c r="I32" s="80"/>
      <c r="J32" s="81"/>
    </row>
    <row r="33" spans="2:30" ht="15.75" thickBot="1" x14ac:dyDescent="0.3">
      <c r="B33" s="82">
        <f>100</f>
        <v>100</v>
      </c>
      <c r="C33" s="83">
        <f>100/1000</f>
        <v>0.1</v>
      </c>
      <c r="D33" s="78">
        <v>606</v>
      </c>
      <c r="E33" s="10">
        <f>D33*150</f>
        <v>90900</v>
      </c>
      <c r="F33" s="10"/>
      <c r="G33" s="10">
        <f>E33*50</f>
        <v>4545000</v>
      </c>
      <c r="H33" s="84">
        <f>H28/G33</f>
        <v>5.6446235598087903E-2</v>
      </c>
      <c r="I33" s="4"/>
      <c r="J33" s="71"/>
    </row>
    <row r="34" spans="2:30" ht="15.75" customHeight="1" x14ac:dyDescent="0.25">
      <c r="J34" s="71"/>
    </row>
    <row r="35" spans="2:30" x14ac:dyDescent="0.25">
      <c r="I35" s="47"/>
    </row>
    <row r="36" spans="2:30" x14ac:dyDescent="0.25">
      <c r="D36" s="71"/>
      <c r="E36" s="47"/>
      <c r="F36" s="47"/>
      <c r="H36" s="69"/>
    </row>
    <row r="37" spans="2:30" ht="21" x14ac:dyDescent="0.35">
      <c r="C37" s="85" t="s">
        <v>89</v>
      </c>
      <c r="E37" s="47"/>
      <c r="F37" s="47"/>
    </row>
    <row r="39" spans="2:30" x14ac:dyDescent="0.25">
      <c r="B39" s="4"/>
      <c r="C39" s="4"/>
      <c r="D39" s="4"/>
      <c r="E39" s="4"/>
      <c r="F39" s="4"/>
      <c r="I39" s="80"/>
      <c r="J39" s="80"/>
      <c r="K39" s="80"/>
      <c r="L39" s="80"/>
      <c r="M39" s="80"/>
      <c r="Y39" s="4"/>
      <c r="AD39" s="4"/>
    </row>
    <row r="40" spans="2:30" x14ac:dyDescent="0.25">
      <c r="I40" s="86"/>
      <c r="J40" s="80"/>
      <c r="K40" s="80"/>
      <c r="L40" s="80"/>
      <c r="M40" s="80"/>
      <c r="N40" s="4"/>
      <c r="Y40" s="4"/>
      <c r="AD40" s="4"/>
    </row>
    <row r="41" spans="2:30" x14ac:dyDescent="0.25">
      <c r="E41" s="87"/>
      <c r="F41" s="87"/>
      <c r="G41" s="105"/>
      <c r="H41" s="88"/>
      <c r="K41" s="4"/>
      <c r="L41" s="4"/>
      <c r="M41" s="4"/>
      <c r="N41" s="4"/>
      <c r="O41" s="4"/>
      <c r="P41" s="4"/>
    </row>
    <row r="42" spans="2:30" x14ac:dyDescent="0.25">
      <c r="D42" s="87"/>
    </row>
    <row r="44" spans="2:30" ht="15.75" x14ac:dyDescent="0.25">
      <c r="B44" s="104" t="s">
        <v>88</v>
      </c>
    </row>
    <row r="45" spans="2:30" x14ac:dyDescent="0.25">
      <c r="B45" s="103" t="s">
        <v>87</v>
      </c>
      <c r="G45" t="s">
        <v>86</v>
      </c>
    </row>
    <row r="46" spans="2:30" x14ac:dyDescent="0.25">
      <c r="B46" s="10" t="s">
        <v>85</v>
      </c>
      <c r="C46" s="10" t="s">
        <v>84</v>
      </c>
      <c r="D46" s="10" t="s">
        <v>83</v>
      </c>
      <c r="E46" s="10" t="s">
        <v>82</v>
      </c>
      <c r="F46" s="10"/>
      <c r="G46" s="10" t="s">
        <v>81</v>
      </c>
      <c r="H46" s="79" t="s">
        <v>80</v>
      </c>
      <c r="I46" s="4"/>
    </row>
    <row r="47" spans="2:30" ht="45.75" customHeight="1" x14ac:dyDescent="0.25">
      <c r="B47" s="10"/>
      <c r="C47" s="10" t="s">
        <v>79</v>
      </c>
      <c r="D47" s="64" t="s">
        <v>78</v>
      </c>
      <c r="E47" s="10" t="s">
        <v>77</v>
      </c>
      <c r="F47" s="10"/>
      <c r="G47" s="10" t="s">
        <v>49</v>
      </c>
      <c r="H47" s="79" t="s">
        <v>49</v>
      </c>
      <c r="I47" s="102"/>
    </row>
    <row r="48" spans="2:30" x14ac:dyDescent="0.25">
      <c r="B48" s="89">
        <f>6*0.3048</f>
        <v>1.8288000000000002</v>
      </c>
      <c r="C48" s="101">
        <f>13000/B48</f>
        <v>7108.4864391950996</v>
      </c>
      <c r="D48" s="39">
        <v>0.02</v>
      </c>
      <c r="E48" s="14">
        <f>C48*D48</f>
        <v>142.169728783902</v>
      </c>
      <c r="F48" s="14"/>
      <c r="G48" s="14">
        <f>15*1.31</f>
        <v>19.650000000000002</v>
      </c>
      <c r="H48" s="40">
        <f>5*1.31</f>
        <v>6.5500000000000007</v>
      </c>
      <c r="I48" s="49"/>
    </row>
    <row r="49" spans="1:6" x14ac:dyDescent="0.25">
      <c r="B49" s="52"/>
      <c r="D49" s="46"/>
    </row>
    <row r="50" spans="1:6" x14ac:dyDescent="0.25">
      <c r="A50" t="s">
        <v>55</v>
      </c>
      <c r="B50" s="90"/>
    </row>
    <row r="51" spans="1:6" x14ac:dyDescent="0.25">
      <c r="B51" s="90"/>
    </row>
    <row r="52" spans="1:6" x14ac:dyDescent="0.25">
      <c r="B52" t="s">
        <v>56</v>
      </c>
    </row>
    <row r="53" spans="1:6" x14ac:dyDescent="0.25">
      <c r="B53" s="91" t="s">
        <v>57</v>
      </c>
    </row>
    <row r="54" spans="1:6" x14ac:dyDescent="0.25">
      <c r="B54" t="s">
        <v>58</v>
      </c>
    </row>
    <row r="55" spans="1:6" x14ac:dyDescent="0.25">
      <c r="B55" t="s">
        <v>59</v>
      </c>
    </row>
    <row r="56" spans="1:6" x14ac:dyDescent="0.25">
      <c r="B56" t="s">
        <v>60</v>
      </c>
    </row>
    <row r="57" spans="1:6" x14ac:dyDescent="0.25">
      <c r="B57" t="s">
        <v>61</v>
      </c>
    </row>
    <row r="58" spans="1:6" x14ac:dyDescent="0.25">
      <c r="B58" t="s">
        <v>62</v>
      </c>
    </row>
    <row r="59" spans="1:6" x14ac:dyDescent="0.25">
      <c r="B59" t="s">
        <v>63</v>
      </c>
      <c r="E59" s="26"/>
      <c r="F59" s="26"/>
    </row>
    <row r="60" spans="1:6" x14ac:dyDescent="0.25">
      <c r="B60" t="s">
        <v>64</v>
      </c>
    </row>
    <row r="61" spans="1:6" x14ac:dyDescent="0.25">
      <c r="B61" t="s">
        <v>65</v>
      </c>
    </row>
    <row r="62" spans="1:6" x14ac:dyDescent="0.25">
      <c r="B62" s="92" t="s">
        <v>66</v>
      </c>
    </row>
    <row r="63" spans="1:6" x14ac:dyDescent="0.25">
      <c r="B63" s="92" t="s">
        <v>67</v>
      </c>
    </row>
    <row r="64" spans="1:6" x14ac:dyDescent="0.25">
      <c r="B64" t="s">
        <v>68</v>
      </c>
    </row>
    <row r="65" spans="2:2" x14ac:dyDescent="0.25">
      <c r="B65" t="s">
        <v>69</v>
      </c>
    </row>
    <row r="66" spans="2:2" x14ac:dyDescent="0.25">
      <c r="B66" s="100"/>
    </row>
    <row r="71" spans="2:2" x14ac:dyDescent="0.25">
      <c r="B71" s="93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4"/>
  <sheetViews>
    <sheetView showGridLines="0" zoomScale="85" zoomScaleNormal="85" workbookViewId="0">
      <selection activeCell="C12" sqref="C12"/>
    </sheetView>
  </sheetViews>
  <sheetFormatPr defaultRowHeight="15" x14ac:dyDescent="0.25"/>
  <cols>
    <col min="1" max="1" width="18" bestFit="1" customWidth="1"/>
    <col min="2" max="2" width="44.28515625" customWidth="1"/>
    <col min="3" max="3" width="22" customWidth="1"/>
    <col min="4" max="4" width="19.42578125" customWidth="1"/>
    <col min="5" max="6" width="17.85546875" customWidth="1"/>
    <col min="7" max="7" width="21.5703125" customWidth="1"/>
    <col min="8" max="8" width="21.28515625" customWidth="1"/>
    <col min="9" max="9" width="54" bestFit="1" customWidth="1"/>
    <col min="10" max="10" width="18.28515625" customWidth="1"/>
    <col min="11" max="12" width="13.140625" customWidth="1"/>
    <col min="13" max="13" width="10.7109375" customWidth="1"/>
    <col min="14" max="14" width="14.28515625" customWidth="1"/>
    <col min="15" max="15" width="10.42578125" customWidth="1"/>
    <col min="16" max="16" width="11.5703125" bestFit="1" customWidth="1"/>
    <col min="17" max="17" width="19.5703125" customWidth="1"/>
    <col min="18" max="18" width="19" customWidth="1"/>
    <col min="19" max="19" width="12.5703125" bestFit="1" customWidth="1"/>
    <col min="20" max="20" width="12" customWidth="1"/>
    <col min="21" max="21" width="11.28515625" customWidth="1"/>
    <col min="24" max="24" width="18.7109375" customWidth="1"/>
    <col min="31" max="31" width="11.28515625" customWidth="1"/>
  </cols>
  <sheetData>
    <row r="1" spans="1:28" ht="20.25" x14ac:dyDescent="0.3">
      <c r="A1" s="127"/>
      <c r="B1" s="175" t="s">
        <v>184</v>
      </c>
      <c r="C1" s="127"/>
      <c r="D1" s="126"/>
      <c r="E1" s="128"/>
      <c r="F1" s="129"/>
      <c r="G1" s="130"/>
      <c r="H1" s="130"/>
      <c r="I1" s="130"/>
      <c r="J1" s="13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13" customFormat="1" ht="48.75" customHeight="1" x14ac:dyDescent="0.25">
      <c r="A2" s="6" t="s">
        <v>107</v>
      </c>
      <c r="B2" s="6" t="s">
        <v>0</v>
      </c>
      <c r="C2" s="6" t="s">
        <v>1</v>
      </c>
      <c r="D2" s="6" t="s">
        <v>2</v>
      </c>
      <c r="E2" s="7" t="s">
        <v>3</v>
      </c>
      <c r="F2" s="7" t="s">
        <v>4</v>
      </c>
      <c r="G2" s="8" t="s">
        <v>5</v>
      </c>
      <c r="H2" s="8" t="s">
        <v>6</v>
      </c>
      <c r="I2" s="9" t="s">
        <v>7</v>
      </c>
      <c r="J2" s="9" t="s">
        <v>8</v>
      </c>
      <c r="K2" s="4"/>
      <c r="L2" s="4"/>
      <c r="M2" s="4"/>
      <c r="N2" s="4"/>
      <c r="O2" s="4"/>
      <c r="P2" s="4"/>
      <c r="Q2" s="4"/>
      <c r="R2" s="4"/>
      <c r="S2" s="4"/>
      <c r="T2" s="11"/>
      <c r="U2" s="11"/>
      <c r="V2" s="11"/>
      <c r="W2" s="11"/>
      <c r="X2" s="11"/>
      <c r="Y2" s="11"/>
      <c r="Z2" s="12"/>
      <c r="AA2" s="11"/>
      <c r="AB2" s="11"/>
    </row>
    <row r="3" spans="1:28" ht="18" x14ac:dyDescent="0.25">
      <c r="A3" s="134" t="s">
        <v>10</v>
      </c>
      <c r="B3" s="6" t="s">
        <v>108</v>
      </c>
      <c r="C3" s="35">
        <v>13000</v>
      </c>
      <c r="D3" s="162">
        <f>2.9*1.31</f>
        <v>3.7989999999999999</v>
      </c>
      <c r="E3" s="35">
        <f>C3*D3</f>
        <v>49387</v>
      </c>
      <c r="F3" s="35" t="s">
        <v>9</v>
      </c>
      <c r="G3" s="19" t="s">
        <v>11</v>
      </c>
      <c r="H3" s="35">
        <f t="shared" ref="H3:H7" si="0">E3</f>
        <v>49387</v>
      </c>
      <c r="I3" s="35" t="s">
        <v>100</v>
      </c>
      <c r="J3" s="163">
        <f t="shared" ref="J3:J20" si="1">H3/$H$21</f>
        <v>0.19250578019113035</v>
      </c>
      <c r="K3" s="16"/>
      <c r="L3" s="4"/>
      <c r="M3" s="4"/>
      <c r="N3" s="4"/>
      <c r="O3" s="4"/>
      <c r="P3" s="4"/>
      <c r="Q3" s="20"/>
      <c r="R3" s="20"/>
      <c r="S3" s="21"/>
      <c r="T3" s="21"/>
      <c r="U3" s="21"/>
      <c r="V3" s="4"/>
      <c r="W3" s="4"/>
      <c r="X3" s="4"/>
      <c r="Y3" s="4"/>
      <c r="Z3" s="4"/>
      <c r="AA3" s="4"/>
      <c r="AB3" s="4"/>
    </row>
    <row r="4" spans="1:28" ht="30" x14ac:dyDescent="0.25">
      <c r="A4" s="9"/>
      <c r="B4" s="131" t="s">
        <v>109</v>
      </c>
      <c r="C4" s="35">
        <v>155</v>
      </c>
      <c r="D4" s="35">
        <f>3.28*4.6</f>
        <v>15.087999999999997</v>
      </c>
      <c r="E4" s="35">
        <f>D4*C4</f>
        <v>2338.6399999999994</v>
      </c>
      <c r="F4" s="35" t="s">
        <v>9</v>
      </c>
      <c r="G4" s="19" t="s">
        <v>11</v>
      </c>
      <c r="H4" s="35">
        <f t="shared" si="0"/>
        <v>2338.6399999999994</v>
      </c>
      <c r="I4" s="9" t="s">
        <v>12</v>
      </c>
      <c r="J4" s="163">
        <f t="shared" si="1"/>
        <v>9.1157939900416082E-3</v>
      </c>
      <c r="K4" s="16"/>
      <c r="L4" s="17"/>
      <c r="M4" s="17"/>
      <c r="N4" s="23"/>
      <c r="O4" s="23"/>
      <c r="P4" s="116"/>
      <c r="Q4" s="20"/>
      <c r="R4" s="20"/>
      <c r="S4" s="21"/>
      <c r="T4" s="21"/>
      <c r="U4" s="21"/>
      <c r="V4" s="4"/>
      <c r="W4" s="4"/>
      <c r="X4" s="4"/>
      <c r="Y4" s="4"/>
      <c r="Z4" s="4"/>
      <c r="AA4" s="4"/>
      <c r="AB4" s="4"/>
    </row>
    <row r="5" spans="1:28" x14ac:dyDescent="0.25">
      <c r="A5" s="9"/>
      <c r="B5" s="7" t="s">
        <v>16</v>
      </c>
      <c r="C5" s="132">
        <f>85*0.405</f>
        <v>34.425000000000004</v>
      </c>
      <c r="D5" s="35">
        <f>8215.1*C5^0.435</f>
        <v>38295.965402906477</v>
      </c>
      <c r="E5" s="35">
        <f>D5</f>
        <v>38295.965402906477</v>
      </c>
      <c r="F5" s="35" t="s">
        <v>9</v>
      </c>
      <c r="G5" s="19" t="s">
        <v>11</v>
      </c>
      <c r="H5" s="35">
        <f t="shared" si="0"/>
        <v>38295.965402906477</v>
      </c>
      <c r="I5" s="35" t="s">
        <v>17</v>
      </c>
      <c r="J5" s="163">
        <f t="shared" si="1"/>
        <v>0.14927399311679282</v>
      </c>
      <c r="K5" s="16"/>
      <c r="L5" s="17"/>
      <c r="M5" s="17"/>
      <c r="N5" s="27"/>
      <c r="O5" s="23"/>
      <c r="P5" s="116"/>
      <c r="Q5" s="20"/>
      <c r="R5" s="20"/>
      <c r="S5" s="21"/>
      <c r="T5" s="21"/>
      <c r="U5" s="21"/>
      <c r="V5" s="4"/>
      <c r="W5" s="4"/>
      <c r="X5" s="4"/>
      <c r="Y5" s="4"/>
      <c r="Z5" s="4"/>
      <c r="AA5" s="4"/>
      <c r="AB5" s="4"/>
    </row>
    <row r="6" spans="1:28" x14ac:dyDescent="0.25">
      <c r="A6" s="9"/>
      <c r="B6" s="7" t="s">
        <v>18</v>
      </c>
      <c r="C6" s="133">
        <v>1</v>
      </c>
      <c r="D6" s="35">
        <v>164.43</v>
      </c>
      <c r="E6" s="35">
        <f>D6</f>
        <v>164.43</v>
      </c>
      <c r="F6" s="35" t="s">
        <v>9</v>
      </c>
      <c r="G6" s="19" t="s">
        <v>11</v>
      </c>
      <c r="H6" s="35">
        <f t="shared" si="0"/>
        <v>164.43</v>
      </c>
      <c r="I6" s="35" t="s">
        <v>19</v>
      </c>
      <c r="J6" s="163">
        <f t="shared" si="1"/>
        <v>6.4093233921533126E-4</v>
      </c>
      <c r="K6" s="16"/>
      <c r="L6" s="115"/>
      <c r="M6" s="17"/>
      <c r="N6" s="4"/>
      <c r="O6" s="29"/>
      <c r="P6" s="4"/>
      <c r="Q6" s="20"/>
      <c r="R6" s="20"/>
      <c r="S6" s="21"/>
      <c r="T6" s="21"/>
      <c r="U6" s="21"/>
      <c r="V6" s="4"/>
      <c r="W6" s="4"/>
      <c r="X6" s="4"/>
      <c r="Y6" s="4"/>
      <c r="Z6" s="4"/>
      <c r="AA6" s="4"/>
      <c r="AB6" s="4"/>
    </row>
    <row r="7" spans="1:28" x14ac:dyDescent="0.25">
      <c r="A7" s="9"/>
      <c r="B7" s="7" t="s">
        <v>20</v>
      </c>
      <c r="C7" s="133">
        <v>1</v>
      </c>
      <c r="D7" s="35">
        <v>596.02</v>
      </c>
      <c r="E7" s="35">
        <f>D7</f>
        <v>596.02</v>
      </c>
      <c r="F7" s="35" t="s">
        <v>9</v>
      </c>
      <c r="G7" s="19" t="s">
        <v>11</v>
      </c>
      <c r="H7" s="133">
        <f t="shared" si="0"/>
        <v>596.02</v>
      </c>
      <c r="I7" s="35" t="s">
        <v>19</v>
      </c>
      <c r="J7" s="163">
        <f t="shared" si="1"/>
        <v>2.3232286858792294E-3</v>
      </c>
      <c r="K7" s="16"/>
      <c r="L7" s="115"/>
      <c r="M7" s="17"/>
      <c r="N7" s="29"/>
      <c r="O7" s="29"/>
      <c r="P7" s="30"/>
      <c r="Q7" s="4"/>
      <c r="R7" s="4"/>
      <c r="S7" s="4"/>
      <c r="T7" s="4"/>
      <c r="U7" s="4"/>
    </row>
    <row r="8" spans="1:28" x14ac:dyDescent="0.25">
      <c r="A8" s="9"/>
      <c r="B8" s="134" t="s">
        <v>21</v>
      </c>
      <c r="C8" s="135"/>
      <c r="D8" s="135"/>
      <c r="E8" s="135">
        <f>SUM(E3:E7)</f>
        <v>90782.055402906481</v>
      </c>
      <c r="F8" s="135" t="s">
        <v>9</v>
      </c>
      <c r="G8" s="32" t="s">
        <v>11</v>
      </c>
      <c r="H8" s="135">
        <f>SUM(H3:H7)</f>
        <v>90782.055402906481</v>
      </c>
      <c r="I8" s="135" t="s">
        <v>22</v>
      </c>
      <c r="J8" s="164">
        <f t="shared" si="1"/>
        <v>0.35385972832305934</v>
      </c>
      <c r="K8" s="16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8" ht="30" x14ac:dyDescent="0.25">
      <c r="A9" s="9" t="s">
        <v>23</v>
      </c>
      <c r="B9" s="7" t="s">
        <v>25</v>
      </c>
      <c r="C9" s="35">
        <v>2</v>
      </c>
      <c r="D9" s="35">
        <f>D5</f>
        <v>38295.965402906477</v>
      </c>
      <c r="E9" s="35">
        <f>D9*(1+F9)^20+D9*(1+F9)^40</f>
        <v>194089.65978207043</v>
      </c>
      <c r="F9" s="36">
        <v>0.03</v>
      </c>
      <c r="G9" s="37">
        <f>1/(1+F9)^50</f>
        <v>0.22810707978975397</v>
      </c>
      <c r="H9" s="35">
        <f>G9*E9</f>
        <v>44273.22551027494</v>
      </c>
      <c r="I9" s="35" t="s">
        <v>22</v>
      </c>
      <c r="J9" s="163">
        <f t="shared" si="1"/>
        <v>0.17257277863472842</v>
      </c>
      <c r="K9" s="16"/>
      <c r="L9" s="4"/>
      <c r="M9" s="21"/>
      <c r="N9" s="21"/>
      <c r="O9" s="21"/>
      <c r="P9" s="21"/>
      <c r="Q9" s="4"/>
      <c r="R9" s="4"/>
      <c r="S9" s="4"/>
      <c r="T9" s="4"/>
      <c r="U9" s="4"/>
    </row>
    <row r="10" spans="1:28" ht="45" x14ac:dyDescent="0.25">
      <c r="A10" s="9"/>
      <c r="B10" s="7" t="s">
        <v>26</v>
      </c>
      <c r="C10" s="35">
        <v>6</v>
      </c>
      <c r="D10" s="35">
        <f>D6</f>
        <v>164.43</v>
      </c>
      <c r="E10" s="35">
        <f>D10*(1+F10)^7.5+D10*(1+F10)^15+D10*(1+F10)^22.5+D10*(1+F10)^30+D10*(1+F10)^37.5+D10*(1+F10)^45</f>
        <v>2300.2635812345779</v>
      </c>
      <c r="F10" s="36">
        <v>0.03</v>
      </c>
      <c r="G10" s="37">
        <f>1/(1+F10)^50</f>
        <v>0.22810707978975397</v>
      </c>
      <c r="H10" s="35">
        <f>G10*E10</f>
        <v>524.70640826214105</v>
      </c>
      <c r="I10" s="35" t="s">
        <v>22</v>
      </c>
      <c r="J10" s="163">
        <f t="shared" si="1"/>
        <v>2.0452551581142653E-3</v>
      </c>
      <c r="K10" s="16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8" ht="45" x14ac:dyDescent="0.25">
      <c r="A11" s="165">
        <f>D13*10/20</f>
        <v>19147.982701453238</v>
      </c>
      <c r="B11" s="7" t="s">
        <v>27</v>
      </c>
      <c r="C11" s="133">
        <v>6</v>
      </c>
      <c r="D11" s="35">
        <f>D7</f>
        <v>596.02</v>
      </c>
      <c r="E11" s="35">
        <f>D11*(1+F11)^7.5+D11*(1+F11)^15+D11*(1+F11)^22.5+D11*(1+F11)^30+D11*(1+F11)^37.5+D11*(1+F11)^45</f>
        <v>8337.9133958975435</v>
      </c>
      <c r="F11" s="36">
        <v>0.03</v>
      </c>
      <c r="G11" s="37">
        <f>1/(1+F11)^50</f>
        <v>0.22810707978975397</v>
      </c>
      <c r="H11" s="35">
        <f>G11*E11</f>
        <v>1901.9370762780595</v>
      </c>
      <c r="I11" s="35" t="s">
        <v>22</v>
      </c>
      <c r="J11" s="163">
        <f t="shared" si="1"/>
        <v>7.4135679580323811E-3</v>
      </c>
      <c r="K11" s="16"/>
      <c r="L11" s="4"/>
      <c r="M11" s="17"/>
      <c r="N11" s="29"/>
      <c r="O11" s="29"/>
      <c r="P11" s="30"/>
      <c r="Q11" s="4"/>
      <c r="R11" s="4"/>
      <c r="S11" s="4"/>
      <c r="T11" s="4"/>
      <c r="U11" s="4"/>
    </row>
    <row r="12" spans="1:28" x14ac:dyDescent="0.25">
      <c r="A12" s="166"/>
      <c r="B12" s="136" t="s">
        <v>28</v>
      </c>
      <c r="C12" s="135"/>
      <c r="D12" s="135">
        <f>SUM(D9:D11)</f>
        <v>39056.415402906474</v>
      </c>
      <c r="E12" s="135">
        <f>SUM(E9:E11)</f>
        <v>204727.83675920256</v>
      </c>
      <c r="F12" s="137" t="s">
        <v>9</v>
      </c>
      <c r="G12" s="32" t="s">
        <v>22</v>
      </c>
      <c r="H12" s="135">
        <f>SUM(H9:H11)</f>
        <v>46699.868994815144</v>
      </c>
      <c r="I12" s="135" t="s">
        <v>22</v>
      </c>
      <c r="J12" s="164">
        <f t="shared" si="1"/>
        <v>0.18203160175087507</v>
      </c>
      <c r="K12" s="16"/>
      <c r="L12" s="43"/>
      <c r="M12" s="4"/>
      <c r="N12" s="4"/>
      <c r="O12" s="4"/>
      <c r="P12" s="4"/>
      <c r="Q12" s="4"/>
      <c r="R12" s="4"/>
      <c r="S12" s="4"/>
      <c r="T12" s="4"/>
      <c r="U12" s="4"/>
    </row>
    <row r="13" spans="1:28" x14ac:dyDescent="0.25">
      <c r="A13" s="9" t="s">
        <v>29</v>
      </c>
      <c r="B13" s="45" t="s">
        <v>32</v>
      </c>
      <c r="C13" s="35">
        <v>0.5</v>
      </c>
      <c r="D13" s="35">
        <f>D9</f>
        <v>38295.965402906477</v>
      </c>
      <c r="E13" s="35">
        <f>(10/20)*D13*(1+F13)^50</f>
        <v>83942.956611000016</v>
      </c>
      <c r="F13" s="36">
        <v>0.03</v>
      </c>
      <c r="G13" s="37">
        <f>1/(1+F13)^50</f>
        <v>0.22810707978975397</v>
      </c>
      <c r="H13" s="35">
        <f>E13*G13</f>
        <v>19147.982701453235</v>
      </c>
      <c r="I13" s="35" t="s">
        <v>31</v>
      </c>
      <c r="J13" s="163">
        <f t="shared" si="1"/>
        <v>7.4636996558396396E-2</v>
      </c>
      <c r="K13" s="16"/>
      <c r="L13" s="43"/>
      <c r="M13" s="21"/>
      <c r="N13" s="21"/>
      <c r="O13" s="21"/>
      <c r="P13" s="21"/>
      <c r="Q13" s="4"/>
      <c r="R13" s="4"/>
      <c r="S13" s="4"/>
      <c r="T13" s="4"/>
      <c r="U13" s="4"/>
    </row>
    <row r="14" spans="1:28" x14ac:dyDescent="0.25">
      <c r="A14" s="166"/>
      <c r="B14" s="7" t="s">
        <v>33</v>
      </c>
      <c r="C14" s="35">
        <f>2.5/7.5</f>
        <v>0.33333333333333331</v>
      </c>
      <c r="D14" s="35">
        <f>D10</f>
        <v>164.43</v>
      </c>
      <c r="E14" s="35">
        <f>(2.5/7.5)*D14*(1+F14)^50</f>
        <v>240.28188888533541</v>
      </c>
      <c r="F14" s="36">
        <v>0.03</v>
      </c>
      <c r="G14" s="37">
        <f>1/(1+F14)^50</f>
        <v>0.22810707978975397</v>
      </c>
      <c r="H14" s="35">
        <f>E14*G14</f>
        <v>54.81</v>
      </c>
      <c r="I14" s="35" t="s">
        <v>31</v>
      </c>
      <c r="J14" s="163">
        <f t="shared" si="1"/>
        <v>2.1364411307177707E-4</v>
      </c>
      <c r="K14" s="16"/>
      <c r="L14" s="43"/>
      <c r="M14" s="4"/>
      <c r="N14" s="4"/>
      <c r="O14" s="4"/>
      <c r="P14" s="4"/>
      <c r="Q14" s="4"/>
      <c r="R14" s="4"/>
      <c r="S14" s="4"/>
      <c r="T14" s="4"/>
      <c r="U14" s="4"/>
    </row>
    <row r="15" spans="1:28" x14ac:dyDescent="0.25">
      <c r="A15" s="166"/>
      <c r="B15" s="7" t="s">
        <v>34</v>
      </c>
      <c r="C15" s="35">
        <f>2.5/7.5</f>
        <v>0.33333333333333331</v>
      </c>
      <c r="D15" s="35">
        <f>D11</f>
        <v>596.02</v>
      </c>
      <c r="E15" s="35">
        <f>(2.5/7.5)*D15*(1+F15)^50</f>
        <v>870.96522175659914</v>
      </c>
      <c r="F15" s="36">
        <v>0.03</v>
      </c>
      <c r="G15" s="37">
        <f>1/(1+F15)^50</f>
        <v>0.22810707978975397</v>
      </c>
      <c r="H15" s="35">
        <f>E15*G15</f>
        <v>198.67333333333332</v>
      </c>
      <c r="I15" s="35" t="s">
        <v>31</v>
      </c>
      <c r="J15" s="163">
        <f t="shared" si="1"/>
        <v>7.7440956195974305E-4</v>
      </c>
      <c r="K15" s="16"/>
      <c r="L15" s="43"/>
      <c r="M15" s="4"/>
      <c r="N15" s="4"/>
      <c r="O15" s="4"/>
      <c r="P15" s="4"/>
      <c r="Q15" s="21"/>
      <c r="R15" s="21"/>
      <c r="S15" s="4"/>
      <c r="T15" s="4"/>
      <c r="U15" s="46"/>
      <c r="V15" s="47"/>
    </row>
    <row r="16" spans="1:28" s="52" customFormat="1" x14ac:dyDescent="0.25">
      <c r="A16" s="134"/>
      <c r="B16" s="134" t="s">
        <v>35</v>
      </c>
      <c r="C16" s="135"/>
      <c r="D16" s="135">
        <f>SUM(D13:D15)</f>
        <v>39056.415402906474</v>
      </c>
      <c r="E16" s="135">
        <f>SUM(E13:E15)</f>
        <v>85054.203721641956</v>
      </c>
      <c r="F16" s="137" t="s">
        <v>9</v>
      </c>
      <c r="G16" s="32" t="s">
        <v>22</v>
      </c>
      <c r="H16" s="135">
        <f>SUM(H13:H15)</f>
        <v>19401.466034786568</v>
      </c>
      <c r="I16" s="135" t="s">
        <v>22</v>
      </c>
      <c r="J16" s="164">
        <f t="shared" si="1"/>
        <v>7.5625050233427915E-2</v>
      </c>
      <c r="K16" s="16"/>
      <c r="L16" s="48"/>
      <c r="M16" s="17"/>
      <c r="N16" s="29"/>
      <c r="O16" s="29"/>
      <c r="P16" s="30"/>
      <c r="Q16" s="49"/>
      <c r="R16" s="49"/>
      <c r="S16" s="27"/>
      <c r="T16" s="27"/>
      <c r="U16" s="50"/>
      <c r="V16" s="51"/>
    </row>
    <row r="17" spans="1:30" ht="16.5" customHeight="1" x14ac:dyDescent="0.25">
      <c r="A17" s="136" t="s">
        <v>36</v>
      </c>
      <c r="B17" s="7" t="s">
        <v>110</v>
      </c>
      <c r="C17" s="133" t="s">
        <v>111</v>
      </c>
      <c r="D17" s="35">
        <f>7108*0.02*20</f>
        <v>2843.2</v>
      </c>
      <c r="E17" s="35">
        <f>D17</f>
        <v>2843.2</v>
      </c>
      <c r="F17" s="36">
        <v>0.03</v>
      </c>
      <c r="G17" s="53">
        <f>((1+F17)^50-1)/(0.03*(1+F17)^50)</f>
        <v>25.7297640070082</v>
      </c>
      <c r="H17" s="35">
        <f>E17*G17</f>
        <v>73154.865024725703</v>
      </c>
      <c r="I17" s="139" t="s">
        <v>91</v>
      </c>
      <c r="J17" s="163">
        <f t="shared" si="1"/>
        <v>0.28515063410131519</v>
      </c>
      <c r="K17" s="16"/>
      <c r="L17" s="4"/>
      <c r="M17" s="4"/>
      <c r="N17" s="4"/>
      <c r="O17" s="4"/>
      <c r="P17" s="4"/>
      <c r="Q17" s="4"/>
      <c r="R17" s="4"/>
      <c r="S17" s="4"/>
      <c r="T17" s="4"/>
      <c r="U17" s="4"/>
      <c r="V17" s="47"/>
    </row>
    <row r="18" spans="1:30" ht="21" customHeight="1" x14ac:dyDescent="0.25">
      <c r="A18" s="9"/>
      <c r="B18" s="138" t="s">
        <v>112</v>
      </c>
      <c r="C18" s="133" t="s">
        <v>111</v>
      </c>
      <c r="D18" s="35">
        <f>7108*0.02*7</f>
        <v>995.12</v>
      </c>
      <c r="E18" s="35">
        <f>D18</f>
        <v>995.12</v>
      </c>
      <c r="F18" s="36">
        <v>0.03</v>
      </c>
      <c r="G18" s="53">
        <f>((1+F18)^50-1)/(0.03*(1+F18)^50)</f>
        <v>25.7297640070082</v>
      </c>
      <c r="H18" s="35">
        <f>E18*G18</f>
        <v>25604.202758653999</v>
      </c>
      <c r="I18" s="139" t="s">
        <v>91</v>
      </c>
      <c r="J18" s="163">
        <f t="shared" si="1"/>
        <v>9.9802721935460331E-2</v>
      </c>
      <c r="K18" s="16"/>
      <c r="L18" s="43"/>
      <c r="M18" s="38"/>
      <c r="N18" s="38"/>
      <c r="O18" s="38"/>
      <c r="P18" s="38"/>
      <c r="Q18" s="38"/>
      <c r="R18" s="38"/>
      <c r="S18" s="4"/>
      <c r="T18" s="4"/>
      <c r="U18" s="4"/>
    </row>
    <row r="19" spans="1:30" ht="19.5" customHeight="1" x14ac:dyDescent="0.25">
      <c r="A19" s="9"/>
      <c r="B19" s="138" t="s">
        <v>37</v>
      </c>
      <c r="C19" s="139" t="s">
        <v>38</v>
      </c>
      <c r="D19" s="171">
        <f>0.017</f>
        <v>1.7000000000000001E-2</v>
      </c>
      <c r="E19" s="139">
        <f>E8*D19</f>
        <v>1543.2949418494102</v>
      </c>
      <c r="F19" s="36">
        <v>0.03</v>
      </c>
      <c r="G19" s="53">
        <f>((1+F19)^50-1)/(0.03*(1+F19)^50)</f>
        <v>25.7297640070082</v>
      </c>
      <c r="H19" s="35">
        <f>E19*G19</f>
        <v>39708.614646994763</v>
      </c>
      <c r="I19" s="139" t="s">
        <v>39</v>
      </c>
      <c r="J19" s="163">
        <f t="shared" si="1"/>
        <v>0.15478036412271798</v>
      </c>
      <c r="K19" s="16"/>
      <c r="L19" s="43"/>
      <c r="M19" s="21"/>
      <c r="N19" s="21"/>
      <c r="O19" s="21"/>
      <c r="P19" s="21"/>
      <c r="Q19" s="21"/>
      <c r="R19" s="21"/>
      <c r="S19" s="21"/>
      <c r="T19" s="4"/>
      <c r="U19" s="46"/>
    </row>
    <row r="20" spans="1:30" ht="30.75" customHeight="1" x14ac:dyDescent="0.25">
      <c r="A20" s="9"/>
      <c r="B20" s="141" t="s">
        <v>42</v>
      </c>
      <c r="C20" s="135"/>
      <c r="D20" s="135"/>
      <c r="E20" s="135">
        <f>SUM(E17:E19)</f>
        <v>5381.6149418494097</v>
      </c>
      <c r="F20" s="142"/>
      <c r="G20" s="142"/>
      <c r="H20" s="135">
        <f>SUM(H17:H19)</f>
        <v>138467.68243037447</v>
      </c>
      <c r="I20" s="135" t="s">
        <v>22</v>
      </c>
      <c r="J20" s="164">
        <f t="shared" si="1"/>
        <v>0.5397337201594935</v>
      </c>
      <c r="K20" s="16"/>
      <c r="L20" s="4"/>
      <c r="M20" s="17"/>
      <c r="N20" s="29"/>
      <c r="O20" s="29"/>
      <c r="P20" s="30"/>
      <c r="Q20" s="49"/>
      <c r="R20" s="49"/>
      <c r="S20" s="27"/>
      <c r="T20" s="4"/>
      <c r="U20" s="4"/>
    </row>
    <row r="21" spans="1:30" ht="18.75" x14ac:dyDescent="0.3">
      <c r="A21" s="167"/>
      <c r="B21" s="143" t="s">
        <v>43</v>
      </c>
      <c r="C21" s="144"/>
      <c r="D21" s="144"/>
      <c r="E21" s="144">
        <f>E8+E12-E16+E20</f>
        <v>215837.30338231646</v>
      </c>
      <c r="F21" s="144"/>
      <c r="G21" s="144"/>
      <c r="H21" s="144">
        <f>H8+H12-H16+H20</f>
        <v>256548.14079330952</v>
      </c>
      <c r="I21" s="172"/>
      <c r="J21" s="168">
        <f>J8+J12-J16+J20</f>
        <v>1</v>
      </c>
      <c r="K21" s="16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30" s="52" customFormat="1" ht="30" x14ac:dyDescent="0.25">
      <c r="A22" s="146"/>
      <c r="B22" s="8" t="s">
        <v>44</v>
      </c>
      <c r="C22" s="134" t="s">
        <v>45</v>
      </c>
      <c r="D22" s="134" t="s">
        <v>45</v>
      </c>
      <c r="E22" s="134" t="s">
        <v>45</v>
      </c>
      <c r="F22" s="134" t="s">
        <v>45</v>
      </c>
      <c r="G22" s="134" t="s">
        <v>45</v>
      </c>
      <c r="H22" s="169">
        <f>H21/G26</f>
        <v>5.6446235598087903E-2</v>
      </c>
      <c r="I22" s="134" t="s">
        <v>46</v>
      </c>
      <c r="J22" s="170">
        <f>MAX(J3:J20)</f>
        <v>0.5397337201594935</v>
      </c>
      <c r="K22" s="67"/>
      <c r="L22" s="27"/>
      <c r="M22" s="38"/>
      <c r="N22" s="38"/>
      <c r="O22" s="38"/>
      <c r="P22" s="38"/>
      <c r="Q22" s="38"/>
      <c r="R22" s="38"/>
      <c r="S22" s="4"/>
      <c r="T22" s="27"/>
      <c r="U22" s="27"/>
    </row>
    <row r="23" spans="1:30" ht="27" thickBot="1" x14ac:dyDescent="0.45">
      <c r="B23" s="68" t="s">
        <v>47</v>
      </c>
      <c r="C23" s="69"/>
      <c r="D23" s="69"/>
      <c r="E23" s="69"/>
      <c r="F23" s="69"/>
      <c r="G23" s="69"/>
      <c r="H23" s="69"/>
      <c r="I23" s="70"/>
      <c r="J23" s="4"/>
      <c r="K23" s="71"/>
      <c r="L23" s="72"/>
      <c r="M23" s="4"/>
      <c r="N23" s="21"/>
      <c r="O23" s="21"/>
      <c r="P23" s="21"/>
      <c r="Q23" s="21"/>
      <c r="R23" s="21"/>
      <c r="S23" s="21"/>
      <c r="T23" s="21"/>
      <c r="U23" s="4"/>
    </row>
    <row r="24" spans="1:30" ht="30" x14ac:dyDescent="0.25">
      <c r="B24" s="73" t="s">
        <v>48</v>
      </c>
      <c r="C24" s="74" t="s">
        <v>49</v>
      </c>
      <c r="D24" s="75" t="s">
        <v>50</v>
      </c>
      <c r="E24" s="64" t="s">
        <v>51</v>
      </c>
      <c r="F24" s="64"/>
      <c r="G24" s="64" t="s">
        <v>52</v>
      </c>
      <c r="H24" s="10"/>
      <c r="J24" s="4"/>
      <c r="K24" s="71"/>
      <c r="L24" s="72"/>
      <c r="M24" s="4"/>
      <c r="N24" s="4"/>
      <c r="O24" s="4"/>
      <c r="P24" s="4"/>
      <c r="Q24" s="4"/>
      <c r="R24" s="4"/>
      <c r="S24" s="4"/>
      <c r="T24" s="4"/>
      <c r="U24" s="4"/>
    </row>
    <row r="25" spans="1:30" s="69" customFormat="1" x14ac:dyDescent="0.25">
      <c r="B25" s="76">
        <v>5</v>
      </c>
      <c r="C25" s="77">
        <f>B25/1000</f>
        <v>5.0000000000000001E-3</v>
      </c>
      <c r="D25" s="78" t="s">
        <v>53</v>
      </c>
      <c r="E25" s="10"/>
      <c r="F25" s="10"/>
      <c r="G25" s="10"/>
      <c r="H25" s="79" t="s">
        <v>49</v>
      </c>
      <c r="I25" s="80"/>
      <c r="J25" s="81"/>
    </row>
    <row r="26" spans="1:30" ht="15.75" thickBot="1" x14ac:dyDescent="0.3">
      <c r="B26" s="82">
        <f>100</f>
        <v>100</v>
      </c>
      <c r="C26" s="83">
        <f>100/1000</f>
        <v>0.1</v>
      </c>
      <c r="D26" s="78">
        <v>606</v>
      </c>
      <c r="E26" s="10">
        <f>D26*150</f>
        <v>90900</v>
      </c>
      <c r="F26" s="10"/>
      <c r="G26" s="10">
        <f>E26*50</f>
        <v>4545000</v>
      </c>
      <c r="H26" s="84">
        <f>H21/G26</f>
        <v>5.6446235598087903E-2</v>
      </c>
      <c r="I26" s="4"/>
      <c r="J26" s="71"/>
    </row>
    <row r="27" spans="1:30" ht="15.75" customHeight="1" x14ac:dyDescent="0.25">
      <c r="J27" s="71"/>
    </row>
    <row r="28" spans="1:30" x14ac:dyDescent="0.25">
      <c r="I28" s="47"/>
    </row>
    <row r="29" spans="1:30" x14ac:dyDescent="0.25">
      <c r="D29" s="71"/>
      <c r="E29" s="47"/>
      <c r="F29" s="47"/>
      <c r="H29" s="69"/>
    </row>
    <row r="30" spans="1:30" ht="21" x14ac:dyDescent="0.35">
      <c r="C30" s="85" t="s">
        <v>89</v>
      </c>
      <c r="E30" s="47"/>
      <c r="F30" s="47"/>
    </row>
    <row r="32" spans="1:30" x14ac:dyDescent="0.25">
      <c r="B32" s="4"/>
      <c r="C32" s="4"/>
      <c r="D32" s="4"/>
      <c r="E32" s="4"/>
      <c r="F32" s="4"/>
      <c r="I32" s="80"/>
      <c r="J32" s="80"/>
      <c r="K32" s="80"/>
      <c r="L32" s="80"/>
      <c r="M32" s="80"/>
      <c r="Y32" s="4"/>
      <c r="AD32" s="4"/>
    </row>
    <row r="33" spans="1:30" x14ac:dyDescent="0.25">
      <c r="I33" s="86"/>
      <c r="J33" s="80"/>
      <c r="K33" s="80"/>
      <c r="L33" s="80"/>
      <c r="M33" s="80"/>
      <c r="N33" s="4"/>
      <c r="Y33" s="4"/>
      <c r="AD33" s="4"/>
    </row>
    <row r="34" spans="1:30" x14ac:dyDescent="0.25">
      <c r="E34" s="87"/>
      <c r="F34" s="87"/>
      <c r="G34" s="105"/>
      <c r="H34" s="88"/>
      <c r="K34" s="4"/>
      <c r="L34" s="4"/>
      <c r="M34" s="4"/>
      <c r="N34" s="4"/>
      <c r="O34" s="4"/>
      <c r="P34" s="4"/>
    </row>
    <row r="35" spans="1:30" x14ac:dyDescent="0.25">
      <c r="D35" s="87"/>
    </row>
    <row r="37" spans="1:30" ht="15.75" x14ac:dyDescent="0.25">
      <c r="B37" s="104" t="s">
        <v>88</v>
      </c>
    </row>
    <row r="38" spans="1:30" x14ac:dyDescent="0.25">
      <c r="B38" s="103" t="s">
        <v>87</v>
      </c>
      <c r="G38" t="s">
        <v>86</v>
      </c>
    </row>
    <row r="39" spans="1:30" x14ac:dyDescent="0.25">
      <c r="B39" s="10" t="s">
        <v>85</v>
      </c>
      <c r="C39" s="10" t="s">
        <v>84</v>
      </c>
      <c r="D39" s="10" t="s">
        <v>83</v>
      </c>
      <c r="E39" s="10" t="s">
        <v>82</v>
      </c>
      <c r="F39" s="10"/>
      <c r="G39" s="10" t="s">
        <v>81</v>
      </c>
      <c r="H39" s="79" t="s">
        <v>80</v>
      </c>
      <c r="I39" s="4"/>
    </row>
    <row r="40" spans="1:30" ht="45.75" customHeight="1" x14ac:dyDescent="0.25">
      <c r="B40" s="10"/>
      <c r="C40" s="10" t="s">
        <v>79</v>
      </c>
      <c r="D40" s="64" t="s">
        <v>78</v>
      </c>
      <c r="E40" s="10" t="s">
        <v>77</v>
      </c>
      <c r="F40" s="10"/>
      <c r="G40" s="10" t="s">
        <v>49</v>
      </c>
      <c r="H40" s="79" t="s">
        <v>49</v>
      </c>
      <c r="I40" s="102"/>
    </row>
    <row r="41" spans="1:30" x14ac:dyDescent="0.25">
      <c r="B41" s="89">
        <f>6*0.3048</f>
        <v>1.8288000000000002</v>
      </c>
      <c r="C41" s="101">
        <f>13000/B41</f>
        <v>7108.4864391950996</v>
      </c>
      <c r="D41" s="39">
        <v>0.02</v>
      </c>
      <c r="E41" s="14">
        <f>C41*D41</f>
        <v>142.169728783902</v>
      </c>
      <c r="F41" s="14"/>
      <c r="G41" s="14">
        <f>15*1.31</f>
        <v>19.650000000000002</v>
      </c>
      <c r="H41" s="40">
        <f>5*1.31</f>
        <v>6.5500000000000007</v>
      </c>
      <c r="I41" s="49"/>
    </row>
    <row r="42" spans="1:30" x14ac:dyDescent="0.25">
      <c r="B42" s="52"/>
      <c r="D42" s="46"/>
    </row>
    <row r="43" spans="1:30" x14ac:dyDescent="0.25">
      <c r="A43" t="s">
        <v>55</v>
      </c>
      <c r="B43" s="90"/>
    </row>
    <row r="44" spans="1:30" x14ac:dyDescent="0.25">
      <c r="B44" s="90"/>
    </row>
    <row r="45" spans="1:30" x14ac:dyDescent="0.25">
      <c r="B45" t="s">
        <v>56</v>
      </c>
    </row>
    <row r="46" spans="1:30" x14ac:dyDescent="0.25">
      <c r="B46" s="91" t="s">
        <v>57</v>
      </c>
    </row>
    <row r="47" spans="1:30" x14ac:dyDescent="0.25">
      <c r="B47" t="s">
        <v>58</v>
      </c>
    </row>
    <row r="48" spans="1:30" x14ac:dyDescent="0.25">
      <c r="B48" t="s">
        <v>59</v>
      </c>
    </row>
    <row r="49" spans="2:6" x14ac:dyDescent="0.25">
      <c r="B49" t="s">
        <v>60</v>
      </c>
    </row>
    <row r="50" spans="2:6" x14ac:dyDescent="0.25">
      <c r="B50" t="s">
        <v>61</v>
      </c>
    </row>
    <row r="51" spans="2:6" x14ac:dyDescent="0.25">
      <c r="B51" t="s">
        <v>62</v>
      </c>
    </row>
    <row r="52" spans="2:6" x14ac:dyDescent="0.25">
      <c r="B52" t="s">
        <v>63</v>
      </c>
      <c r="E52" s="26"/>
      <c r="F52" s="26"/>
    </row>
    <row r="53" spans="2:6" x14ac:dyDescent="0.25">
      <c r="B53" t="s">
        <v>64</v>
      </c>
    </row>
    <row r="54" spans="2:6" x14ac:dyDescent="0.25">
      <c r="B54" t="s">
        <v>65</v>
      </c>
    </row>
    <row r="55" spans="2:6" x14ac:dyDescent="0.25">
      <c r="B55" s="92" t="s">
        <v>66</v>
      </c>
    </row>
    <row r="56" spans="2:6" x14ac:dyDescent="0.25">
      <c r="B56" s="92" t="s">
        <v>67</v>
      </c>
    </row>
    <row r="57" spans="2:6" x14ac:dyDescent="0.25">
      <c r="B57" t="s">
        <v>68</v>
      </c>
    </row>
    <row r="58" spans="2:6" x14ac:dyDescent="0.25">
      <c r="B58" t="s">
        <v>69</v>
      </c>
    </row>
    <row r="59" spans="2:6" x14ac:dyDescent="0.25">
      <c r="B59" s="100"/>
    </row>
    <row r="64" spans="2:6" x14ac:dyDescent="0.25">
      <c r="B64" s="93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1"/>
  <sheetViews>
    <sheetView showGridLines="0" zoomScale="70" zoomScaleNormal="70" workbookViewId="0">
      <selection activeCell="C18" sqref="C18"/>
    </sheetView>
  </sheetViews>
  <sheetFormatPr defaultRowHeight="15" x14ac:dyDescent="0.25"/>
  <cols>
    <col min="1" max="1" width="21" customWidth="1"/>
    <col min="2" max="2" width="44.28515625" customWidth="1"/>
    <col min="3" max="3" width="22" customWidth="1"/>
    <col min="4" max="4" width="19.42578125" customWidth="1"/>
    <col min="5" max="6" width="17.85546875" customWidth="1"/>
    <col min="7" max="7" width="21.5703125" customWidth="1"/>
    <col min="8" max="8" width="21.28515625" customWidth="1"/>
    <col min="9" max="9" width="54" bestFit="1" customWidth="1"/>
    <col min="10" max="10" width="18.28515625" customWidth="1"/>
    <col min="11" max="12" width="13.140625" customWidth="1"/>
    <col min="13" max="13" width="10.7109375" customWidth="1"/>
    <col min="14" max="14" width="14.28515625" customWidth="1"/>
    <col min="15" max="15" width="10.42578125" customWidth="1"/>
    <col min="16" max="16" width="11.5703125" bestFit="1" customWidth="1"/>
    <col min="17" max="17" width="19.5703125" customWidth="1"/>
    <col min="18" max="18" width="19" customWidth="1"/>
    <col min="19" max="19" width="12.5703125" bestFit="1" customWidth="1"/>
    <col min="20" max="20" width="12" customWidth="1"/>
    <col min="21" max="21" width="11.28515625" customWidth="1"/>
    <col min="24" max="24" width="18.7109375" customWidth="1"/>
    <col min="31" max="31" width="11.28515625" customWidth="1"/>
  </cols>
  <sheetData>
    <row r="1" spans="1:28" ht="20.25" x14ac:dyDescent="0.3">
      <c r="B1" s="175" t="s">
        <v>185</v>
      </c>
      <c r="C1" s="127"/>
      <c r="D1" s="126"/>
      <c r="E1" s="128"/>
      <c r="F1" s="129"/>
      <c r="G1" s="130"/>
      <c r="H1" s="130"/>
      <c r="I1" s="130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13" customFormat="1" ht="76.5" customHeight="1" x14ac:dyDescent="0.25">
      <c r="A2" s="173" t="s">
        <v>76</v>
      </c>
      <c r="B2" s="6" t="s">
        <v>0</v>
      </c>
      <c r="C2" s="6" t="s">
        <v>1</v>
      </c>
      <c r="D2" s="6" t="s">
        <v>2</v>
      </c>
      <c r="E2" s="7" t="s">
        <v>3</v>
      </c>
      <c r="F2" s="7" t="s">
        <v>4</v>
      </c>
      <c r="G2" s="8" t="s">
        <v>5</v>
      </c>
      <c r="H2" s="8" t="s">
        <v>6</v>
      </c>
      <c r="I2" s="9" t="s">
        <v>7</v>
      </c>
      <c r="J2" s="9" t="s">
        <v>8</v>
      </c>
      <c r="K2" s="4"/>
      <c r="L2" s="4"/>
      <c r="M2" s="4"/>
      <c r="N2" s="4"/>
      <c r="O2" s="4"/>
      <c r="P2" s="4"/>
      <c r="Q2" s="4"/>
      <c r="R2" s="4"/>
      <c r="S2" s="4"/>
      <c r="T2" s="11"/>
      <c r="U2" s="11"/>
      <c r="V2" s="11"/>
      <c r="W2" s="11"/>
      <c r="X2" s="11"/>
      <c r="Y2" s="11"/>
      <c r="Z2" s="12"/>
      <c r="AA2" s="11"/>
      <c r="AB2" s="11"/>
    </row>
    <row r="3" spans="1:28" s="13" customFormat="1" ht="48.75" customHeight="1" x14ac:dyDescent="0.25">
      <c r="A3" s="134" t="s">
        <v>10</v>
      </c>
      <c r="B3" s="6" t="s">
        <v>75</v>
      </c>
      <c r="C3" s="6" t="s">
        <v>14</v>
      </c>
      <c r="D3" s="99">
        <f xml:space="preserve"> (5000+10000)/2</f>
        <v>7500</v>
      </c>
      <c r="E3" s="99">
        <f>D3</f>
        <v>7500</v>
      </c>
      <c r="F3" s="35" t="s">
        <v>9</v>
      </c>
      <c r="G3" s="19" t="s">
        <v>11</v>
      </c>
      <c r="H3" s="94">
        <f>E3</f>
        <v>7500</v>
      </c>
      <c r="I3" s="9" t="s">
        <v>74</v>
      </c>
      <c r="J3" s="163">
        <f t="shared" ref="J3:J22" si="0">H3/$H$23</f>
        <v>4.1700885259753136E-2</v>
      </c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1"/>
      <c r="X3" s="11"/>
      <c r="Y3" s="11"/>
      <c r="Z3" s="12"/>
      <c r="AA3" s="11"/>
      <c r="AB3" s="11"/>
    </row>
    <row r="4" spans="1:28" ht="30" x14ac:dyDescent="0.25">
      <c r="A4" s="9"/>
      <c r="B4" s="131" t="s">
        <v>106</v>
      </c>
      <c r="C4" s="35">
        <v>155</v>
      </c>
      <c r="D4" s="35">
        <f>3.28*4.6</f>
        <v>15.087999999999997</v>
      </c>
      <c r="E4" s="35">
        <f>D4*C4</f>
        <v>2338.6399999999994</v>
      </c>
      <c r="F4" s="35" t="s">
        <v>9</v>
      </c>
      <c r="G4" s="19" t="s">
        <v>11</v>
      </c>
      <c r="H4" s="35">
        <f t="shared" ref="H4:H7" si="1">E4</f>
        <v>2338.6399999999994</v>
      </c>
      <c r="I4" s="9" t="s">
        <v>12</v>
      </c>
      <c r="J4" s="163">
        <f t="shared" si="0"/>
        <v>1.3003114440515873E-2</v>
      </c>
      <c r="K4" s="16"/>
      <c r="L4" s="96" t="s">
        <v>70</v>
      </c>
      <c r="M4" s="96" t="s">
        <v>54</v>
      </c>
      <c r="N4" s="23"/>
      <c r="Q4" s="20"/>
      <c r="R4" s="20"/>
      <c r="S4" s="21"/>
      <c r="T4" s="21"/>
      <c r="U4" s="21"/>
      <c r="V4" s="4"/>
      <c r="W4" s="4"/>
      <c r="X4" s="4"/>
      <c r="Y4" s="4"/>
      <c r="Z4" s="4"/>
      <c r="AA4" s="4"/>
      <c r="AB4" s="4"/>
    </row>
    <row r="5" spans="1:28" x14ac:dyDescent="0.25">
      <c r="A5" s="9"/>
      <c r="B5" s="7" t="s">
        <v>13</v>
      </c>
      <c r="C5" s="35" t="s">
        <v>14</v>
      </c>
      <c r="D5" s="35">
        <v>3934</v>
      </c>
      <c r="E5" s="35">
        <f>D5</f>
        <v>3934</v>
      </c>
      <c r="F5" s="35" t="s">
        <v>9</v>
      </c>
      <c r="G5" s="19" t="s">
        <v>11</v>
      </c>
      <c r="H5" s="35">
        <f t="shared" si="1"/>
        <v>3934</v>
      </c>
      <c r="I5" s="35" t="s">
        <v>15</v>
      </c>
      <c r="J5" s="163">
        <f t="shared" si="0"/>
        <v>2.1873504348249178E-2</v>
      </c>
      <c r="K5" s="16"/>
      <c r="L5" s="98">
        <v>1</v>
      </c>
      <c r="M5" s="98">
        <v>0.30480000000000002</v>
      </c>
      <c r="N5" s="23"/>
      <c r="Q5" s="20"/>
      <c r="R5" s="20"/>
      <c r="S5" s="21"/>
      <c r="T5" s="21"/>
      <c r="U5" s="21"/>
      <c r="V5" s="4"/>
      <c r="W5" s="4"/>
      <c r="X5" s="4"/>
      <c r="Y5" s="4"/>
      <c r="Z5" s="4"/>
      <c r="AA5" s="4"/>
      <c r="AB5" s="4"/>
    </row>
    <row r="6" spans="1:28" x14ac:dyDescent="0.25">
      <c r="A6" s="9"/>
      <c r="B6" s="7" t="s">
        <v>16</v>
      </c>
      <c r="C6" s="132">
        <f>85*0.405</f>
        <v>34.425000000000004</v>
      </c>
      <c r="D6" s="35">
        <f>8215.1*C6^0.435</f>
        <v>38295.965402906477</v>
      </c>
      <c r="E6" s="35">
        <f>D6</f>
        <v>38295.965402906477</v>
      </c>
      <c r="F6" s="35" t="s">
        <v>9</v>
      </c>
      <c r="G6" s="19" t="s">
        <v>11</v>
      </c>
      <c r="H6" s="35">
        <f t="shared" si="1"/>
        <v>38295.965402906477</v>
      </c>
      <c r="I6" s="35" t="s">
        <v>17</v>
      </c>
      <c r="J6" s="163">
        <f t="shared" si="0"/>
        <v>0.21293008789041051</v>
      </c>
      <c r="K6" s="16"/>
      <c r="L6" s="96">
        <v>500</v>
      </c>
      <c r="M6" s="96">
        <f>L6*M5</f>
        <v>152.4</v>
      </c>
      <c r="N6" s="27"/>
      <c r="Q6" s="20"/>
      <c r="R6" s="20"/>
      <c r="S6" s="21"/>
      <c r="T6" s="21"/>
      <c r="U6" s="21"/>
      <c r="V6" s="4"/>
      <c r="W6" s="4"/>
      <c r="X6" s="4"/>
      <c r="Y6" s="4"/>
      <c r="Z6" s="4"/>
      <c r="AA6" s="4"/>
      <c r="AB6" s="4"/>
    </row>
    <row r="7" spans="1:28" x14ac:dyDescent="0.25">
      <c r="A7" s="9"/>
      <c r="B7" s="7" t="s">
        <v>18</v>
      </c>
      <c r="C7" s="133">
        <v>1</v>
      </c>
      <c r="D7" s="35">
        <v>164.43</v>
      </c>
      <c r="E7" s="35">
        <f>D7</f>
        <v>164.43</v>
      </c>
      <c r="F7" s="35" t="s">
        <v>9</v>
      </c>
      <c r="G7" s="19" t="s">
        <v>11</v>
      </c>
      <c r="H7" s="35">
        <f t="shared" si="1"/>
        <v>164.43</v>
      </c>
      <c r="I7" s="35" t="s">
        <v>19</v>
      </c>
      <c r="J7" s="163">
        <f t="shared" si="0"/>
        <v>9.142502084348278E-4</v>
      </c>
      <c r="K7" s="16"/>
      <c r="L7" s="97">
        <v>1800</v>
      </c>
      <c r="M7" s="89">
        <f>L7*M5</f>
        <v>548.64</v>
      </c>
      <c r="N7" s="4"/>
      <c r="Q7" s="20"/>
      <c r="R7" s="20"/>
      <c r="S7" s="21"/>
      <c r="T7" s="21"/>
      <c r="U7" s="21"/>
      <c r="V7" s="4"/>
      <c r="W7" s="4"/>
      <c r="X7" s="4"/>
      <c r="Y7" s="4"/>
      <c r="Z7" s="4"/>
      <c r="AA7" s="4"/>
      <c r="AB7" s="4"/>
    </row>
    <row r="8" spans="1:28" x14ac:dyDescent="0.25">
      <c r="A8" s="9"/>
      <c r="B8" s="7" t="s">
        <v>20</v>
      </c>
      <c r="C8" s="133">
        <v>1</v>
      </c>
      <c r="D8" s="35">
        <v>596.02</v>
      </c>
      <c r="E8" s="35">
        <f>D8</f>
        <v>596.02</v>
      </c>
      <c r="F8" s="35" t="s">
        <v>9</v>
      </c>
      <c r="G8" s="19" t="s">
        <v>11</v>
      </c>
      <c r="H8" s="133">
        <f>E8</f>
        <v>596.02</v>
      </c>
      <c r="I8" s="35" t="s">
        <v>19</v>
      </c>
      <c r="J8" s="163">
        <f t="shared" si="0"/>
        <v>3.3139415510024086E-3</v>
      </c>
      <c r="K8" s="16"/>
      <c r="L8" s="97">
        <f>M8/M5</f>
        <v>508.53018372703411</v>
      </c>
      <c r="M8" s="89">
        <v>155</v>
      </c>
      <c r="N8" s="29"/>
      <c r="O8" s="29"/>
      <c r="P8" s="30"/>
      <c r="Q8" s="4"/>
      <c r="R8" s="4"/>
      <c r="S8" s="4"/>
      <c r="T8" s="4"/>
      <c r="U8" s="4"/>
    </row>
    <row r="9" spans="1:28" x14ac:dyDescent="0.25">
      <c r="A9" s="9"/>
      <c r="B9" s="134" t="s">
        <v>21</v>
      </c>
      <c r="C9" s="135"/>
      <c r="D9" s="135"/>
      <c r="E9" s="135">
        <f>SUM(E3:E8)</f>
        <v>52829.055402906473</v>
      </c>
      <c r="F9" s="135" t="s">
        <v>9</v>
      </c>
      <c r="G9" s="32" t="s">
        <v>11</v>
      </c>
      <c r="H9" s="135">
        <f>SUM(H3:H8)</f>
        <v>52829.055402906473</v>
      </c>
      <c r="I9" s="135" t="s">
        <v>22</v>
      </c>
      <c r="J9" s="164">
        <f t="shared" si="0"/>
        <v>0.29373578369836595</v>
      </c>
      <c r="K9" s="16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8" ht="30" x14ac:dyDescent="0.25">
      <c r="A10" s="9" t="s">
        <v>23</v>
      </c>
      <c r="B10" s="34" t="s">
        <v>24</v>
      </c>
      <c r="C10" s="35">
        <v>3</v>
      </c>
      <c r="D10" s="35">
        <f>D5</f>
        <v>3934</v>
      </c>
      <c r="E10" s="35">
        <f>D10*(1+F10)^15+D10*(1+F10)^30+D10*(1+F10)^45</f>
        <v>30554.692419623898</v>
      </c>
      <c r="F10" s="36">
        <v>0.03</v>
      </c>
      <c r="G10" s="37">
        <f>1/(1+F10)^50</f>
        <v>0.22810707978975397</v>
      </c>
      <c r="H10" s="35">
        <f>G10*E10</f>
        <v>6969.7416617145391</v>
      </c>
      <c r="I10" s="35" t="s">
        <v>22</v>
      </c>
      <c r="J10" s="163">
        <f t="shared" si="0"/>
        <v>3.8752586310037224E-2</v>
      </c>
      <c r="K10" s="16"/>
      <c r="L10" s="4"/>
      <c r="M10" s="38"/>
      <c r="N10" s="38"/>
      <c r="O10" s="38"/>
      <c r="P10" s="4"/>
      <c r="Q10" s="4"/>
      <c r="R10" s="4"/>
      <c r="S10" s="4"/>
      <c r="T10" s="4"/>
      <c r="U10" s="4"/>
    </row>
    <row r="11" spans="1:28" ht="30" x14ac:dyDescent="0.25">
      <c r="A11" s="166"/>
      <c r="B11" s="7" t="s">
        <v>25</v>
      </c>
      <c r="C11" s="35">
        <v>2</v>
      </c>
      <c r="D11" s="35">
        <f>D6</f>
        <v>38295.965402906477</v>
      </c>
      <c r="E11" s="35">
        <f>D11*(1+F11)^20+D11*(1+F11)^40</f>
        <v>194089.65978207043</v>
      </c>
      <c r="F11" s="36">
        <v>0.03</v>
      </c>
      <c r="G11" s="37">
        <f t="shared" ref="G11:G12" si="2">1/(1+F11)^50</f>
        <v>0.22810707978975397</v>
      </c>
      <c r="H11" s="35">
        <f>G11*E11</f>
        <v>44273.22551027494</v>
      </c>
      <c r="I11" s="35" t="s">
        <v>22</v>
      </c>
      <c r="J11" s="163">
        <f t="shared" si="0"/>
        <v>0.24616435961108679</v>
      </c>
      <c r="K11" s="16"/>
      <c r="L11" s="4"/>
      <c r="M11" s="21"/>
      <c r="N11" s="21"/>
      <c r="O11" s="21"/>
      <c r="P11" s="21"/>
      <c r="Q11" s="4"/>
      <c r="R11" s="4"/>
      <c r="S11" s="4"/>
      <c r="T11" s="4"/>
      <c r="U11" s="4"/>
    </row>
    <row r="12" spans="1:28" ht="45" x14ac:dyDescent="0.25">
      <c r="A12" s="9"/>
      <c r="B12" s="7" t="s">
        <v>26</v>
      </c>
      <c r="C12" s="35">
        <v>6</v>
      </c>
      <c r="D12" s="35">
        <f>D7</f>
        <v>164.43</v>
      </c>
      <c r="E12" s="35">
        <f>D12*(1+F12)^7.5+D12*(1+F12)^15+D12*(1+F12)^22.5+D12*(1+F12)^30+D12*(1+F12)^37.5+D12*(1+F12)^45</f>
        <v>2300.2635812345779</v>
      </c>
      <c r="F12" s="36">
        <v>0.03</v>
      </c>
      <c r="G12" s="37">
        <f t="shared" si="2"/>
        <v>0.22810707978975397</v>
      </c>
      <c r="H12" s="35">
        <f>G12*E12</f>
        <v>524.70640826214105</v>
      </c>
      <c r="I12" s="35" t="s">
        <v>22</v>
      </c>
      <c r="J12" s="163">
        <f t="shared" si="0"/>
        <v>2.9174295634662307E-3</v>
      </c>
      <c r="K12" s="16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8" ht="45" x14ac:dyDescent="0.25">
      <c r="A13" s="165">
        <f>D16*10/20</f>
        <v>19147.982701453238</v>
      </c>
      <c r="B13" s="7" t="s">
        <v>27</v>
      </c>
      <c r="C13" s="133">
        <v>6</v>
      </c>
      <c r="D13" s="35">
        <f>D8</f>
        <v>596.02</v>
      </c>
      <c r="E13" s="35">
        <f>D13*(1+F13)^7.5+D13*(1+F13)^15+D13*(1+F13)^22.5+D13*(1+F13)^30+D13*(1+F13)^37.5+D13*(1+F13)^45</f>
        <v>8337.9133958975435</v>
      </c>
      <c r="F13" s="36">
        <v>0.03</v>
      </c>
      <c r="G13" s="37">
        <f>1/(1+F13)^50</f>
        <v>0.22810707978975397</v>
      </c>
      <c r="H13" s="35">
        <f>G13*E13</f>
        <v>1901.9370762780595</v>
      </c>
      <c r="I13" s="35" t="s">
        <v>22</v>
      </c>
      <c r="J13" s="163">
        <f t="shared" si="0"/>
        <v>1.0574994638552229E-2</v>
      </c>
      <c r="K13" s="16"/>
      <c r="L13" s="4"/>
      <c r="M13" s="17"/>
      <c r="N13" s="29"/>
      <c r="O13" s="29"/>
      <c r="P13" s="30"/>
      <c r="Q13" s="4"/>
      <c r="R13" s="4"/>
      <c r="S13" s="4"/>
      <c r="T13" s="4"/>
      <c r="U13" s="4"/>
    </row>
    <row r="14" spans="1:28" x14ac:dyDescent="0.25">
      <c r="A14" s="166"/>
      <c r="B14" s="136" t="s">
        <v>28</v>
      </c>
      <c r="C14" s="135"/>
      <c r="D14" s="135"/>
      <c r="E14" s="135">
        <f>SUM(E10:E13)</f>
        <v>235282.52917882646</v>
      </c>
      <c r="F14" s="137" t="s">
        <v>9</v>
      </c>
      <c r="G14" s="32" t="s">
        <v>22</v>
      </c>
      <c r="H14" s="135">
        <f>SUM(H10:H13)</f>
        <v>53669.610656529687</v>
      </c>
      <c r="I14" s="135" t="s">
        <v>22</v>
      </c>
      <c r="J14" s="164">
        <f t="shared" si="0"/>
        <v>0.2984093701231425</v>
      </c>
      <c r="K14" s="16"/>
      <c r="L14" s="43"/>
      <c r="M14" s="4"/>
      <c r="N14" s="4"/>
      <c r="O14" s="4"/>
      <c r="P14" s="4"/>
      <c r="Q14" s="4"/>
      <c r="R14" s="4"/>
      <c r="S14" s="4"/>
      <c r="T14" s="4"/>
      <c r="U14" s="4"/>
    </row>
    <row r="15" spans="1:28" x14ac:dyDescent="0.25">
      <c r="A15" s="9" t="s">
        <v>29</v>
      </c>
      <c r="B15" s="44" t="s">
        <v>30</v>
      </c>
      <c r="C15" s="35">
        <v>0.66666666666666663</v>
      </c>
      <c r="D15" s="35">
        <f>D10</f>
        <v>3934</v>
      </c>
      <c r="E15" s="35">
        <f>(10/15)*D15*(1+F15)^50</f>
        <v>11497.524185062452</v>
      </c>
      <c r="F15" s="36">
        <v>0.03</v>
      </c>
      <c r="G15" s="37">
        <f>1/(1+F15)^50</f>
        <v>0.22810707978975397</v>
      </c>
      <c r="H15" s="35">
        <f>E15*G15</f>
        <v>2622.6666666666665</v>
      </c>
      <c r="I15" s="35" t="s">
        <v>31</v>
      </c>
      <c r="J15" s="163">
        <f t="shared" si="0"/>
        <v>1.4582336232166119E-2</v>
      </c>
      <c r="K15" s="16"/>
      <c r="L15" s="4"/>
      <c r="M15" s="38"/>
      <c r="N15" s="38"/>
      <c r="O15" s="38"/>
      <c r="P15" s="4"/>
      <c r="Q15" s="4"/>
      <c r="R15" s="4"/>
      <c r="S15" s="4"/>
      <c r="T15" s="4"/>
      <c r="U15" s="4"/>
    </row>
    <row r="16" spans="1:28" x14ac:dyDescent="0.25">
      <c r="A16" s="166"/>
      <c r="B16" s="45" t="s">
        <v>32</v>
      </c>
      <c r="C16" s="35">
        <v>0.5</v>
      </c>
      <c r="D16" s="35">
        <f>D11</f>
        <v>38295.965402906477</v>
      </c>
      <c r="E16" s="35">
        <f>(10/20)*D16*(1+F16)^50</f>
        <v>83942.956611000016</v>
      </c>
      <c r="F16" s="36">
        <v>0.03</v>
      </c>
      <c r="G16" s="37">
        <f t="shared" ref="G16:G18" si="3">1/(1+F16)^50</f>
        <v>0.22810707978975397</v>
      </c>
      <c r="H16" s="35">
        <f>E16*G16</f>
        <v>19147.982701453235</v>
      </c>
      <c r="I16" s="35" t="s">
        <v>31</v>
      </c>
      <c r="J16" s="163">
        <f t="shared" si="0"/>
        <v>0.10646504394520524</v>
      </c>
      <c r="K16" s="16"/>
      <c r="L16" s="43"/>
      <c r="M16" s="21"/>
      <c r="N16" s="21"/>
      <c r="O16" s="21"/>
      <c r="P16" s="21"/>
      <c r="Q16" s="4"/>
      <c r="R16" s="4"/>
      <c r="S16" s="4"/>
      <c r="T16" s="4"/>
      <c r="U16" s="4"/>
    </row>
    <row r="17" spans="1:22" x14ac:dyDescent="0.25">
      <c r="A17" s="166"/>
      <c r="B17" s="7" t="s">
        <v>33</v>
      </c>
      <c r="C17" s="35">
        <f>2.5/7.5</f>
        <v>0.33333333333333331</v>
      </c>
      <c r="D17" s="35">
        <f>D12</f>
        <v>164.43</v>
      </c>
      <c r="E17" s="35">
        <f>(2.5/7.5)*D17*(1+F17)^50</f>
        <v>240.28188888533541</v>
      </c>
      <c r="F17" s="36">
        <v>0.03</v>
      </c>
      <c r="G17" s="37">
        <f t="shared" si="3"/>
        <v>0.22810707978975397</v>
      </c>
      <c r="H17" s="35">
        <f t="shared" ref="H17:H18" si="4">E17*G17</f>
        <v>54.81</v>
      </c>
      <c r="I17" s="35" t="s">
        <v>31</v>
      </c>
      <c r="J17" s="163">
        <f t="shared" si="0"/>
        <v>3.0475006947827595E-4</v>
      </c>
      <c r="K17" s="16"/>
      <c r="L17" s="43"/>
      <c r="M17" s="4"/>
      <c r="N17" s="4"/>
      <c r="O17" s="4"/>
      <c r="P17" s="4"/>
      <c r="Q17" s="4"/>
      <c r="R17" s="4"/>
      <c r="S17" s="4"/>
      <c r="T17" s="4"/>
      <c r="U17" s="4"/>
    </row>
    <row r="18" spans="1:22" x14ac:dyDescent="0.25">
      <c r="A18" s="166"/>
      <c r="B18" s="7" t="s">
        <v>34</v>
      </c>
      <c r="C18" s="35">
        <f>2.5/7.5</f>
        <v>0.33333333333333331</v>
      </c>
      <c r="D18" s="35">
        <f>D13</f>
        <v>596.02</v>
      </c>
      <c r="E18" s="35">
        <f>(2.5/7.5)*D18*(1+F18)^50</f>
        <v>870.96522175659914</v>
      </c>
      <c r="F18" s="36">
        <v>0.03</v>
      </c>
      <c r="G18" s="37">
        <f t="shared" si="3"/>
        <v>0.22810707978975397</v>
      </c>
      <c r="H18" s="35">
        <f t="shared" si="4"/>
        <v>198.67333333333332</v>
      </c>
      <c r="I18" s="35" t="s">
        <v>31</v>
      </c>
      <c r="J18" s="163">
        <f t="shared" si="0"/>
        <v>1.1046471836674695E-3</v>
      </c>
      <c r="K18" s="16"/>
      <c r="L18" s="43"/>
      <c r="M18" s="4"/>
      <c r="N18" s="4"/>
      <c r="O18" s="4"/>
      <c r="P18" s="4"/>
      <c r="Q18" s="21"/>
      <c r="R18" s="21"/>
      <c r="S18" s="4"/>
      <c r="T18" s="4"/>
      <c r="U18" s="46"/>
      <c r="V18" s="47"/>
    </row>
    <row r="19" spans="1:22" s="52" customFormat="1" x14ac:dyDescent="0.25">
      <c r="A19" s="134"/>
      <c r="B19" s="134" t="s">
        <v>35</v>
      </c>
      <c r="C19" s="135"/>
      <c r="D19" s="135"/>
      <c r="E19" s="135">
        <f>SUM(E15:E18)</f>
        <v>96551.727906704415</v>
      </c>
      <c r="F19" s="137" t="s">
        <v>9</v>
      </c>
      <c r="G19" s="32" t="s">
        <v>22</v>
      </c>
      <c r="H19" s="135">
        <f>SUM(H15:H18)</f>
        <v>22024.132701453236</v>
      </c>
      <c r="I19" s="135" t="s">
        <v>22</v>
      </c>
      <c r="J19" s="164">
        <f t="shared" si="0"/>
        <v>0.12245677743051711</v>
      </c>
      <c r="K19" s="16"/>
      <c r="L19" s="48"/>
      <c r="M19" s="17"/>
      <c r="N19" s="29"/>
      <c r="O19" s="29"/>
      <c r="P19" s="30"/>
      <c r="Q19" s="49"/>
      <c r="R19" s="49"/>
      <c r="S19" s="27"/>
      <c r="T19" s="27"/>
      <c r="U19" s="50"/>
      <c r="V19" s="51"/>
    </row>
    <row r="20" spans="1:22" ht="19.5" customHeight="1" x14ac:dyDescent="0.25">
      <c r="A20" s="136" t="s">
        <v>36</v>
      </c>
      <c r="B20" s="138" t="s">
        <v>37</v>
      </c>
      <c r="C20" s="139" t="s">
        <v>38</v>
      </c>
      <c r="D20" s="171">
        <f>0.017</f>
        <v>1.7000000000000001E-2</v>
      </c>
      <c r="E20" s="139">
        <f>E9*D20</f>
        <v>898.09394184941016</v>
      </c>
      <c r="F20" s="36">
        <v>0.03</v>
      </c>
      <c r="G20" s="53">
        <f t="shared" ref="G20:G21" si="5">((1+F20)^50-1)/(0.03*(1+F20)^50)</f>
        <v>25.7297640070082</v>
      </c>
      <c r="H20" s="35">
        <f>E20*G20</f>
        <v>23107.745179909067</v>
      </c>
      <c r="I20" s="139" t="s">
        <v>39</v>
      </c>
      <c r="J20" s="163">
        <f t="shared" si="0"/>
        <v>0.12848179071453356</v>
      </c>
      <c r="K20" s="16"/>
      <c r="L20" s="43"/>
      <c r="M20" s="21"/>
      <c r="N20" s="21"/>
      <c r="O20" s="21"/>
      <c r="P20" s="21"/>
      <c r="Q20" s="21"/>
      <c r="R20" s="21"/>
      <c r="S20" s="21"/>
      <c r="T20" s="4"/>
      <c r="U20" s="46"/>
    </row>
    <row r="21" spans="1:22" ht="34.5" customHeight="1" x14ac:dyDescent="0.25">
      <c r="A21" s="9"/>
      <c r="B21" s="34" t="s">
        <v>40</v>
      </c>
      <c r="C21" s="140">
        <v>0.3</v>
      </c>
      <c r="D21" s="140">
        <v>0.10299999999999999</v>
      </c>
      <c r="E21" s="139">
        <f>D21*C21*150*606</f>
        <v>2808.81</v>
      </c>
      <c r="F21" s="36">
        <v>0.03</v>
      </c>
      <c r="G21" s="53">
        <f t="shared" si="5"/>
        <v>25.7297640070082</v>
      </c>
      <c r="H21" s="35">
        <f>E21*G21</f>
        <v>72270.018440524698</v>
      </c>
      <c r="I21" s="139" t="s">
        <v>41</v>
      </c>
      <c r="J21" s="163">
        <f t="shared" si="0"/>
        <v>0.40182983289447521</v>
      </c>
      <c r="K21" s="16"/>
      <c r="L21" s="4"/>
      <c r="M21" s="4"/>
      <c r="N21" s="56"/>
      <c r="O21" s="4"/>
      <c r="P21" s="21"/>
      <c r="Q21" s="21"/>
      <c r="R21" s="4"/>
      <c r="S21" s="4"/>
      <c r="T21" s="4"/>
      <c r="U21" s="4"/>
    </row>
    <row r="22" spans="1:22" ht="30.75" customHeight="1" x14ac:dyDescent="0.25">
      <c r="A22" s="9"/>
      <c r="B22" s="141" t="s">
        <v>42</v>
      </c>
      <c r="C22" s="135"/>
      <c r="D22" s="135"/>
      <c r="E22" s="135">
        <f>SUM(E20:E21)</f>
        <v>3706.9039418494103</v>
      </c>
      <c r="F22" s="142"/>
      <c r="G22" s="142"/>
      <c r="H22" s="135">
        <f>SUM(H20:H21)</f>
        <v>95377.763620433761</v>
      </c>
      <c r="I22" s="135" t="s">
        <v>22</v>
      </c>
      <c r="J22" s="164">
        <f t="shared" si="0"/>
        <v>0.53031162360900874</v>
      </c>
      <c r="K22" s="16"/>
      <c r="L22" s="4"/>
      <c r="M22" s="17"/>
      <c r="N22" s="29"/>
      <c r="O22" s="29"/>
      <c r="P22" s="30"/>
      <c r="Q22" s="49"/>
      <c r="R22" s="49"/>
      <c r="S22" s="27"/>
      <c r="T22" s="4"/>
      <c r="U22" s="4"/>
    </row>
    <row r="23" spans="1:22" x14ac:dyDescent="0.25">
      <c r="A23" s="9"/>
      <c r="B23" s="160" t="s">
        <v>43</v>
      </c>
      <c r="C23" s="161"/>
      <c r="D23" s="161"/>
      <c r="E23" s="161">
        <f>E9+E14-E19+E22</f>
        <v>195266.76061687793</v>
      </c>
      <c r="F23" s="161"/>
      <c r="G23" s="161"/>
      <c r="H23" s="161">
        <f>H9+H14-H19+H22</f>
        <v>179852.29697841668</v>
      </c>
      <c r="I23" s="174" t="s">
        <v>22</v>
      </c>
      <c r="J23" s="164">
        <f>J9+J14-J19+J22</f>
        <v>1</v>
      </c>
      <c r="K23" s="16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2" s="52" customFormat="1" ht="30" x14ac:dyDescent="0.25">
      <c r="A24" s="134"/>
      <c r="B24" s="8" t="s">
        <v>44</v>
      </c>
      <c r="C24" s="134" t="s">
        <v>45</v>
      </c>
      <c r="D24" s="134" t="s">
        <v>45</v>
      </c>
      <c r="E24" s="134" t="s">
        <v>45</v>
      </c>
      <c r="F24" s="134" t="s">
        <v>45</v>
      </c>
      <c r="G24" s="134" t="s">
        <v>45</v>
      </c>
      <c r="H24" s="145">
        <f>H23/G28</f>
        <v>3.9571462481499821E-2</v>
      </c>
      <c r="I24" s="174" t="s">
        <v>22</v>
      </c>
      <c r="J24" s="170">
        <f>MAX(J4:J22)</f>
        <v>0.53031162360900874</v>
      </c>
      <c r="K24" s="67"/>
      <c r="L24" s="27"/>
      <c r="M24" s="38"/>
      <c r="N24" s="38"/>
      <c r="O24" s="38"/>
      <c r="P24" s="38"/>
      <c r="Q24" s="38"/>
      <c r="R24" s="38"/>
      <c r="S24" s="4"/>
      <c r="T24" s="27"/>
      <c r="U24" s="27"/>
    </row>
    <row r="25" spans="1:22" ht="15.75" thickBot="1" x14ac:dyDescent="0.3">
      <c r="B25" s="147" t="s">
        <v>47</v>
      </c>
      <c r="C25" s="147"/>
      <c r="D25" s="147"/>
      <c r="E25" s="147"/>
      <c r="F25" s="147"/>
      <c r="G25" s="147"/>
      <c r="H25" s="147"/>
      <c r="I25" s="148"/>
      <c r="J25" s="4"/>
      <c r="K25" s="71"/>
      <c r="L25" s="72"/>
      <c r="M25" s="4"/>
      <c r="N25" s="21"/>
      <c r="O25" s="21"/>
      <c r="P25" s="21"/>
      <c r="Q25" s="21"/>
      <c r="R25" s="21"/>
      <c r="S25" s="21"/>
      <c r="T25" s="21"/>
      <c r="U25" s="4"/>
    </row>
    <row r="26" spans="1:22" ht="30" x14ac:dyDescent="0.25">
      <c r="B26" s="149" t="s">
        <v>48</v>
      </c>
      <c r="C26" s="150" t="s">
        <v>49</v>
      </c>
      <c r="D26" s="151" t="s">
        <v>50</v>
      </c>
      <c r="E26" s="8" t="s">
        <v>51</v>
      </c>
      <c r="F26" s="8"/>
      <c r="G26" s="8" t="s">
        <v>52</v>
      </c>
      <c r="H26" s="9"/>
      <c r="I26" s="127"/>
      <c r="J26" s="4"/>
      <c r="K26" s="71"/>
      <c r="L26" s="72"/>
      <c r="M26" s="4"/>
      <c r="N26" s="4"/>
      <c r="O26" s="4"/>
      <c r="P26" s="4"/>
      <c r="Q26" s="4"/>
      <c r="R26" s="4"/>
      <c r="S26" s="4"/>
      <c r="T26" s="4"/>
      <c r="U26" s="4"/>
    </row>
    <row r="27" spans="1:22" s="69" customFormat="1" x14ac:dyDescent="0.25">
      <c r="B27" s="152">
        <v>5</v>
      </c>
      <c r="C27" s="153">
        <f>B27/1000</f>
        <v>5.0000000000000001E-3</v>
      </c>
      <c r="D27" s="154" t="s">
        <v>53</v>
      </c>
      <c r="E27" s="9"/>
      <c r="F27" s="9"/>
      <c r="G27" s="9"/>
      <c r="H27" s="155" t="s">
        <v>49</v>
      </c>
      <c r="I27" s="156"/>
      <c r="J27" s="81"/>
    </row>
    <row r="28" spans="1:22" ht="15.75" thickBot="1" x14ac:dyDescent="0.3">
      <c r="B28" s="157">
        <f>100</f>
        <v>100</v>
      </c>
      <c r="C28" s="158">
        <f>100/1000</f>
        <v>0.1</v>
      </c>
      <c r="D28" s="154">
        <v>606</v>
      </c>
      <c r="E28" s="9">
        <f>D28*150</f>
        <v>90900</v>
      </c>
      <c r="F28" s="9"/>
      <c r="G28" s="9">
        <f>E28*50</f>
        <v>4545000</v>
      </c>
      <c r="H28" s="159">
        <f>H23/G28</f>
        <v>3.9571462481499821E-2</v>
      </c>
      <c r="I28" s="130"/>
      <c r="J28" s="71"/>
    </row>
    <row r="29" spans="1:22" ht="15.75" customHeight="1" x14ac:dyDescent="0.25">
      <c r="B29" s="127"/>
      <c r="C29" s="127"/>
      <c r="D29" s="127"/>
      <c r="E29" s="127"/>
      <c r="F29" s="127"/>
      <c r="G29" s="127"/>
      <c r="H29" s="127"/>
      <c r="I29" s="127"/>
      <c r="J29" s="71"/>
    </row>
    <row r="30" spans="1:22" x14ac:dyDescent="0.25">
      <c r="E30" s="88"/>
      <c r="I30" s="47"/>
    </row>
    <row r="31" spans="1:22" x14ac:dyDescent="0.25">
      <c r="D31" s="71"/>
      <c r="E31" s="47"/>
      <c r="F31" s="47"/>
      <c r="H31" s="69"/>
    </row>
    <row r="32" spans="1:22" ht="21" x14ac:dyDescent="0.35">
      <c r="C32" s="85"/>
      <c r="E32" s="47"/>
      <c r="F32" s="47"/>
    </row>
    <row r="34" spans="1:30" x14ac:dyDescent="0.25">
      <c r="B34" s="4"/>
      <c r="C34" s="4"/>
      <c r="D34" s="4"/>
      <c r="E34" s="4"/>
      <c r="F34" s="4"/>
      <c r="I34" s="80"/>
      <c r="J34" s="80"/>
      <c r="K34" s="80"/>
      <c r="L34" s="80"/>
      <c r="M34" s="80"/>
      <c r="Y34" s="4"/>
      <c r="AD34" s="4"/>
    </row>
    <row r="35" spans="1:30" x14ac:dyDescent="0.25">
      <c r="I35" s="86"/>
      <c r="J35" s="80"/>
      <c r="K35" s="80"/>
      <c r="L35" s="80"/>
      <c r="M35" s="80"/>
      <c r="N35" s="4"/>
      <c r="Y35" s="4"/>
      <c r="AD35" s="4"/>
    </row>
    <row r="36" spans="1:30" x14ac:dyDescent="0.25">
      <c r="D36" s="87"/>
    </row>
    <row r="37" spans="1:30" x14ac:dyDescent="0.25">
      <c r="B37" s="52"/>
      <c r="D37" s="46"/>
    </row>
    <row r="38" spans="1:30" x14ac:dyDescent="0.25">
      <c r="A38" t="s">
        <v>55</v>
      </c>
      <c r="B38" s="90"/>
    </row>
    <row r="39" spans="1:30" x14ac:dyDescent="0.25">
      <c r="B39" s="90"/>
    </row>
    <row r="40" spans="1:30" x14ac:dyDescent="0.25">
      <c r="B40" t="s">
        <v>56</v>
      </c>
    </row>
    <row r="41" spans="1:30" x14ac:dyDescent="0.25">
      <c r="B41" s="91" t="s">
        <v>57</v>
      </c>
    </row>
    <row r="42" spans="1:30" x14ac:dyDescent="0.25">
      <c r="B42" t="s">
        <v>58</v>
      </c>
    </row>
    <row r="43" spans="1:30" x14ac:dyDescent="0.25">
      <c r="B43" t="s">
        <v>59</v>
      </c>
    </row>
    <row r="44" spans="1:30" x14ac:dyDescent="0.25">
      <c r="B44" t="s">
        <v>60</v>
      </c>
    </row>
    <row r="45" spans="1:30" x14ac:dyDescent="0.25">
      <c r="B45" t="s">
        <v>61</v>
      </c>
    </row>
    <row r="46" spans="1:30" x14ac:dyDescent="0.25">
      <c r="B46" t="s">
        <v>62</v>
      </c>
    </row>
    <row r="47" spans="1:30" x14ac:dyDescent="0.25">
      <c r="B47" t="s">
        <v>63</v>
      </c>
      <c r="E47" s="26"/>
      <c r="F47" s="26"/>
    </row>
    <row r="48" spans="1:30" x14ac:dyDescent="0.25">
      <c r="B48" t="s">
        <v>64</v>
      </c>
    </row>
    <row r="49" spans="1:2" x14ac:dyDescent="0.25">
      <c r="B49" t="s">
        <v>65</v>
      </c>
    </row>
    <row r="50" spans="1:2" x14ac:dyDescent="0.25">
      <c r="B50" s="92" t="s">
        <v>66</v>
      </c>
    </row>
    <row r="51" spans="1:2" x14ac:dyDescent="0.25">
      <c r="B51" s="92" t="s">
        <v>67</v>
      </c>
    </row>
    <row r="52" spans="1:2" x14ac:dyDescent="0.25">
      <c r="B52" t="s">
        <v>68</v>
      </c>
    </row>
    <row r="53" spans="1:2" x14ac:dyDescent="0.25">
      <c r="B53" t="s">
        <v>69</v>
      </c>
    </row>
    <row r="54" spans="1:2" x14ac:dyDescent="0.25">
      <c r="B54" t="s">
        <v>71</v>
      </c>
    </row>
    <row r="59" spans="1:2" x14ac:dyDescent="0.25">
      <c r="A59" t="s">
        <v>73</v>
      </c>
      <c r="B59" s="93" t="s">
        <v>72</v>
      </c>
    </row>
    <row r="60" spans="1:2" x14ac:dyDescent="0.25">
      <c r="A60">
        <v>1</v>
      </c>
      <c r="B60">
        <v>25.4</v>
      </c>
    </row>
    <row r="61" spans="1:2" x14ac:dyDescent="0.25">
      <c r="A61">
        <v>4</v>
      </c>
      <c r="B61">
        <f>A61*B60</f>
        <v>101.6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3"/>
  <sheetViews>
    <sheetView showGridLines="0" topLeftCell="B1" zoomScaleNormal="100" workbookViewId="0">
      <selection activeCell="C26" sqref="C26"/>
    </sheetView>
  </sheetViews>
  <sheetFormatPr defaultRowHeight="15" x14ac:dyDescent="0.25"/>
  <cols>
    <col min="1" max="1" width="38.140625" bestFit="1" customWidth="1"/>
    <col min="2" max="2" width="34.140625" customWidth="1"/>
    <col min="3" max="3" width="28.28515625" bestFit="1" customWidth="1"/>
    <col min="4" max="4" width="33.85546875" bestFit="1" customWidth="1"/>
    <col min="5" max="5" width="12.42578125" customWidth="1"/>
    <col min="7" max="7" width="15.85546875" bestFit="1" customWidth="1"/>
    <col min="8" max="8" width="10.42578125" customWidth="1"/>
    <col min="11" max="11" width="12.7109375" customWidth="1"/>
    <col min="12" max="12" width="12.42578125" customWidth="1"/>
    <col min="13" max="13" width="9.85546875" customWidth="1"/>
    <col min="14" max="14" width="12.7109375" customWidth="1"/>
    <col min="15" max="15" width="11.42578125" customWidth="1"/>
    <col min="16" max="16" width="12" bestFit="1" customWidth="1"/>
    <col min="17" max="17" width="26.85546875" bestFit="1" customWidth="1"/>
    <col min="18" max="18" width="13.28515625" customWidth="1"/>
    <col min="19" max="19" width="12.28515625" customWidth="1"/>
    <col min="20" max="20" width="16.42578125" customWidth="1"/>
    <col min="21" max="21" width="17.85546875" bestFit="1" customWidth="1"/>
    <col min="22" max="22" width="12" customWidth="1"/>
    <col min="23" max="23" width="12.7109375" customWidth="1"/>
    <col min="24" max="24" width="13.140625" customWidth="1"/>
    <col min="26" max="26" width="21.5703125" customWidth="1"/>
    <col min="33" max="33" width="16.5703125" customWidth="1"/>
  </cols>
  <sheetData>
    <row r="1" spans="1:33" ht="85.5" customHeight="1" x14ac:dyDescent="0.45">
      <c r="A1" s="176" t="s">
        <v>113</v>
      </c>
      <c r="C1" s="177" t="s">
        <v>114</v>
      </c>
      <c r="D1" s="177" t="s">
        <v>115</v>
      </c>
      <c r="E1" s="233" t="s">
        <v>116</v>
      </c>
      <c r="F1" s="234"/>
      <c r="G1" s="234"/>
      <c r="H1" s="234"/>
      <c r="I1" s="234"/>
      <c r="J1" s="234"/>
      <c r="K1" s="235" t="s">
        <v>117</v>
      </c>
      <c r="L1" s="236"/>
      <c r="M1" s="236"/>
      <c r="N1" s="236"/>
      <c r="O1" s="236"/>
      <c r="P1" s="237"/>
      <c r="Q1" s="10"/>
      <c r="R1" s="238" t="s">
        <v>118</v>
      </c>
      <c r="S1" s="239"/>
      <c r="T1" s="239"/>
      <c r="U1" s="239"/>
      <c r="V1" s="239"/>
      <c r="W1" s="240"/>
      <c r="X1" s="64" t="s">
        <v>119</v>
      </c>
      <c r="AA1" s="241" t="s">
        <v>120</v>
      </c>
      <c r="AB1" s="242"/>
      <c r="AC1" s="242"/>
      <c r="AD1" s="242"/>
      <c r="AE1" s="242"/>
      <c r="AF1" s="242"/>
      <c r="AG1" s="178" t="s">
        <v>121</v>
      </c>
    </row>
    <row r="2" spans="1:33" x14ac:dyDescent="0.25">
      <c r="A2" s="1"/>
      <c r="B2" s="1"/>
      <c r="C2" s="1"/>
      <c r="D2" s="1"/>
      <c r="E2" s="1">
        <v>1</v>
      </c>
      <c r="F2" s="1">
        <v>0.8</v>
      </c>
      <c r="G2" s="1">
        <v>0.6</v>
      </c>
      <c r="H2" s="1">
        <v>0.4</v>
      </c>
      <c r="I2" s="1">
        <v>0.2</v>
      </c>
      <c r="J2" s="1">
        <v>0</v>
      </c>
      <c r="K2" s="1">
        <v>1</v>
      </c>
      <c r="L2" s="1">
        <v>0.8</v>
      </c>
      <c r="M2" s="1">
        <v>0.6</v>
      </c>
      <c r="N2" s="1">
        <v>0.4</v>
      </c>
      <c r="O2" s="1">
        <v>0.2</v>
      </c>
      <c r="P2" s="1">
        <v>0</v>
      </c>
      <c r="Q2" s="1"/>
      <c r="R2" s="179" t="s">
        <v>122</v>
      </c>
      <c r="S2" s="179" t="s">
        <v>123</v>
      </c>
      <c r="T2" s="179" t="s">
        <v>124</v>
      </c>
      <c r="U2" s="179" t="s">
        <v>125</v>
      </c>
      <c r="V2" s="179" t="s">
        <v>126</v>
      </c>
      <c r="W2" s="179" t="s">
        <v>127</v>
      </c>
      <c r="X2" s="1"/>
      <c r="Z2" s="10"/>
      <c r="AA2" s="10" t="s">
        <v>128</v>
      </c>
      <c r="AB2" s="1" t="s">
        <v>129</v>
      </c>
      <c r="AC2" s="1" t="s">
        <v>130</v>
      </c>
      <c r="AD2" s="1" t="s">
        <v>131</v>
      </c>
      <c r="AE2" s="1" t="s">
        <v>132</v>
      </c>
      <c r="AF2" s="1" t="s">
        <v>133</v>
      </c>
    </row>
    <row r="3" spans="1:33" ht="23.25" x14ac:dyDescent="0.35">
      <c r="A3" s="10" t="s">
        <v>134</v>
      </c>
      <c r="B3" s="10" t="s">
        <v>135</v>
      </c>
      <c r="C3" s="79" t="s">
        <v>136</v>
      </c>
      <c r="D3" s="79" t="s">
        <v>137</v>
      </c>
      <c r="E3" s="243" t="s">
        <v>138</v>
      </c>
      <c r="F3" s="244"/>
      <c r="G3" s="244"/>
      <c r="H3" s="244"/>
      <c r="I3" s="244"/>
      <c r="J3" s="245"/>
      <c r="K3" s="246" t="s">
        <v>139</v>
      </c>
      <c r="L3" s="247"/>
      <c r="M3" s="247"/>
      <c r="N3" s="247"/>
      <c r="O3" s="247"/>
      <c r="P3" s="248"/>
      <c r="Q3" s="10" t="s">
        <v>140</v>
      </c>
      <c r="R3" s="180">
        <v>0</v>
      </c>
      <c r="S3" s="180">
        <v>20</v>
      </c>
      <c r="T3" s="180">
        <v>40</v>
      </c>
      <c r="U3" s="180">
        <v>60</v>
      </c>
      <c r="V3" s="180">
        <v>80</v>
      </c>
      <c r="W3" s="180">
        <v>100</v>
      </c>
      <c r="X3" s="181" t="s">
        <v>141</v>
      </c>
      <c r="Y3" s="182"/>
      <c r="Z3" s="79" t="s">
        <v>142</v>
      </c>
      <c r="AA3" s="79">
        <v>0</v>
      </c>
      <c r="AB3" s="79">
        <v>20</v>
      </c>
      <c r="AC3" s="79">
        <v>40</v>
      </c>
      <c r="AD3" s="79">
        <v>60</v>
      </c>
      <c r="AE3" s="79">
        <v>80</v>
      </c>
      <c r="AF3" s="79">
        <v>100</v>
      </c>
      <c r="AG3" s="183">
        <f>AF3-AA3</f>
        <v>100</v>
      </c>
    </row>
    <row r="4" spans="1:33" s="69" customFormat="1" x14ac:dyDescent="0.25">
      <c r="A4" s="184" t="s">
        <v>143</v>
      </c>
      <c r="B4" s="10" t="s">
        <v>49</v>
      </c>
      <c r="C4" s="185">
        <v>3.9571462481499821E-2</v>
      </c>
      <c r="D4" s="185">
        <v>5.6446235598087903E-2</v>
      </c>
      <c r="E4" s="185">
        <f>$C$4*E2</f>
        <v>3.9571462481499821E-2</v>
      </c>
      <c r="F4" s="185">
        <f t="shared" ref="F4:J4" si="0">$C$4*F2</f>
        <v>3.1657169985199858E-2</v>
      </c>
      <c r="G4" s="185">
        <f t="shared" si="0"/>
        <v>2.3742877488899892E-2</v>
      </c>
      <c r="H4" s="185">
        <f t="shared" si="0"/>
        <v>1.5828584992599929E-2</v>
      </c>
      <c r="I4" s="185">
        <f t="shared" si="0"/>
        <v>7.9142924962999645E-3</v>
      </c>
      <c r="J4" s="185">
        <f t="shared" si="0"/>
        <v>0</v>
      </c>
      <c r="K4" s="186">
        <f>$D$4*K2</f>
        <v>5.6446235598087903E-2</v>
      </c>
      <c r="L4" s="186">
        <f t="shared" ref="L4:P4" si="1">$D$4*L2</f>
        <v>4.5156988478470328E-2</v>
      </c>
      <c r="M4" s="186">
        <f t="shared" si="1"/>
        <v>3.3867741358852739E-2</v>
      </c>
      <c r="N4" s="186">
        <f t="shared" si="1"/>
        <v>2.2578494239235164E-2</v>
      </c>
      <c r="O4" s="186">
        <f t="shared" si="1"/>
        <v>1.1289247119617582E-2</v>
      </c>
      <c r="P4" s="186">
        <f t="shared" si="1"/>
        <v>0</v>
      </c>
      <c r="Q4" s="187" t="s">
        <v>144</v>
      </c>
      <c r="R4" s="188">
        <f>J4+K4</f>
        <v>5.6446235598087903E-2</v>
      </c>
      <c r="S4" s="188">
        <f>I4+L4</f>
        <v>5.3071280974770291E-2</v>
      </c>
      <c r="T4" s="188">
        <f>H4+M4</f>
        <v>4.9696326351452672E-2</v>
      </c>
      <c r="U4" s="188">
        <f>G4+N4</f>
        <v>4.6321371728135052E-2</v>
      </c>
      <c r="V4" s="188">
        <f>F4+O4</f>
        <v>4.294641710481744E-2</v>
      </c>
      <c r="W4" s="188">
        <f>E4+P4</f>
        <v>3.9571462481499821E-2</v>
      </c>
      <c r="X4" s="185">
        <f>MAX(R4:W4)</f>
        <v>5.6446235598087903E-2</v>
      </c>
      <c r="Y4" s="189"/>
      <c r="Z4" s="187" t="s">
        <v>144</v>
      </c>
      <c r="AA4" s="185">
        <f>R4*100/$X$4</f>
        <v>100</v>
      </c>
      <c r="AB4" s="185">
        <f t="shared" ref="AB4:AF4" si="2">S4*100/$X$4</f>
        <v>94.020939416849359</v>
      </c>
      <c r="AC4" s="185">
        <f t="shared" si="2"/>
        <v>88.041878833698732</v>
      </c>
      <c r="AD4" s="185">
        <f t="shared" si="2"/>
        <v>82.062818250548091</v>
      </c>
      <c r="AE4" s="185">
        <f t="shared" si="2"/>
        <v>76.083757667397464</v>
      </c>
      <c r="AF4" s="185">
        <f t="shared" si="2"/>
        <v>70.104697084246823</v>
      </c>
      <c r="AG4" s="185">
        <f>AF4-AA4</f>
        <v>-29.895302915753177</v>
      </c>
    </row>
    <row r="6" spans="1:33" x14ac:dyDescent="0.25">
      <c r="A6" s="4"/>
      <c r="B6" s="4"/>
      <c r="C6" s="4"/>
      <c r="D6" s="4"/>
    </row>
    <row r="7" spans="1:33" x14ac:dyDescent="0.25">
      <c r="A7" s="4"/>
      <c r="B7" s="4"/>
      <c r="C7" s="4"/>
      <c r="D7" s="4"/>
    </row>
    <row r="8" spans="1:33" x14ac:dyDescent="0.25">
      <c r="A8" s="190"/>
      <c r="B8" s="3"/>
      <c r="C8" s="3"/>
      <c r="D8" s="4"/>
    </row>
    <row r="9" spans="1:33" x14ac:dyDescent="0.25">
      <c r="A9" s="190"/>
      <c r="B9" s="3"/>
      <c r="C9" s="3"/>
      <c r="D9" s="4"/>
    </row>
    <row r="10" spans="1:33" x14ac:dyDescent="0.25">
      <c r="A10" s="4"/>
      <c r="B10" s="3"/>
      <c r="C10" s="3"/>
      <c r="D10" s="4"/>
    </row>
    <row r="11" spans="1:33" x14ac:dyDescent="0.25">
      <c r="A11" s="4"/>
      <c r="B11" s="3"/>
      <c r="C11" s="3"/>
      <c r="D11" s="4"/>
    </row>
    <row r="12" spans="1:33" x14ac:dyDescent="0.25">
      <c r="A12" s="4"/>
      <c r="B12" s="3"/>
      <c r="C12" s="3"/>
      <c r="D12" s="4"/>
    </row>
    <row r="13" spans="1:33" x14ac:dyDescent="0.25">
      <c r="A13" s="4"/>
      <c r="B13" s="3"/>
      <c r="C13" s="3"/>
      <c r="D13" s="4"/>
    </row>
    <row r="14" spans="1:33" x14ac:dyDescent="0.25">
      <c r="A14" s="4"/>
      <c r="B14" s="3"/>
      <c r="C14" s="3"/>
      <c r="D14" s="4"/>
    </row>
    <row r="15" spans="1:33" x14ac:dyDescent="0.25">
      <c r="A15" s="4"/>
      <c r="B15" s="4"/>
      <c r="C15" s="4"/>
      <c r="D15" s="4"/>
    </row>
    <row r="16" spans="1:33" x14ac:dyDescent="0.25">
      <c r="A16" s="4"/>
      <c r="B16" s="4"/>
      <c r="C16" s="191"/>
      <c r="D16" s="4"/>
      <c r="K16" s="3"/>
      <c r="L16" s="192"/>
      <c r="M16" s="69"/>
      <c r="N16" s="69"/>
      <c r="O16" s="69"/>
      <c r="P16" s="193"/>
      <c r="Q16" s="4"/>
    </row>
    <row r="17" spans="1:16" x14ac:dyDescent="0.25">
      <c r="A17" s="4"/>
      <c r="B17" s="4"/>
      <c r="C17" s="4"/>
      <c r="D17" s="4"/>
      <c r="P17" s="88"/>
    </row>
    <row r="19" spans="1:16" x14ac:dyDescent="0.25">
      <c r="A19" s="4"/>
      <c r="B19" s="4"/>
      <c r="C19" s="4"/>
    </row>
    <row r="20" spans="1:16" x14ac:dyDescent="0.25">
      <c r="A20" s="194"/>
      <c r="B20" s="4"/>
      <c r="C20" s="4"/>
    </row>
    <row r="21" spans="1:16" x14ac:dyDescent="0.25">
      <c r="A21" s="195"/>
      <c r="B21" s="4"/>
      <c r="C21" s="4"/>
    </row>
    <row r="22" spans="1:16" x14ac:dyDescent="0.25">
      <c r="A22" s="3"/>
      <c r="B22" s="4"/>
      <c r="C22" s="4"/>
    </row>
    <row r="24" spans="1:16" x14ac:dyDescent="0.25">
      <c r="A24" s="3"/>
      <c r="B24" s="4"/>
      <c r="C24" s="4"/>
    </row>
    <row r="25" spans="1:16" x14ac:dyDescent="0.25">
      <c r="A25" s="3"/>
      <c r="B25" s="4"/>
      <c r="C25" s="4"/>
    </row>
    <row r="26" spans="1:16" x14ac:dyDescent="0.25">
      <c r="A26" s="3"/>
      <c r="B26" s="4"/>
      <c r="C26" s="4"/>
    </row>
    <row r="27" spans="1:16" x14ac:dyDescent="0.25">
      <c r="A27" s="3"/>
      <c r="B27" s="4"/>
      <c r="C27" s="4"/>
    </row>
    <row r="28" spans="1:16" x14ac:dyDescent="0.25">
      <c r="A28" s="3"/>
      <c r="B28" s="4"/>
      <c r="C28" s="4"/>
    </row>
    <row r="29" spans="1:16" x14ac:dyDescent="0.25">
      <c r="A29" s="3"/>
      <c r="B29" s="4"/>
      <c r="C29" s="4"/>
    </row>
    <row r="30" spans="1:16" x14ac:dyDescent="0.25">
      <c r="A30" s="3"/>
      <c r="B30" s="4"/>
      <c r="C30" s="4"/>
    </row>
    <row r="31" spans="1:16" x14ac:dyDescent="0.25">
      <c r="A31" s="3"/>
      <c r="B31" s="4"/>
      <c r="C31" s="4"/>
    </row>
    <row r="32" spans="1:16" x14ac:dyDescent="0.25">
      <c r="A32" s="4"/>
      <c r="B32" s="4"/>
      <c r="C32" s="4"/>
    </row>
    <row r="33" spans="1:3" x14ac:dyDescent="0.25">
      <c r="A33" s="4"/>
      <c r="B33" s="4"/>
      <c r="C33" s="4"/>
    </row>
  </sheetData>
  <mergeCells count="6">
    <mergeCell ref="E1:J1"/>
    <mergeCell ref="K1:P1"/>
    <mergeCell ref="R1:W1"/>
    <mergeCell ref="AA1:AF1"/>
    <mergeCell ref="E3:J3"/>
    <mergeCell ref="K3:P3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5"/>
  <sheetViews>
    <sheetView showGridLines="0" zoomScale="85" zoomScaleNormal="85" workbookViewId="0">
      <selection activeCell="B11" sqref="B11"/>
    </sheetView>
  </sheetViews>
  <sheetFormatPr defaultRowHeight="15" x14ac:dyDescent="0.25"/>
  <cols>
    <col min="1" max="1" width="37.85546875" customWidth="1"/>
    <col min="2" max="2" width="23.7109375" customWidth="1"/>
    <col min="3" max="4" width="12" customWidth="1"/>
    <col min="5" max="6" width="9.140625" customWidth="1"/>
    <col min="7" max="7" width="13.85546875" customWidth="1"/>
    <col min="8" max="8" width="9.5703125" customWidth="1"/>
    <col min="9" max="9" width="10" bestFit="1" customWidth="1"/>
    <col min="10" max="10" width="11.28515625" customWidth="1"/>
    <col min="11" max="11" width="11.28515625" bestFit="1" customWidth="1"/>
    <col min="12" max="12" width="13.7109375" customWidth="1"/>
    <col min="13" max="13" width="11.7109375" customWidth="1"/>
    <col min="14" max="14" width="11.28515625" customWidth="1"/>
    <col min="17" max="17" width="12.7109375" customWidth="1"/>
    <col min="19" max="19" width="10.140625" bestFit="1" customWidth="1"/>
    <col min="22" max="22" width="10.42578125" bestFit="1" customWidth="1"/>
    <col min="23" max="23" width="10" bestFit="1" customWidth="1"/>
    <col min="27" max="27" width="10.85546875" bestFit="1" customWidth="1"/>
    <col min="29" max="29" width="11" customWidth="1"/>
    <col min="30" max="30" width="10.140625" customWidth="1"/>
    <col min="31" max="31" width="10" customWidth="1"/>
    <col min="38" max="38" width="12.28515625" customWidth="1"/>
    <col min="39" max="39" width="11.5703125" customWidth="1"/>
  </cols>
  <sheetData>
    <row r="1" spans="1:40" ht="98.25" customHeight="1" x14ac:dyDescent="0.3">
      <c r="A1" s="196" t="s">
        <v>145</v>
      </c>
      <c r="B1" s="10"/>
      <c r="C1" s="64" t="s">
        <v>146</v>
      </c>
      <c r="D1" s="64" t="s">
        <v>147</v>
      </c>
      <c r="E1" s="64" t="s">
        <v>148</v>
      </c>
      <c r="F1" s="64" t="s">
        <v>149</v>
      </c>
      <c r="H1" s="64" t="s">
        <v>150</v>
      </c>
      <c r="I1" s="64" t="s">
        <v>151</v>
      </c>
      <c r="J1" s="64" t="s">
        <v>152</v>
      </c>
      <c r="K1" s="64" t="s">
        <v>153</v>
      </c>
      <c r="M1" s="64" t="s">
        <v>154</v>
      </c>
      <c r="N1" s="64" t="s">
        <v>155</v>
      </c>
      <c r="O1" s="64" t="s">
        <v>156</v>
      </c>
      <c r="P1" s="64" t="s">
        <v>157</v>
      </c>
      <c r="R1" s="64" t="s">
        <v>158</v>
      </c>
      <c r="S1" s="64" t="s">
        <v>159</v>
      </c>
      <c r="T1" s="64" t="s">
        <v>160</v>
      </c>
      <c r="U1" s="64" t="s">
        <v>161</v>
      </c>
      <c r="W1" s="64" t="s">
        <v>162</v>
      </c>
      <c r="X1" s="64" t="s">
        <v>163</v>
      </c>
      <c r="Y1" s="64" t="s">
        <v>164</v>
      </c>
      <c r="Z1" s="64" t="s">
        <v>165</v>
      </c>
      <c r="AA1" s="10"/>
      <c r="AB1" s="64" t="s">
        <v>166</v>
      </c>
      <c r="AC1" s="64" t="s">
        <v>167</v>
      </c>
      <c r="AD1" s="64" t="s">
        <v>168</v>
      </c>
      <c r="AE1" s="64" t="s">
        <v>169</v>
      </c>
      <c r="AF1" s="4"/>
      <c r="AG1" s="4"/>
      <c r="AH1" s="4"/>
      <c r="AI1" s="197"/>
      <c r="AJ1" s="198"/>
      <c r="AK1" s="198"/>
      <c r="AL1" s="4"/>
      <c r="AM1" s="102"/>
      <c r="AN1" s="4"/>
    </row>
    <row r="2" spans="1:40" s="200" customFormat="1" ht="75" customHeight="1" x14ac:dyDescent="0.3">
      <c r="A2" s="199" t="s">
        <v>182</v>
      </c>
      <c r="C2" s="8" t="s">
        <v>171</v>
      </c>
      <c r="D2" s="8" t="s">
        <v>172</v>
      </c>
      <c r="E2" s="8" t="s">
        <v>173</v>
      </c>
      <c r="F2" s="8" t="s">
        <v>174</v>
      </c>
      <c r="G2" s="8"/>
      <c r="H2" s="8" t="s">
        <v>171</v>
      </c>
      <c r="I2" s="8" t="s">
        <v>172</v>
      </c>
      <c r="J2" s="8" t="s">
        <v>173</v>
      </c>
      <c r="K2" s="8" t="s">
        <v>174</v>
      </c>
      <c r="L2" s="8"/>
      <c r="M2" s="8" t="s">
        <v>171</v>
      </c>
      <c r="N2" s="8" t="s">
        <v>172</v>
      </c>
      <c r="O2" s="8" t="s">
        <v>173</v>
      </c>
      <c r="P2" s="8" t="s">
        <v>174</v>
      </c>
      <c r="Q2" s="8"/>
      <c r="R2" s="8" t="s">
        <v>171</v>
      </c>
      <c r="S2" s="8" t="s">
        <v>172</v>
      </c>
      <c r="T2" s="8" t="s">
        <v>173</v>
      </c>
      <c r="U2" s="8" t="s">
        <v>174</v>
      </c>
      <c r="V2" s="8"/>
      <c r="W2" s="8" t="s">
        <v>171</v>
      </c>
      <c r="X2" s="8" t="s">
        <v>172</v>
      </c>
      <c r="Y2" s="8" t="s">
        <v>173</v>
      </c>
      <c r="Z2" s="8" t="s">
        <v>174</v>
      </c>
      <c r="AA2" s="8"/>
      <c r="AB2" s="8" t="s">
        <v>171</v>
      </c>
      <c r="AC2" s="8" t="s">
        <v>172</v>
      </c>
      <c r="AD2" s="8" t="s">
        <v>173</v>
      </c>
      <c r="AE2" s="8" t="s">
        <v>174</v>
      </c>
      <c r="AF2" s="198"/>
      <c r="AG2" s="194"/>
      <c r="AH2" s="198"/>
      <c r="AI2" s="201"/>
      <c r="AJ2" s="198"/>
      <c r="AK2" s="198"/>
      <c r="AL2" s="201"/>
      <c r="AM2" s="202"/>
      <c r="AN2" s="198"/>
    </row>
    <row r="3" spans="1:40" s="127" customFormat="1" ht="90.75" customHeight="1" x14ac:dyDescent="0.25">
      <c r="A3" s="131" t="s">
        <v>175</v>
      </c>
      <c r="B3" s="8" t="s">
        <v>176</v>
      </c>
      <c r="C3" s="203">
        <v>1</v>
      </c>
      <c r="D3" s="203">
        <v>0.88</v>
      </c>
      <c r="E3" s="203">
        <v>0.85</v>
      </c>
      <c r="F3" s="203">
        <v>0.49</v>
      </c>
      <c r="G3" s="8" t="s">
        <v>177</v>
      </c>
      <c r="H3" s="203">
        <v>1</v>
      </c>
      <c r="I3" s="203">
        <v>0.88</v>
      </c>
      <c r="J3" s="203">
        <v>0.85</v>
      </c>
      <c r="K3" s="203">
        <v>0.49</v>
      </c>
      <c r="L3" s="8" t="s">
        <v>178</v>
      </c>
      <c r="M3" s="203">
        <v>1</v>
      </c>
      <c r="N3" s="203">
        <v>0.88</v>
      </c>
      <c r="O3" s="203">
        <v>0.85</v>
      </c>
      <c r="P3" s="203">
        <v>0.49</v>
      </c>
      <c r="Q3" s="8" t="s">
        <v>179</v>
      </c>
      <c r="R3" s="203">
        <v>1</v>
      </c>
      <c r="S3" s="203">
        <v>0.88</v>
      </c>
      <c r="T3" s="203">
        <v>0.85</v>
      </c>
      <c r="U3" s="203">
        <v>0.49</v>
      </c>
      <c r="V3" s="8" t="s">
        <v>180</v>
      </c>
      <c r="W3" s="203">
        <v>1</v>
      </c>
      <c r="X3" s="203">
        <v>0.88</v>
      </c>
      <c r="Y3" s="203">
        <v>0.85</v>
      </c>
      <c r="Z3" s="203">
        <v>0.49</v>
      </c>
      <c r="AA3" s="8" t="s">
        <v>181</v>
      </c>
      <c r="AB3" s="203">
        <v>1</v>
      </c>
      <c r="AC3" s="203">
        <v>0.88</v>
      </c>
      <c r="AD3" s="203">
        <v>0.85</v>
      </c>
      <c r="AE3" s="203">
        <v>0.49</v>
      </c>
      <c r="AF3" s="198"/>
      <c r="AG3" s="204"/>
      <c r="AH3" s="204"/>
      <c r="AI3" s="205"/>
      <c r="AJ3" s="156"/>
      <c r="AK3" s="130"/>
      <c r="AL3" s="130"/>
      <c r="AM3" s="206"/>
      <c r="AN3" s="130"/>
    </row>
    <row r="4" spans="1:40" s="127" customFormat="1" x14ac:dyDescent="0.25">
      <c r="A4" s="207" t="s">
        <v>134</v>
      </c>
      <c r="B4" s="155" t="s">
        <v>49</v>
      </c>
      <c r="C4" s="155" t="s">
        <v>49</v>
      </c>
      <c r="D4" s="155" t="s">
        <v>49</v>
      </c>
      <c r="E4" s="155" t="s">
        <v>49</v>
      </c>
      <c r="F4" s="155" t="s">
        <v>49</v>
      </c>
      <c r="G4" s="155" t="s">
        <v>49</v>
      </c>
      <c r="H4" s="155" t="s">
        <v>49</v>
      </c>
      <c r="I4" s="155" t="s">
        <v>49</v>
      </c>
      <c r="J4" s="155" t="s">
        <v>49</v>
      </c>
      <c r="K4" s="155" t="s">
        <v>49</v>
      </c>
      <c r="L4" s="155" t="s">
        <v>49</v>
      </c>
      <c r="M4" s="155" t="s">
        <v>49</v>
      </c>
      <c r="N4" s="155" t="s">
        <v>49</v>
      </c>
      <c r="O4" s="155" t="s">
        <v>49</v>
      </c>
      <c r="P4" s="155" t="s">
        <v>49</v>
      </c>
      <c r="Q4" s="155" t="s">
        <v>49</v>
      </c>
      <c r="R4" s="155" t="s">
        <v>49</v>
      </c>
      <c r="S4" s="155" t="s">
        <v>49</v>
      </c>
      <c r="T4" s="155" t="s">
        <v>49</v>
      </c>
      <c r="U4" s="155" t="s">
        <v>49</v>
      </c>
      <c r="V4" s="155" t="s">
        <v>49</v>
      </c>
      <c r="W4" s="155" t="s">
        <v>49</v>
      </c>
      <c r="X4" s="155" t="s">
        <v>49</v>
      </c>
      <c r="Y4" s="155" t="s">
        <v>49</v>
      </c>
      <c r="Z4" s="155" t="s">
        <v>49</v>
      </c>
      <c r="AA4" s="155" t="s">
        <v>49</v>
      </c>
      <c r="AB4" s="155" t="s">
        <v>49</v>
      </c>
      <c r="AC4" s="155" t="s">
        <v>49</v>
      </c>
      <c r="AD4" s="155" t="s">
        <v>49</v>
      </c>
      <c r="AE4" s="155" t="s">
        <v>49</v>
      </c>
      <c r="AF4" s="130"/>
      <c r="AG4" s="156"/>
      <c r="AH4" s="156"/>
      <c r="AI4" s="208"/>
      <c r="AJ4" s="209"/>
      <c r="AK4" s="210"/>
      <c r="AL4" s="210"/>
      <c r="AM4" s="211"/>
      <c r="AN4" s="130"/>
    </row>
    <row r="5" spans="1:40" s="219" customFormat="1" x14ac:dyDescent="0.25">
      <c r="A5" s="212" t="s">
        <v>144</v>
      </c>
      <c r="B5" s="213">
        <v>3.9571462481499821E-2</v>
      </c>
      <c r="C5" s="203">
        <f>$B$5*C3</f>
        <v>3.9571462481499821E-2</v>
      </c>
      <c r="D5" s="203">
        <f>$B$5*D3</f>
        <v>3.4822886983719846E-2</v>
      </c>
      <c r="E5" s="203">
        <f>$B$5*E3</f>
        <v>3.3635743109274849E-2</v>
      </c>
      <c r="F5" s="203">
        <f>$B$5*F3</f>
        <v>1.939001661593491E-2</v>
      </c>
      <c r="G5" s="214">
        <v>4.294641710481744E-2</v>
      </c>
      <c r="H5" s="203">
        <f>G5*$H$3</f>
        <v>4.294641710481744E-2</v>
      </c>
      <c r="I5" s="203">
        <f t="shared" ref="I5" si="0">G5*$I$3</f>
        <v>3.7792847052239349E-2</v>
      </c>
      <c r="J5" s="203">
        <f t="shared" ref="J5" si="1">G5*$J$3</f>
        <v>3.6504454539094823E-2</v>
      </c>
      <c r="K5" s="203">
        <f t="shared" ref="K5" si="2">G5*$K$3</f>
        <v>2.1043744381360547E-2</v>
      </c>
      <c r="L5" s="214">
        <v>4.6321371728135052E-2</v>
      </c>
      <c r="M5" s="203">
        <f>L5*$M$3</f>
        <v>4.6321371728135052E-2</v>
      </c>
      <c r="N5" s="203">
        <f>L5*$N$3</f>
        <v>4.0762807120758845E-2</v>
      </c>
      <c r="O5" s="203">
        <f>L5*$O$3</f>
        <v>3.937316596891479E-2</v>
      </c>
      <c r="P5" s="203">
        <f>L5*$P$3</f>
        <v>2.2697472146786177E-2</v>
      </c>
      <c r="Q5" s="214">
        <v>4.9696326351452672E-2</v>
      </c>
      <c r="R5" s="203">
        <f>Q5*$R$3</f>
        <v>4.9696326351452672E-2</v>
      </c>
      <c r="S5" s="203">
        <f>Q5*$S$3</f>
        <v>4.3732767189278349E-2</v>
      </c>
      <c r="T5" s="203">
        <f>Q5*$T$3</f>
        <v>4.2241877398734771E-2</v>
      </c>
      <c r="U5" s="203">
        <f>Q5*$U$3</f>
        <v>2.435119991221181E-2</v>
      </c>
      <c r="V5" s="214">
        <v>5.3071280974770291E-2</v>
      </c>
      <c r="W5" s="203">
        <f>V5*$H$3</f>
        <v>5.3071280974770291E-2</v>
      </c>
      <c r="X5" s="203">
        <f t="shared" ref="X5" si="3">V5*$I$3</f>
        <v>4.6702727257797859E-2</v>
      </c>
      <c r="Y5" s="203">
        <f t="shared" ref="Y5" si="4">V5*$J$3</f>
        <v>4.5110588828554746E-2</v>
      </c>
      <c r="Z5" s="203">
        <f t="shared" ref="Z5" si="5">V5*$K$3</f>
        <v>2.6004927677637443E-2</v>
      </c>
      <c r="AA5" s="214">
        <v>5.6446235598087903E-2</v>
      </c>
      <c r="AB5" s="203">
        <f>AA5*$M$3</f>
        <v>5.6446235598087903E-2</v>
      </c>
      <c r="AC5" s="203">
        <f>AA5*$N$3</f>
        <v>4.9672687326317355E-2</v>
      </c>
      <c r="AD5" s="203">
        <f>AA5*$O$3</f>
        <v>4.7979300258374713E-2</v>
      </c>
      <c r="AE5" s="203">
        <f>AA5*$P$3</f>
        <v>2.7658655443063073E-2</v>
      </c>
      <c r="AF5" s="215"/>
      <c r="AG5" s="204"/>
      <c r="AH5" s="204"/>
      <c r="AI5" s="216"/>
      <c r="AJ5" s="217"/>
      <c r="AK5" s="204"/>
      <c r="AL5" s="215"/>
      <c r="AM5" s="218"/>
      <c r="AN5" s="204"/>
    </row>
    <row r="6" spans="1:40" s="127" customFormat="1" x14ac:dyDescent="0.25">
      <c r="A6" s="208"/>
      <c r="B6" s="220"/>
      <c r="C6" s="221"/>
      <c r="D6" s="221"/>
      <c r="E6" s="221"/>
      <c r="F6" s="221"/>
      <c r="G6" s="221"/>
      <c r="H6" s="221"/>
      <c r="J6" s="4"/>
      <c r="K6" s="4"/>
      <c r="L6" s="222"/>
      <c r="AI6" s="130"/>
      <c r="AJ6" s="130"/>
      <c r="AK6" s="130"/>
      <c r="AL6" s="130"/>
      <c r="AM6" s="130"/>
      <c r="AN6" s="130"/>
    </row>
    <row r="7" spans="1:40" s="127" customFormat="1" x14ac:dyDescent="0.25">
      <c r="A7"/>
      <c r="B7"/>
      <c r="C7" s="221"/>
      <c r="D7" s="221"/>
      <c r="E7" s="221"/>
      <c r="F7" s="221"/>
      <c r="G7" s="221"/>
      <c r="H7" s="221"/>
      <c r="K7" s="4"/>
      <c r="L7" s="222"/>
    </row>
    <row r="8" spans="1:40" s="127" customFormat="1" ht="18.75" x14ac:dyDescent="0.3">
      <c r="C8" s="223"/>
      <c r="F8" s="221"/>
      <c r="G8" s="221"/>
      <c r="H8" s="221"/>
      <c r="J8" s="102"/>
      <c r="K8" s="224"/>
      <c r="L8" s="224"/>
      <c r="M8" s="130"/>
    </row>
    <row r="9" spans="1:40" s="200" customFormat="1" x14ac:dyDescent="0.25">
      <c r="G9" s="225"/>
      <c r="H9" s="225"/>
      <c r="J9" s="102"/>
      <c r="K9" s="102"/>
      <c r="L9" s="102"/>
      <c r="M9" s="198"/>
    </row>
    <row r="10" spans="1:40" s="127" customFormat="1" x14ac:dyDescent="0.25">
      <c r="G10" s="221"/>
      <c r="H10" s="221"/>
      <c r="J10" s="226"/>
      <c r="K10" s="80"/>
      <c r="L10" s="80"/>
      <c r="M10" s="130"/>
    </row>
    <row r="11" spans="1:40" s="127" customFormat="1" x14ac:dyDescent="0.25">
      <c r="G11" s="221"/>
      <c r="H11" s="221"/>
      <c r="J11" s="227"/>
      <c r="K11" s="228"/>
      <c r="L11" s="228"/>
      <c r="M11" s="130"/>
    </row>
    <row r="12" spans="1:40" s="127" customFormat="1" x14ac:dyDescent="0.25">
      <c r="G12" s="221"/>
      <c r="H12" s="221"/>
      <c r="J12" s="227"/>
      <c r="K12" s="228"/>
      <c r="L12" s="228"/>
      <c r="M12" s="130"/>
    </row>
    <row r="13" spans="1:40" s="127" customFormat="1" x14ac:dyDescent="0.25">
      <c r="G13" s="221"/>
      <c r="H13" s="221"/>
      <c r="J13" s="227"/>
      <c r="K13" s="228"/>
      <c r="L13" s="228"/>
      <c r="M13" s="130"/>
    </row>
    <row r="14" spans="1:40" s="127" customFormat="1" x14ac:dyDescent="0.25">
      <c r="G14" s="221"/>
      <c r="H14" s="221"/>
      <c r="J14" s="227"/>
      <c r="K14" s="228"/>
      <c r="L14" s="228"/>
      <c r="M14" s="130"/>
    </row>
    <row r="15" spans="1:40" s="127" customFormat="1" x14ac:dyDescent="0.25">
      <c r="G15" s="221"/>
      <c r="H15" s="221"/>
      <c r="J15" s="227"/>
      <c r="K15" s="228"/>
      <c r="L15" s="228"/>
      <c r="M15" s="130"/>
    </row>
    <row r="16" spans="1:40" s="127" customFormat="1" x14ac:dyDescent="0.25">
      <c r="G16" s="221"/>
      <c r="H16" s="221"/>
      <c r="J16" s="227"/>
      <c r="K16" s="228"/>
      <c r="L16" s="228"/>
      <c r="M16" s="130"/>
    </row>
    <row r="17" spans="7:13" s="127" customFormat="1" x14ac:dyDescent="0.25">
      <c r="G17" s="221"/>
      <c r="H17" s="221"/>
      <c r="J17" s="227"/>
      <c r="K17" s="228"/>
      <c r="L17" s="228"/>
      <c r="M17" s="130"/>
    </row>
    <row r="18" spans="7:13" s="127" customFormat="1" x14ac:dyDescent="0.25">
      <c r="G18" s="221"/>
      <c r="H18" s="221"/>
      <c r="J18" s="229"/>
      <c r="K18" s="228"/>
      <c r="L18" s="228"/>
      <c r="M18" s="130"/>
    </row>
    <row r="19" spans="7:13" s="127" customFormat="1" x14ac:dyDescent="0.25">
      <c r="G19" s="221"/>
      <c r="H19" s="221"/>
      <c r="J19" s="227"/>
      <c r="K19" s="228"/>
      <c r="L19" s="228"/>
      <c r="M19" s="130"/>
    </row>
    <row r="20" spans="7:13" s="127" customFormat="1" x14ac:dyDescent="0.25">
      <c r="G20" s="221"/>
      <c r="H20" s="221"/>
      <c r="J20" s="227"/>
      <c r="K20" s="228"/>
      <c r="L20" s="228"/>
      <c r="M20" s="130"/>
    </row>
    <row r="21" spans="7:13" x14ac:dyDescent="0.25">
      <c r="J21" s="227"/>
      <c r="K21" s="228"/>
      <c r="L21" s="228"/>
      <c r="M21" s="4"/>
    </row>
    <row r="22" spans="7:13" x14ac:dyDescent="0.25">
      <c r="J22" s="227"/>
      <c r="K22" s="228"/>
      <c r="L22" s="228"/>
      <c r="M22" s="4"/>
    </row>
    <row r="23" spans="7:13" x14ac:dyDescent="0.25">
      <c r="J23" s="227"/>
      <c r="K23" s="228"/>
      <c r="L23" s="228"/>
      <c r="M23" s="4"/>
    </row>
    <row r="24" spans="7:13" x14ac:dyDescent="0.25">
      <c r="J24" s="227"/>
      <c r="K24" s="228"/>
      <c r="L24" s="228"/>
      <c r="M24" s="4"/>
    </row>
    <row r="25" spans="7:13" x14ac:dyDescent="0.25">
      <c r="J25" s="4"/>
      <c r="K25" s="4"/>
      <c r="L25" s="4"/>
      <c r="M25" s="4"/>
    </row>
    <row r="26" spans="7:13" x14ac:dyDescent="0.25">
      <c r="J26" s="4"/>
      <c r="K26" s="4"/>
      <c r="L26" s="4"/>
      <c r="M26" s="4"/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36" spans="1:4" x14ac:dyDescent="0.25">
      <c r="A36" s="4"/>
      <c r="B36" s="4"/>
      <c r="C36" s="4"/>
      <c r="D36" s="4"/>
    </row>
    <row r="37" spans="1:4" ht="15" customHeight="1" x14ac:dyDescent="0.25">
      <c r="A37" s="194"/>
      <c r="B37" s="194"/>
      <c r="C37" s="194"/>
      <c r="D37" s="4"/>
    </row>
    <row r="38" spans="1:4" x14ac:dyDescent="0.25">
      <c r="A38" s="230"/>
      <c r="B38" s="230"/>
      <c r="C38" s="230"/>
      <c r="D38" s="4"/>
    </row>
    <row r="39" spans="1:4" x14ac:dyDescent="0.25">
      <c r="A39" s="194"/>
      <c r="B39" s="4"/>
      <c r="C39" s="4"/>
      <c r="D39" s="4"/>
    </row>
    <row r="40" spans="1:4" x14ac:dyDescent="0.25">
      <c r="A40" s="194"/>
      <c r="B40" s="4"/>
      <c r="C40" s="4"/>
      <c r="D40" s="4"/>
    </row>
    <row r="41" spans="1:4" x14ac:dyDescent="0.25">
      <c r="A41" s="194"/>
      <c r="B41" s="4"/>
      <c r="C41" s="4"/>
      <c r="D41" s="4"/>
    </row>
    <row r="42" spans="1:4" x14ac:dyDescent="0.25">
      <c r="A42" s="194"/>
      <c r="B42" s="4"/>
      <c r="C42" s="4"/>
      <c r="D42" s="4"/>
    </row>
    <row r="43" spans="1:4" x14ac:dyDescent="0.25">
      <c r="A43" s="194"/>
      <c r="B43" s="4"/>
      <c r="C43" s="4"/>
      <c r="D43" s="4"/>
    </row>
    <row r="44" spans="1:4" x14ac:dyDescent="0.25">
      <c r="A44" s="194"/>
      <c r="B44" s="4"/>
      <c r="C44" s="4"/>
      <c r="D44" s="4"/>
    </row>
    <row r="45" spans="1:4" x14ac:dyDescent="0.25">
      <c r="A45" s="194"/>
      <c r="B45" s="4"/>
      <c r="C45" s="4"/>
      <c r="D45" s="4"/>
    </row>
    <row r="46" spans="1:4" x14ac:dyDescent="0.25">
      <c r="A46" s="4"/>
      <c r="B46" s="80"/>
      <c r="C46" s="4"/>
      <c r="D46" s="4"/>
    </row>
    <row r="47" spans="1:4" x14ac:dyDescent="0.25">
      <c r="A47" s="194"/>
      <c r="B47" s="4"/>
      <c r="C47" s="4"/>
      <c r="D47" s="4"/>
    </row>
    <row r="48" spans="1:4" x14ac:dyDescent="0.25">
      <c r="A48" s="194"/>
      <c r="B48" s="4"/>
      <c r="C48" s="4"/>
      <c r="D48" s="4"/>
    </row>
    <row r="49" spans="1:4" x14ac:dyDescent="0.25">
      <c r="A49" s="194"/>
      <c r="B49" s="4"/>
      <c r="C49" s="4"/>
      <c r="D49" s="4"/>
    </row>
    <row r="50" spans="1:4" x14ac:dyDescent="0.25">
      <c r="A50" s="194"/>
      <c r="B50" s="4"/>
      <c r="C50" s="4"/>
      <c r="D50" s="4"/>
    </row>
    <row r="51" spans="1:4" x14ac:dyDescent="0.25">
      <c r="A51" s="194"/>
      <c r="B51" s="4"/>
      <c r="C51" s="4"/>
      <c r="D51" s="4"/>
    </row>
    <row r="52" spans="1:4" x14ac:dyDescent="0.25">
      <c r="A52" s="194"/>
      <c r="B52" s="4"/>
      <c r="C52" s="4"/>
      <c r="D52" s="4"/>
    </row>
    <row r="53" spans="1:4" x14ac:dyDescent="0.25">
      <c r="A53" s="4"/>
      <c r="B53" s="4"/>
      <c r="C53" s="4"/>
      <c r="D53" s="4"/>
    </row>
    <row r="54" spans="1:4" x14ac:dyDescent="0.25">
      <c r="A54" s="4"/>
      <c r="B54" s="4"/>
      <c r="C54" s="4"/>
      <c r="D54" s="4"/>
    </row>
    <row r="55" spans="1:4" x14ac:dyDescent="0.25">
      <c r="A55" s="202"/>
      <c r="B55" s="4"/>
      <c r="C55" s="4"/>
      <c r="D55" s="4"/>
    </row>
    <row r="56" spans="1:4" x14ac:dyDescent="0.25">
      <c r="A56" s="4"/>
      <c r="B56" s="4"/>
      <c r="C56" s="4"/>
      <c r="D56" s="4"/>
    </row>
    <row r="57" spans="1:4" x14ac:dyDescent="0.25">
      <c r="A57" s="4"/>
      <c r="B57" s="4"/>
      <c r="C57" s="4"/>
      <c r="D57" s="4"/>
    </row>
    <row r="58" spans="1:4" x14ac:dyDescent="0.25">
      <c r="A58" s="4"/>
      <c r="B58" s="4"/>
      <c r="C58" s="4"/>
      <c r="D58" s="4"/>
    </row>
    <row r="59" spans="1:4" x14ac:dyDescent="0.25">
      <c r="A59" s="4"/>
      <c r="B59" s="4"/>
      <c r="C59" s="4"/>
      <c r="D59" s="4"/>
    </row>
    <row r="60" spans="1:4" x14ac:dyDescent="0.25">
      <c r="A60" s="4"/>
      <c r="B60" s="4"/>
      <c r="C60" s="4"/>
      <c r="D60" s="4"/>
    </row>
    <row r="61" spans="1:4" x14ac:dyDescent="0.25">
      <c r="A61" s="4"/>
      <c r="B61" s="4"/>
      <c r="C61" s="4"/>
      <c r="D61" s="4"/>
    </row>
    <row r="62" spans="1:4" x14ac:dyDescent="0.25">
      <c r="A62" s="4"/>
      <c r="B62" s="4"/>
      <c r="C62" s="4"/>
      <c r="D62" s="4"/>
    </row>
    <row r="63" spans="1:4" x14ac:dyDescent="0.25">
      <c r="A63" s="4"/>
      <c r="B63" s="4"/>
      <c r="C63" s="4"/>
      <c r="D63" s="4"/>
    </row>
    <row r="64" spans="1:4" x14ac:dyDescent="0.25">
      <c r="A64" s="4"/>
      <c r="B64" s="4"/>
      <c r="C64" s="4"/>
      <c r="D64" s="4"/>
    </row>
    <row r="65" spans="1:4" x14ac:dyDescent="0.25">
      <c r="A65" s="4"/>
      <c r="B65" s="4"/>
      <c r="C65" s="4"/>
      <c r="D65" s="4"/>
    </row>
    <row r="66" spans="1:4" x14ac:dyDescent="0.25">
      <c r="A66" s="4"/>
      <c r="B66" s="4"/>
      <c r="C66" s="4"/>
      <c r="D66" s="4"/>
    </row>
    <row r="67" spans="1:4" x14ac:dyDescent="0.25">
      <c r="A67" s="4"/>
      <c r="B67" s="4"/>
      <c r="C67" s="4"/>
      <c r="D67" s="4"/>
    </row>
    <row r="68" spans="1:4" x14ac:dyDescent="0.25">
      <c r="A68" s="4"/>
      <c r="B68" s="4"/>
      <c r="C68" s="4"/>
      <c r="D68" s="4"/>
    </row>
    <row r="69" spans="1:4" x14ac:dyDescent="0.25">
      <c r="A69" s="4"/>
      <c r="B69" s="4"/>
      <c r="C69" s="4"/>
      <c r="D69" s="4"/>
    </row>
    <row r="70" spans="1:4" x14ac:dyDescent="0.25">
      <c r="A70" s="4"/>
      <c r="B70" s="4"/>
      <c r="C70" s="4"/>
      <c r="D70" s="4"/>
    </row>
    <row r="71" spans="1:4" x14ac:dyDescent="0.25">
      <c r="A71" s="202"/>
      <c r="B71" s="4"/>
      <c r="C71" s="4"/>
      <c r="D71" s="4"/>
    </row>
    <row r="72" spans="1:4" x14ac:dyDescent="0.25">
      <c r="A72" s="4"/>
      <c r="B72" s="4"/>
      <c r="C72" s="4"/>
      <c r="D72" s="4"/>
    </row>
    <row r="73" spans="1:4" x14ac:dyDescent="0.25">
      <c r="A73" s="4"/>
      <c r="B73" s="4"/>
      <c r="C73" s="4"/>
      <c r="D73" s="4"/>
    </row>
    <row r="74" spans="1:4" x14ac:dyDescent="0.25">
      <c r="A74" s="4"/>
      <c r="B74" s="4"/>
      <c r="C74" s="4"/>
      <c r="D74" s="4"/>
    </row>
    <row r="75" spans="1:4" x14ac:dyDescent="0.25">
      <c r="A75" s="4"/>
      <c r="B75" s="4"/>
      <c r="C75" s="4"/>
      <c r="D75" s="4"/>
    </row>
    <row r="76" spans="1:4" x14ac:dyDescent="0.25">
      <c r="A76" s="4"/>
      <c r="B76" s="4"/>
      <c r="C76" s="4"/>
      <c r="D76" s="4"/>
    </row>
    <row r="77" spans="1:4" x14ac:dyDescent="0.25">
      <c r="A77" s="4"/>
      <c r="B77" s="4"/>
      <c r="C77" s="4"/>
      <c r="D77" s="4"/>
    </row>
    <row r="78" spans="1:4" x14ac:dyDescent="0.25">
      <c r="A78" s="4"/>
      <c r="B78" s="4"/>
      <c r="C78" s="4"/>
      <c r="D78" s="4"/>
    </row>
    <row r="79" spans="1:4" x14ac:dyDescent="0.25">
      <c r="A79" s="4"/>
      <c r="B79" s="4"/>
      <c r="C79" s="4"/>
      <c r="D79" s="4"/>
    </row>
    <row r="80" spans="1:4" x14ac:dyDescent="0.25">
      <c r="A80" s="4"/>
      <c r="B80" s="4"/>
      <c r="C80" s="4"/>
      <c r="D80" s="4"/>
    </row>
    <row r="81" spans="1:4" x14ac:dyDescent="0.25">
      <c r="A81" s="4"/>
      <c r="B81" s="4"/>
      <c r="C81" s="4"/>
      <c r="D81" s="4"/>
    </row>
    <row r="82" spans="1:4" x14ac:dyDescent="0.25">
      <c r="A82" s="4"/>
      <c r="B82" s="4"/>
      <c r="C82" s="4"/>
      <c r="D82" s="4"/>
    </row>
    <row r="83" spans="1:4" x14ac:dyDescent="0.25">
      <c r="A83" s="4"/>
      <c r="B83" s="4"/>
      <c r="C83" s="4"/>
      <c r="D83" s="4"/>
    </row>
    <row r="84" spans="1:4" x14ac:dyDescent="0.25">
      <c r="A84" s="4"/>
      <c r="B84" s="4"/>
      <c r="C84" s="4"/>
      <c r="D84" s="4"/>
    </row>
    <row r="85" spans="1:4" x14ac:dyDescent="0.25">
      <c r="A85" s="4"/>
      <c r="B85" s="4"/>
      <c r="C85" s="4"/>
      <c r="D85" s="4"/>
    </row>
    <row r="86" spans="1:4" x14ac:dyDescent="0.25">
      <c r="A86" s="4"/>
      <c r="B86" s="4"/>
      <c r="C86" s="4"/>
      <c r="D86" s="4"/>
    </row>
    <row r="87" spans="1:4" x14ac:dyDescent="0.25">
      <c r="A87" s="4"/>
      <c r="B87" s="4"/>
      <c r="C87" s="4"/>
      <c r="D87" s="4"/>
    </row>
    <row r="88" spans="1:4" x14ac:dyDescent="0.25">
      <c r="A88" s="4"/>
      <c r="B88" s="4"/>
      <c r="C88" s="4"/>
      <c r="D88" s="4"/>
    </row>
    <row r="89" spans="1:4" x14ac:dyDescent="0.25">
      <c r="A89" s="4"/>
      <c r="B89" s="4"/>
      <c r="C89" s="4"/>
      <c r="D89" s="4"/>
    </row>
    <row r="90" spans="1:4" x14ac:dyDescent="0.25">
      <c r="A90" s="4"/>
      <c r="B90" s="4"/>
      <c r="C90" s="4"/>
      <c r="D90" s="4"/>
    </row>
    <row r="91" spans="1:4" x14ac:dyDescent="0.25">
      <c r="A91" s="4"/>
      <c r="B91" s="4"/>
      <c r="C91" s="4"/>
      <c r="D91" s="4"/>
    </row>
    <row r="92" spans="1:4" x14ac:dyDescent="0.25">
      <c r="A92" s="4"/>
      <c r="B92" s="4"/>
      <c r="C92" s="4"/>
      <c r="D92" s="4"/>
    </row>
    <row r="93" spans="1:4" x14ac:dyDescent="0.25">
      <c r="A93" s="4"/>
      <c r="B93" s="4"/>
      <c r="C93" s="4"/>
      <c r="D93" s="4"/>
    </row>
    <row r="94" spans="1:4" x14ac:dyDescent="0.25">
      <c r="A94" s="4"/>
      <c r="B94" s="4"/>
      <c r="C94" s="4"/>
      <c r="D94" s="4"/>
    </row>
    <row r="95" spans="1:4" x14ac:dyDescent="0.25">
      <c r="A95" s="4"/>
      <c r="B95" s="4"/>
      <c r="C95" s="4"/>
      <c r="D95" s="4"/>
    </row>
    <row r="96" spans="1:4" x14ac:dyDescent="0.25">
      <c r="A96" s="4"/>
      <c r="B96" s="4"/>
      <c r="C96" s="4"/>
      <c r="D96" s="4"/>
    </row>
    <row r="97" spans="1:4" x14ac:dyDescent="0.25">
      <c r="A97" s="4"/>
      <c r="B97" s="4"/>
      <c r="C97" s="4"/>
      <c r="D97" s="4"/>
    </row>
    <row r="98" spans="1:4" x14ac:dyDescent="0.25">
      <c r="A98" s="4"/>
      <c r="B98" s="4"/>
      <c r="C98" s="4"/>
      <c r="D98" s="4"/>
    </row>
    <row r="99" spans="1:4" x14ac:dyDescent="0.25">
      <c r="A99" s="4"/>
      <c r="B99" s="4"/>
      <c r="C99" s="4"/>
      <c r="D99" s="4"/>
    </row>
    <row r="100" spans="1:4" x14ac:dyDescent="0.25">
      <c r="A100" s="4"/>
      <c r="B100" s="4"/>
      <c r="C100" s="4"/>
      <c r="D100" s="4"/>
    </row>
    <row r="101" spans="1:4" x14ac:dyDescent="0.25">
      <c r="A101" s="4"/>
      <c r="B101" s="4"/>
      <c r="C101" s="4"/>
      <c r="D101" s="4"/>
    </row>
    <row r="102" spans="1:4" x14ac:dyDescent="0.25">
      <c r="A102" s="4"/>
      <c r="B102" s="4"/>
      <c r="C102" s="4"/>
      <c r="D102" s="4"/>
    </row>
    <row r="103" spans="1:4" x14ac:dyDescent="0.25">
      <c r="A103" s="4"/>
      <c r="B103" s="4"/>
      <c r="C103" s="4"/>
      <c r="D103" s="4"/>
    </row>
    <row r="104" spans="1:4" x14ac:dyDescent="0.25">
      <c r="A104" s="4"/>
      <c r="B104" s="4"/>
      <c r="C104" s="4"/>
      <c r="D104" s="4"/>
    </row>
    <row r="105" spans="1:4" x14ac:dyDescent="0.25">
      <c r="A105" s="4"/>
      <c r="B105" s="4"/>
      <c r="C105" s="4"/>
      <c r="D105" s="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tabSelected="1" topLeftCell="A7" workbookViewId="0">
      <selection activeCell="H9" sqref="H9"/>
    </sheetView>
  </sheetViews>
  <sheetFormatPr defaultRowHeight="15" x14ac:dyDescent="0.25"/>
  <cols>
    <col min="1" max="1" width="29.42578125" customWidth="1"/>
    <col min="2" max="2" width="21.42578125" customWidth="1"/>
  </cols>
  <sheetData>
    <row r="1" spans="1:25" s="178" customFormat="1" ht="60" x14ac:dyDescent="0.25">
      <c r="A1" s="64" t="s">
        <v>145</v>
      </c>
      <c r="B1" s="64" t="s">
        <v>146</v>
      </c>
      <c r="C1" s="64" t="s">
        <v>147</v>
      </c>
      <c r="D1" s="64" t="s">
        <v>148</v>
      </c>
      <c r="E1" s="64" t="s">
        <v>149</v>
      </c>
      <c r="F1" s="64" t="s">
        <v>150</v>
      </c>
      <c r="G1" s="64" t="s">
        <v>151</v>
      </c>
      <c r="H1" s="64" t="s">
        <v>152</v>
      </c>
      <c r="I1" s="64" t="s">
        <v>153</v>
      </c>
      <c r="J1" s="64" t="s">
        <v>154</v>
      </c>
      <c r="K1" s="64" t="s">
        <v>155</v>
      </c>
      <c r="L1" s="64" t="s">
        <v>156</v>
      </c>
      <c r="M1" s="64" t="s">
        <v>157</v>
      </c>
      <c r="N1" s="64" t="s">
        <v>158</v>
      </c>
      <c r="O1" s="64" t="s">
        <v>159</v>
      </c>
      <c r="P1" s="64" t="s">
        <v>160</v>
      </c>
      <c r="Q1" s="64" t="s">
        <v>161</v>
      </c>
      <c r="R1" s="64" t="s">
        <v>162</v>
      </c>
      <c r="S1" s="64" t="s">
        <v>163</v>
      </c>
      <c r="T1" s="64" t="s">
        <v>164</v>
      </c>
      <c r="U1" s="64" t="s">
        <v>165</v>
      </c>
      <c r="V1" s="64" t="s">
        <v>166</v>
      </c>
      <c r="W1" s="64" t="s">
        <v>167</v>
      </c>
      <c r="X1" s="64" t="s">
        <v>168</v>
      </c>
      <c r="Y1" s="64" t="s">
        <v>169</v>
      </c>
    </row>
    <row r="2" spans="1:25" s="178" customFormat="1" ht="60" x14ac:dyDescent="0.25">
      <c r="A2" s="64" t="s">
        <v>170</v>
      </c>
      <c r="B2" s="64" t="s">
        <v>171</v>
      </c>
      <c r="C2" s="64" t="s">
        <v>172</v>
      </c>
      <c r="D2" s="64" t="s">
        <v>173</v>
      </c>
      <c r="E2" s="64" t="s">
        <v>174</v>
      </c>
      <c r="F2" s="64" t="s">
        <v>171</v>
      </c>
      <c r="G2" s="64" t="s">
        <v>172</v>
      </c>
      <c r="H2" s="64" t="s">
        <v>173</v>
      </c>
      <c r="I2" s="64" t="s">
        <v>174</v>
      </c>
      <c r="J2" s="64" t="s">
        <v>171</v>
      </c>
      <c r="K2" s="64" t="s">
        <v>172</v>
      </c>
      <c r="L2" s="64" t="s">
        <v>173</v>
      </c>
      <c r="M2" s="64" t="s">
        <v>174</v>
      </c>
      <c r="N2" s="64" t="s">
        <v>171</v>
      </c>
      <c r="O2" s="64" t="s">
        <v>172</v>
      </c>
      <c r="P2" s="64" t="s">
        <v>173</v>
      </c>
      <c r="Q2" s="64" t="s">
        <v>174</v>
      </c>
      <c r="R2" s="64" t="s">
        <v>171</v>
      </c>
      <c r="S2" s="64" t="s">
        <v>172</v>
      </c>
      <c r="T2" s="64" t="s">
        <v>173</v>
      </c>
      <c r="U2" s="64" t="s">
        <v>174</v>
      </c>
      <c r="V2" s="64" t="s">
        <v>171</v>
      </c>
      <c r="W2" s="64" t="s">
        <v>172</v>
      </c>
      <c r="X2" s="64" t="s">
        <v>173</v>
      </c>
      <c r="Y2" s="64" t="s">
        <v>174</v>
      </c>
    </row>
    <row r="3" spans="1:25" s="178" customFormat="1" x14ac:dyDescent="0.25">
      <c r="A3" s="64" t="s">
        <v>175</v>
      </c>
      <c r="B3" s="231">
        <v>1</v>
      </c>
      <c r="C3" s="231">
        <v>0.88</v>
      </c>
      <c r="D3" s="231">
        <v>0.85</v>
      </c>
      <c r="E3" s="231">
        <v>0.49</v>
      </c>
      <c r="F3" s="231">
        <v>1</v>
      </c>
      <c r="G3" s="231">
        <v>0.88</v>
      </c>
      <c r="H3" s="231">
        <v>0.85</v>
      </c>
      <c r="I3" s="231">
        <v>0.49</v>
      </c>
      <c r="J3" s="231">
        <v>1</v>
      </c>
      <c r="K3" s="231">
        <v>0.88</v>
      </c>
      <c r="L3" s="231">
        <v>0.85</v>
      </c>
      <c r="M3" s="231">
        <v>0.49</v>
      </c>
      <c r="N3" s="231">
        <v>1</v>
      </c>
      <c r="O3" s="231">
        <v>0.88</v>
      </c>
      <c r="P3" s="231">
        <v>0.85</v>
      </c>
      <c r="Q3" s="231">
        <v>0.49</v>
      </c>
      <c r="R3" s="231">
        <v>1</v>
      </c>
      <c r="S3" s="231">
        <v>0.88</v>
      </c>
      <c r="T3" s="231">
        <v>0.85</v>
      </c>
      <c r="U3" s="231">
        <v>0.49</v>
      </c>
      <c r="V3" s="231">
        <v>1</v>
      </c>
      <c r="W3" s="231">
        <v>0.88</v>
      </c>
      <c r="X3" s="231">
        <v>0.85</v>
      </c>
      <c r="Y3" s="231">
        <v>0.49</v>
      </c>
    </row>
    <row r="4" spans="1:25" x14ac:dyDescent="0.25">
      <c r="A4" s="10" t="s">
        <v>134</v>
      </c>
      <c r="B4" s="10" t="s">
        <v>49</v>
      </c>
      <c r="C4" s="10" t="s">
        <v>49</v>
      </c>
      <c r="D4" s="10" t="s">
        <v>49</v>
      </c>
      <c r="E4" s="10" t="s">
        <v>49</v>
      </c>
      <c r="F4" s="10" t="s">
        <v>49</v>
      </c>
      <c r="G4" s="10" t="s">
        <v>49</v>
      </c>
      <c r="H4" s="10" t="s">
        <v>49</v>
      </c>
      <c r="I4" s="10" t="s">
        <v>49</v>
      </c>
      <c r="J4" s="10" t="s">
        <v>49</v>
      </c>
      <c r="K4" s="10" t="s">
        <v>49</v>
      </c>
      <c r="L4" s="10" t="s">
        <v>49</v>
      </c>
      <c r="M4" s="10" t="s">
        <v>49</v>
      </c>
      <c r="N4" s="10" t="s">
        <v>49</v>
      </c>
      <c r="O4" s="10" t="s">
        <v>49</v>
      </c>
      <c r="P4" s="10" t="s">
        <v>49</v>
      </c>
      <c r="Q4" s="10" t="s">
        <v>49</v>
      </c>
      <c r="R4" s="10" t="s">
        <v>49</v>
      </c>
      <c r="S4" s="10" t="s">
        <v>49</v>
      </c>
      <c r="T4" s="10" t="s">
        <v>49</v>
      </c>
      <c r="U4" s="10" t="s">
        <v>49</v>
      </c>
      <c r="V4" s="10" t="s">
        <v>49</v>
      </c>
      <c r="W4" s="10" t="s">
        <v>49</v>
      </c>
      <c r="X4" s="10" t="s">
        <v>49</v>
      </c>
      <c r="Y4" s="10" t="s">
        <v>49</v>
      </c>
    </row>
    <row r="5" spans="1:25" x14ac:dyDescent="0.25">
      <c r="A5" s="186" t="s">
        <v>144</v>
      </c>
      <c r="B5" s="186">
        <v>3.9571462481499821E-2</v>
      </c>
      <c r="C5" s="186">
        <v>3.4822886983719846E-2</v>
      </c>
      <c r="D5" s="186">
        <v>3.3635743109274849E-2</v>
      </c>
      <c r="E5" s="186">
        <v>1.939001661593491E-2</v>
      </c>
      <c r="F5" s="186">
        <v>4.294641710481744E-2</v>
      </c>
      <c r="G5" s="186">
        <v>3.7792847052239349E-2</v>
      </c>
      <c r="H5" s="186">
        <v>3.6504454539094823E-2</v>
      </c>
      <c r="I5" s="186">
        <v>2.1043744381360547E-2</v>
      </c>
      <c r="J5" s="186">
        <v>4.6321371728135052E-2</v>
      </c>
      <c r="K5" s="186">
        <v>4.0762807120758845E-2</v>
      </c>
      <c r="L5" s="186">
        <v>3.937316596891479E-2</v>
      </c>
      <c r="M5" s="186">
        <v>2.2697472146786177E-2</v>
      </c>
      <c r="N5" s="186">
        <v>4.9696326351452672E-2</v>
      </c>
      <c r="O5" s="186">
        <v>4.3732767189278349E-2</v>
      </c>
      <c r="P5" s="186">
        <v>4.2241877398734771E-2</v>
      </c>
      <c r="Q5" s="186">
        <v>2.435119991221181E-2</v>
      </c>
      <c r="R5" s="186">
        <v>5.3071280974770291E-2</v>
      </c>
      <c r="S5" s="186">
        <v>4.6702727257797859E-2</v>
      </c>
      <c r="T5" s="186">
        <v>4.5110588828554746E-2</v>
      </c>
      <c r="U5" s="186">
        <v>2.6004927677637443E-2</v>
      </c>
      <c r="V5" s="186">
        <v>5.6446235598087903E-2</v>
      </c>
      <c r="W5" s="186">
        <v>4.9672687326317355E-2</v>
      </c>
      <c r="X5" s="186">
        <v>4.7979300258374713E-2</v>
      </c>
      <c r="Y5" s="186">
        <v>2.7658655443063073E-2</v>
      </c>
    </row>
    <row r="8" spans="1:25" ht="20.25" x14ac:dyDescent="0.3">
      <c r="A8" s="232" t="s">
        <v>183</v>
      </c>
    </row>
    <row r="9" spans="1:25" ht="85.5" customHeight="1" x14ac:dyDescent="0.25">
      <c r="A9" s="64" t="s">
        <v>145</v>
      </c>
      <c r="B9" s="64" t="s">
        <v>170</v>
      </c>
      <c r="C9" s="64"/>
      <c r="D9" s="10" t="s">
        <v>134</v>
      </c>
      <c r="E9" s="186" t="s">
        <v>144</v>
      </c>
    </row>
    <row r="10" spans="1:25" x14ac:dyDescent="0.25">
      <c r="A10" s="64" t="s">
        <v>146</v>
      </c>
      <c r="B10" s="64" t="s">
        <v>171</v>
      </c>
      <c r="C10" s="231">
        <v>1</v>
      </c>
      <c r="D10" s="10" t="s">
        <v>49</v>
      </c>
      <c r="E10" s="186">
        <v>3.9571462481499821E-2</v>
      </c>
    </row>
    <row r="11" spans="1:25" x14ac:dyDescent="0.25">
      <c r="A11" s="64" t="s">
        <v>147</v>
      </c>
      <c r="B11" s="64" t="s">
        <v>172</v>
      </c>
      <c r="C11" s="231">
        <v>0.88</v>
      </c>
      <c r="D11" s="10" t="s">
        <v>49</v>
      </c>
      <c r="E11" s="186">
        <v>3.4822886983719846E-2</v>
      </c>
    </row>
    <row r="12" spans="1:25" x14ac:dyDescent="0.25">
      <c r="A12" s="64" t="s">
        <v>148</v>
      </c>
      <c r="B12" s="64" t="s">
        <v>173</v>
      </c>
      <c r="C12" s="231">
        <v>0.85</v>
      </c>
      <c r="D12" s="10" t="s">
        <v>49</v>
      </c>
      <c r="E12" s="186">
        <v>3.3635743109274849E-2</v>
      </c>
    </row>
    <row r="13" spans="1:25" x14ac:dyDescent="0.25">
      <c r="A13" s="64" t="s">
        <v>149</v>
      </c>
      <c r="B13" s="64" t="s">
        <v>174</v>
      </c>
      <c r="C13" s="231">
        <v>0.49</v>
      </c>
      <c r="D13" s="10" t="s">
        <v>49</v>
      </c>
      <c r="E13" s="186">
        <v>1.939001661593491E-2</v>
      </c>
    </row>
    <row r="14" spans="1:25" x14ac:dyDescent="0.25">
      <c r="A14" s="64" t="s">
        <v>150</v>
      </c>
      <c r="B14" s="64" t="s">
        <v>171</v>
      </c>
      <c r="C14" s="231">
        <v>1</v>
      </c>
      <c r="D14" s="10" t="s">
        <v>49</v>
      </c>
      <c r="E14" s="186">
        <v>4.294641710481744E-2</v>
      </c>
    </row>
    <row r="15" spans="1:25" x14ac:dyDescent="0.25">
      <c r="A15" s="64" t="s">
        <v>151</v>
      </c>
      <c r="B15" s="64" t="s">
        <v>172</v>
      </c>
      <c r="C15" s="231">
        <v>0.88</v>
      </c>
      <c r="D15" s="10" t="s">
        <v>49</v>
      </c>
      <c r="E15" s="186">
        <v>3.7792847052239349E-2</v>
      </c>
    </row>
    <row r="16" spans="1:25" x14ac:dyDescent="0.25">
      <c r="A16" s="64" t="s">
        <v>152</v>
      </c>
      <c r="B16" s="64" t="s">
        <v>173</v>
      </c>
      <c r="C16" s="231">
        <v>0.85</v>
      </c>
      <c r="D16" s="10" t="s">
        <v>49</v>
      </c>
      <c r="E16" s="186">
        <v>3.6504454539094823E-2</v>
      </c>
    </row>
    <row r="17" spans="1:5" x14ac:dyDescent="0.25">
      <c r="A17" s="64" t="s">
        <v>153</v>
      </c>
      <c r="B17" s="64" t="s">
        <v>174</v>
      </c>
      <c r="C17" s="231">
        <v>0.49</v>
      </c>
      <c r="D17" s="10" t="s">
        <v>49</v>
      </c>
      <c r="E17" s="186">
        <v>2.1043744381360547E-2</v>
      </c>
    </row>
    <row r="18" spans="1:5" x14ac:dyDescent="0.25">
      <c r="A18" s="64" t="s">
        <v>154</v>
      </c>
      <c r="B18" s="64" t="s">
        <v>171</v>
      </c>
      <c r="C18" s="231">
        <v>1</v>
      </c>
      <c r="D18" s="10" t="s">
        <v>49</v>
      </c>
      <c r="E18" s="186">
        <v>4.6321371728135052E-2</v>
      </c>
    </row>
    <row r="19" spans="1:5" x14ac:dyDescent="0.25">
      <c r="A19" s="64" t="s">
        <v>155</v>
      </c>
      <c r="B19" s="64" t="s">
        <v>172</v>
      </c>
      <c r="C19" s="231">
        <v>0.88</v>
      </c>
      <c r="D19" s="10" t="s">
        <v>49</v>
      </c>
      <c r="E19" s="186">
        <v>4.0762807120758845E-2</v>
      </c>
    </row>
    <row r="20" spans="1:5" x14ac:dyDescent="0.25">
      <c r="A20" s="64" t="s">
        <v>156</v>
      </c>
      <c r="B20" s="64" t="s">
        <v>173</v>
      </c>
      <c r="C20" s="231">
        <v>0.85</v>
      </c>
      <c r="D20" s="10" t="s">
        <v>49</v>
      </c>
      <c r="E20" s="186">
        <v>3.937316596891479E-2</v>
      </c>
    </row>
    <row r="21" spans="1:5" x14ac:dyDescent="0.25">
      <c r="A21" s="64" t="s">
        <v>157</v>
      </c>
      <c r="B21" s="64" t="s">
        <v>174</v>
      </c>
      <c r="C21" s="231">
        <v>0.49</v>
      </c>
      <c r="D21" s="10" t="s">
        <v>49</v>
      </c>
      <c r="E21" s="186">
        <v>2.2697472146786177E-2</v>
      </c>
    </row>
    <row r="22" spans="1:5" x14ac:dyDescent="0.25">
      <c r="A22" s="64" t="s">
        <v>158</v>
      </c>
      <c r="B22" s="64" t="s">
        <v>171</v>
      </c>
      <c r="C22" s="231">
        <v>1</v>
      </c>
      <c r="D22" s="10" t="s">
        <v>49</v>
      </c>
      <c r="E22" s="186">
        <v>4.9696326351452672E-2</v>
      </c>
    </row>
    <row r="23" spans="1:5" x14ac:dyDescent="0.25">
      <c r="A23" s="64" t="s">
        <v>159</v>
      </c>
      <c r="B23" s="64" t="s">
        <v>172</v>
      </c>
      <c r="C23" s="231">
        <v>0.88</v>
      </c>
      <c r="D23" s="10" t="s">
        <v>49</v>
      </c>
      <c r="E23" s="186">
        <v>4.3732767189278349E-2</v>
      </c>
    </row>
    <row r="24" spans="1:5" x14ac:dyDescent="0.25">
      <c r="A24" s="64" t="s">
        <v>160</v>
      </c>
      <c r="B24" s="64" t="s">
        <v>173</v>
      </c>
      <c r="C24" s="231">
        <v>0.85</v>
      </c>
      <c r="D24" s="10" t="s">
        <v>49</v>
      </c>
      <c r="E24" s="186">
        <v>4.2241877398734771E-2</v>
      </c>
    </row>
    <row r="25" spans="1:5" x14ac:dyDescent="0.25">
      <c r="A25" s="64" t="s">
        <v>161</v>
      </c>
      <c r="B25" s="64" t="s">
        <v>174</v>
      </c>
      <c r="C25" s="231">
        <v>0.49</v>
      </c>
      <c r="D25" s="10" t="s">
        <v>49</v>
      </c>
      <c r="E25" s="186">
        <v>2.435119991221181E-2</v>
      </c>
    </row>
    <row r="26" spans="1:5" x14ac:dyDescent="0.25">
      <c r="A26" s="64" t="s">
        <v>162</v>
      </c>
      <c r="B26" s="64" t="s">
        <v>171</v>
      </c>
      <c r="C26" s="231">
        <v>1</v>
      </c>
      <c r="D26" s="10" t="s">
        <v>49</v>
      </c>
      <c r="E26" s="186">
        <v>5.3071280974770291E-2</v>
      </c>
    </row>
    <row r="27" spans="1:5" x14ac:dyDescent="0.25">
      <c r="A27" s="64" t="s">
        <v>163</v>
      </c>
      <c r="B27" s="64" t="s">
        <v>172</v>
      </c>
      <c r="C27" s="231">
        <v>0.88</v>
      </c>
      <c r="D27" s="10" t="s">
        <v>49</v>
      </c>
      <c r="E27" s="186">
        <v>4.6702727257797859E-2</v>
      </c>
    </row>
    <row r="28" spans="1:5" x14ac:dyDescent="0.25">
      <c r="A28" s="64" t="s">
        <v>164</v>
      </c>
      <c r="B28" s="64" t="s">
        <v>173</v>
      </c>
      <c r="C28" s="231">
        <v>0.85</v>
      </c>
      <c r="D28" s="10" t="s">
        <v>49</v>
      </c>
      <c r="E28" s="186">
        <v>4.5110588828554746E-2</v>
      </c>
    </row>
    <row r="29" spans="1:5" x14ac:dyDescent="0.25">
      <c r="A29" s="64" t="s">
        <v>165</v>
      </c>
      <c r="B29" s="64" t="s">
        <v>174</v>
      </c>
      <c r="C29" s="231">
        <v>0.49</v>
      </c>
      <c r="D29" s="10" t="s">
        <v>49</v>
      </c>
      <c r="E29" s="186">
        <v>2.6004927677637443E-2</v>
      </c>
    </row>
    <row r="30" spans="1:5" x14ac:dyDescent="0.25">
      <c r="A30" s="64" t="s">
        <v>166</v>
      </c>
      <c r="B30" s="64" t="s">
        <v>171</v>
      </c>
      <c r="C30" s="231">
        <v>1</v>
      </c>
      <c r="D30" s="10" t="s">
        <v>49</v>
      </c>
      <c r="E30" s="186">
        <v>5.6446235598087903E-2</v>
      </c>
    </row>
    <row r="31" spans="1:5" x14ac:dyDescent="0.25">
      <c r="A31" s="64" t="s">
        <v>167</v>
      </c>
      <c r="B31" s="64" t="s">
        <v>172</v>
      </c>
      <c r="C31" s="231">
        <v>0.88</v>
      </c>
      <c r="D31" s="10" t="s">
        <v>49</v>
      </c>
      <c r="E31" s="186">
        <v>4.9672687326317355E-2</v>
      </c>
    </row>
    <row r="32" spans="1:5" x14ac:dyDescent="0.25">
      <c r="A32" s="64" t="s">
        <v>168</v>
      </c>
      <c r="B32" s="64" t="s">
        <v>173</v>
      </c>
      <c r="C32" s="231">
        <v>0.85</v>
      </c>
      <c r="D32" s="10" t="s">
        <v>49</v>
      </c>
      <c r="E32" s="186">
        <v>4.7979300258374713E-2</v>
      </c>
    </row>
    <row r="33" spans="1:5" x14ac:dyDescent="0.25">
      <c r="A33" s="64" t="s">
        <v>169</v>
      </c>
      <c r="B33" s="64" t="s">
        <v>174</v>
      </c>
      <c r="C33" s="231">
        <v>0.49</v>
      </c>
      <c r="D33" s="10" t="s">
        <v>49</v>
      </c>
      <c r="E33" s="186">
        <v>2.7658655443063073E-2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LCC optimal ARWH NO PP NO TK</vt:lpstr>
      <vt:lpstr>TableS4 LCC ARWH NO P NO T</vt:lpstr>
      <vt:lpstr>TableS5. LCC_Well Irrig. crop</vt:lpstr>
      <vt:lpstr>LCCAAux. Ag. RWH and WW</vt:lpstr>
      <vt:lpstr>Auxiliary RWH-crops LCCA m-3 </vt:lpstr>
      <vt:lpstr>24DMO LCCA Data</vt:lpstr>
      <vt:lpstr>'TableS4 LCC ARWH NO P NO T'!_Toc524689091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Ghimire, Santosh</dc:creator>
  <cp:lastModifiedBy>Ghimire, Santosh</cp:lastModifiedBy>
  <dcterms:created xsi:type="dcterms:W3CDTF">2017-12-10T18:17:57Z</dcterms:created>
  <dcterms:modified xsi:type="dcterms:W3CDTF">2018-09-21T13:42:55Z</dcterms:modified>
</cp:coreProperties>
</file>