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pdatedFiles\"/>
    </mc:Choice>
  </mc:AlternateContent>
  <bookViews>
    <workbookView xWindow="0" yWindow="0" windowWidth="20490" windowHeight="7755" activeTab="5"/>
  </bookViews>
  <sheets>
    <sheet name="ReadMe" sheetId="12" r:id="rId1"/>
    <sheet name="Stock1" sheetId="1" r:id="rId2"/>
    <sheet name="Stock2" sheetId="2" r:id="rId3"/>
    <sheet name="Stock3" sheetId="3" r:id="rId4"/>
    <sheet name="Stock 4" sheetId="4" r:id="rId5"/>
    <sheet name="Stock 5" sheetId="6" r:id="rId6"/>
    <sheet name="Stock 6" sheetId="7" r:id="rId7"/>
    <sheet name="Stock7" sheetId="8" r:id="rId8"/>
    <sheet name="Plot" sheetId="5" r:id="rId9"/>
  </sheets>
  <externalReferences>
    <externalReference r:id="rId10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8" l="1"/>
  <c r="H59" i="8"/>
  <c r="H56" i="8"/>
  <c r="H53" i="8"/>
  <c r="C36" i="8"/>
  <c r="H37" i="8"/>
  <c r="C39" i="8"/>
  <c r="H40" i="8"/>
  <c r="I27" i="8"/>
  <c r="D26" i="8"/>
  <c r="I24" i="8"/>
  <c r="D23" i="8"/>
  <c r="M11" i="8"/>
  <c r="M4" i="8"/>
  <c r="M5" i="8" s="1"/>
  <c r="R5" i="8"/>
  <c r="M7" i="8"/>
  <c r="M8" i="8" s="1"/>
  <c r="R8" i="8"/>
  <c r="M10" i="8"/>
  <c r="R11" i="8"/>
  <c r="M13" i="8"/>
  <c r="M14" i="8" s="1"/>
  <c r="R14" i="8"/>
  <c r="L7" i="7"/>
  <c r="L8" i="7"/>
  <c r="Q8" i="7"/>
  <c r="L10" i="7"/>
  <c r="L11" i="7" s="1"/>
  <c r="Q11" i="7"/>
  <c r="L13" i="7"/>
  <c r="L14" i="7"/>
  <c r="Q14" i="7"/>
  <c r="L16" i="7"/>
  <c r="L17" i="7" s="1"/>
  <c r="Q17" i="7"/>
  <c r="N15" i="6"/>
  <c r="N12" i="6"/>
  <c r="N6" i="6"/>
  <c r="N5" i="6"/>
  <c r="S6" i="6"/>
  <c r="N8" i="6"/>
  <c r="N9" i="6" s="1"/>
  <c r="S9" i="6"/>
  <c r="N11" i="6"/>
  <c r="S12" i="6"/>
  <c r="N14" i="6"/>
  <c r="S15" i="6"/>
  <c r="K11" i="4"/>
  <c r="K7" i="4"/>
  <c r="K8" i="4" s="1"/>
  <c r="P8" i="4"/>
  <c r="K10" i="4"/>
  <c r="P11" i="4"/>
  <c r="K13" i="4"/>
  <c r="K14" i="4" s="1"/>
  <c r="P14" i="4"/>
  <c r="K16" i="4"/>
  <c r="K17" i="4" s="1"/>
  <c r="P17" i="4"/>
  <c r="M5" i="3"/>
  <c r="T5" i="3"/>
  <c r="M6" i="3"/>
  <c r="R6" i="3"/>
  <c r="T6" i="3"/>
  <c r="Y6" i="3"/>
  <c r="M8" i="3"/>
  <c r="T8" i="3"/>
  <c r="T9" i="3" s="1"/>
  <c r="M9" i="3"/>
  <c r="R9" i="3"/>
  <c r="Y9" i="3"/>
  <c r="M11" i="3"/>
  <c r="T11" i="3"/>
  <c r="T12" i="3" s="1"/>
  <c r="M12" i="3"/>
  <c r="R12" i="3"/>
  <c r="Y12" i="3"/>
  <c r="M14" i="3"/>
  <c r="M15" i="3" s="1"/>
  <c r="T14" i="3"/>
  <c r="R15" i="3"/>
  <c r="T15" i="3"/>
  <c r="Y15" i="3"/>
  <c r="K18" i="1" l="1"/>
  <c r="F17" i="1"/>
  <c r="F18" i="1" s="1"/>
  <c r="K15" i="1"/>
  <c r="F15" i="1"/>
  <c r="F14" i="1"/>
  <c r="K12" i="1"/>
  <c r="F11" i="1"/>
  <c r="F12" i="1" s="1"/>
  <c r="K9" i="1"/>
  <c r="F8" i="1"/>
  <c r="F9" i="1" s="1"/>
  <c r="C48" i="8" l="1"/>
  <c r="C45" i="8"/>
  <c r="H49" i="8"/>
  <c r="H46" i="8"/>
  <c r="F13" i="8"/>
  <c r="F14" i="8" s="1"/>
  <c r="F10" i="8"/>
  <c r="F11" i="8" s="1"/>
  <c r="F7" i="8"/>
  <c r="F8" i="8" s="1"/>
  <c r="F4" i="8"/>
  <c r="F5" i="8" s="1"/>
  <c r="K14" i="8"/>
  <c r="K11" i="8"/>
  <c r="K8" i="8"/>
  <c r="K5" i="8"/>
  <c r="S5" i="8" l="1"/>
  <c r="T5" i="8"/>
  <c r="T8" i="8"/>
  <c r="S8" i="8"/>
  <c r="S11" i="8"/>
  <c r="T11" i="8"/>
  <c r="T14" i="8"/>
  <c r="S14" i="8"/>
  <c r="J4" i="7"/>
  <c r="J17" i="7" l="1"/>
  <c r="E16" i="7"/>
  <c r="E17" i="7" s="1"/>
  <c r="J14" i="7"/>
  <c r="E13" i="7"/>
  <c r="E14" i="7" s="1"/>
  <c r="J11" i="7"/>
  <c r="E10" i="7"/>
  <c r="E11" i="7" s="1"/>
  <c r="E7" i="7"/>
  <c r="E8" i="7" s="1"/>
  <c r="J8" i="7"/>
  <c r="R11" i="7" l="1"/>
  <c r="S11" i="7"/>
  <c r="R14" i="7"/>
  <c r="S14" i="7"/>
  <c r="R17" i="7"/>
  <c r="S17" i="7"/>
  <c r="R8" i="7"/>
  <c r="S8" i="7"/>
  <c r="M29" i="6"/>
  <c r="M30" i="6" s="1"/>
  <c r="G29" i="6"/>
  <c r="G30" i="6" s="1"/>
  <c r="M26" i="6"/>
  <c r="M27" i="6" s="1"/>
  <c r="G26" i="6"/>
  <c r="G27" i="6" s="1"/>
  <c r="M23" i="6"/>
  <c r="M24" i="6" s="1"/>
  <c r="G23" i="6"/>
  <c r="G24" i="6" s="1"/>
  <c r="M20" i="6"/>
  <c r="M21" i="6" s="1"/>
  <c r="R30" i="6"/>
  <c r="R27" i="6"/>
  <c r="R24" i="6"/>
  <c r="T24" i="6" s="1"/>
  <c r="R21" i="6"/>
  <c r="T21" i="6" s="1"/>
  <c r="G20" i="6"/>
  <c r="G21" i="6" s="1"/>
  <c r="L30" i="6"/>
  <c r="S30" i="6" s="1"/>
  <c r="L27" i="6"/>
  <c r="S27" i="6" s="1"/>
  <c r="L24" i="6"/>
  <c r="L21" i="6"/>
  <c r="T27" i="6" l="1"/>
  <c r="S21" i="6"/>
  <c r="T30" i="6"/>
  <c r="S24" i="6"/>
  <c r="G14" i="6"/>
  <c r="G15" i="6" s="1"/>
  <c r="G11" i="6"/>
  <c r="G12" i="6" s="1"/>
  <c r="G8" i="6"/>
  <c r="G9" i="6" s="1"/>
  <c r="G5" i="6"/>
  <c r="G6" i="6" s="1"/>
  <c r="L15" i="6"/>
  <c r="L12" i="6"/>
  <c r="L9" i="6"/>
  <c r="L6" i="6"/>
  <c r="T6" i="6" l="1"/>
  <c r="U6" i="6"/>
  <c r="T9" i="6"/>
  <c r="U9" i="6"/>
  <c r="U15" i="6"/>
  <c r="T15" i="6"/>
  <c r="T12" i="6"/>
  <c r="U12" i="6"/>
  <c r="D36" i="4"/>
  <c r="D37" i="4" s="1"/>
  <c r="D33" i="4"/>
  <c r="D34" i="4" s="1"/>
  <c r="D30" i="4"/>
  <c r="D31" i="4" s="1"/>
  <c r="D27" i="4"/>
  <c r="D28" i="4" s="1"/>
  <c r="I37" i="4"/>
  <c r="I34" i="4"/>
  <c r="I31" i="4"/>
  <c r="I28" i="4"/>
  <c r="AF15" i="4" l="1"/>
  <c r="D16" i="4"/>
  <c r="D17" i="4" s="1"/>
  <c r="D13" i="4"/>
  <c r="D14" i="4" s="1"/>
  <c r="D10" i="4"/>
  <c r="D11" i="4" s="1"/>
  <c r="D7" i="4"/>
  <c r="D8" i="4" s="1"/>
  <c r="I17" i="4"/>
  <c r="I14" i="4"/>
  <c r="I11" i="4"/>
  <c r="I8" i="4"/>
  <c r="Q17" i="4" l="1"/>
  <c r="R17" i="4"/>
  <c r="Q8" i="4"/>
  <c r="R8" i="4"/>
  <c r="Q11" i="4"/>
  <c r="R11" i="4"/>
  <c r="R14" i="4"/>
  <c r="Q14" i="4"/>
  <c r="Z15" i="4"/>
  <c r="AF12" i="4"/>
  <c r="Z12" i="4"/>
  <c r="AF9" i="4"/>
  <c r="Z9" i="4"/>
  <c r="Z6" i="4"/>
  <c r="AF6" i="4"/>
  <c r="AE7" i="4" l="1"/>
  <c r="AK16" i="4"/>
  <c r="AE16" i="4"/>
  <c r="AK13" i="4"/>
  <c r="AE13" i="4"/>
  <c r="AK10" i="4"/>
  <c r="AE10" i="4"/>
  <c r="AK7" i="4"/>
  <c r="F29" i="3" l="1"/>
  <c r="F30" i="3" s="1"/>
  <c r="M29" i="3"/>
  <c r="R30" i="3"/>
  <c r="M26" i="3"/>
  <c r="R27" i="3"/>
  <c r="T27" i="3" s="1"/>
  <c r="F26" i="3"/>
  <c r="F27" i="3" s="1"/>
  <c r="M23" i="3"/>
  <c r="R24" i="3"/>
  <c r="T24" i="3" s="1"/>
  <c r="F23" i="3"/>
  <c r="F24" i="3" s="1"/>
  <c r="F20" i="3"/>
  <c r="F21" i="3" s="1"/>
  <c r="K30" i="3"/>
  <c r="S30" i="3" s="1"/>
  <c r="K27" i="3"/>
  <c r="K24" i="3"/>
  <c r="K21" i="3"/>
  <c r="S24" i="3" l="1"/>
  <c r="S27" i="3"/>
  <c r="T30" i="3"/>
  <c r="F14" i="3"/>
  <c r="F15" i="3" s="1"/>
  <c r="K9" i="3"/>
  <c r="F11" i="3"/>
  <c r="F12" i="3" s="1"/>
  <c r="F8" i="3"/>
  <c r="F9" i="3" s="1"/>
  <c r="Z9" i="3" l="1"/>
  <c r="AA9" i="3"/>
  <c r="F5" i="3"/>
  <c r="F6" i="3" s="1"/>
  <c r="K15" i="3"/>
  <c r="K12" i="3"/>
  <c r="K6" i="3"/>
  <c r="Z6" i="3" l="1"/>
  <c r="AA6" i="3"/>
  <c r="Z12" i="3"/>
  <c r="AA12" i="3"/>
  <c r="Z15" i="3"/>
  <c r="AA15" i="3"/>
  <c r="F27" i="2"/>
  <c r="F28" i="2" s="1"/>
  <c r="F13" i="2"/>
  <c r="F14" i="2" s="1"/>
  <c r="F21" i="2"/>
  <c r="F22" i="2" s="1"/>
  <c r="F7" i="2"/>
  <c r="F8" i="2" s="1"/>
  <c r="F24" i="2" l="1"/>
  <c r="F25" i="2" s="1"/>
  <c r="F10" i="2"/>
  <c r="F11" i="2" s="1"/>
  <c r="K28" i="2"/>
  <c r="K22" i="2"/>
  <c r="K25" i="2"/>
  <c r="F4" i="2"/>
  <c r="F5" i="2" s="1"/>
  <c r="F18" i="2"/>
  <c r="F19" i="2" s="1"/>
  <c r="K19" i="2"/>
  <c r="K14" i="2"/>
  <c r="K8" i="2"/>
  <c r="K11" i="2"/>
  <c r="K5" i="2"/>
  <c r="N8" i="2" l="1"/>
  <c r="M8" i="2"/>
  <c r="M14" i="2"/>
  <c r="N14" i="2"/>
  <c r="M5" i="2"/>
  <c r="N5" i="2"/>
  <c r="M11" i="2"/>
  <c r="N11" i="2"/>
</calcChain>
</file>

<file path=xl/sharedStrings.xml><?xml version="1.0" encoding="utf-8"?>
<sst xmlns="http://schemas.openxmlformats.org/spreadsheetml/2006/main" count="796" uniqueCount="104">
  <si>
    <t>Time (s)</t>
  </si>
  <si>
    <t>Power (W)</t>
  </si>
  <si>
    <r>
      <t>T</t>
    </r>
    <r>
      <rPr>
        <vertAlign val="subscript"/>
        <sz val="11"/>
        <color theme="1"/>
        <rFont val="Calibri"/>
        <family val="2"/>
        <scheme val="minor"/>
      </rPr>
      <t>o</t>
    </r>
  </si>
  <si>
    <t>T</t>
  </si>
  <si>
    <t>∆T</t>
  </si>
  <si>
    <t>Crystal (40mg/20g)</t>
  </si>
  <si>
    <t>SiL-250 (40mg/20g)</t>
  </si>
  <si>
    <t>SiL-90 (40mg/20g)</t>
  </si>
  <si>
    <t>SiL-40 (40mg/20g)</t>
  </si>
  <si>
    <t>Crystal (60mg/20g)</t>
  </si>
  <si>
    <t>SiL-250 (60mg/20g)</t>
  </si>
  <si>
    <t>SiL-90 (60mg/20g)</t>
  </si>
  <si>
    <t>SiL-40 (60mg/20g)</t>
  </si>
  <si>
    <t>Crystal (80mg/20g)</t>
  </si>
  <si>
    <t>SiL-250 (80mg/20g)</t>
  </si>
  <si>
    <t>SiL-90 (80mg/20g)</t>
  </si>
  <si>
    <t>SiL-40 (80mg/20g)</t>
  </si>
  <si>
    <t>WetMix</t>
  </si>
  <si>
    <t>DryMix</t>
  </si>
  <si>
    <t>MWCNT (mg)</t>
  </si>
  <si>
    <t>PureMWCNT</t>
  </si>
  <si>
    <t>Crystal Sand</t>
  </si>
  <si>
    <t>SIL-250</t>
  </si>
  <si>
    <t>SIL-90</t>
  </si>
  <si>
    <t>SIL-40</t>
  </si>
  <si>
    <t>Crystal (100mg/20g)</t>
  </si>
  <si>
    <t>SiL-250 (100mg/20g)</t>
  </si>
  <si>
    <t>SiL-90 (100mg/20g)</t>
  </si>
  <si>
    <t>SiL-40 (100mg/20g)</t>
  </si>
  <si>
    <t>another 19 hr</t>
  </si>
  <si>
    <t>Crystal (120mg/20g)</t>
  </si>
  <si>
    <t>SiL-250 (120mg/20g)</t>
  </si>
  <si>
    <t>SiL-90 (120mg/20g)</t>
  </si>
  <si>
    <t>SiL-40 (120mg/20g)</t>
  </si>
  <si>
    <t>Blank</t>
  </si>
  <si>
    <t>Crystal (140mg/20g)</t>
  </si>
  <si>
    <t>SiL-250 (140mg/20g)</t>
  </si>
  <si>
    <t>SiL-90 (140mg/20g)</t>
  </si>
  <si>
    <t>SiL-40 (140mg/20g)</t>
  </si>
  <si>
    <t>3-30-2015 Micrwave response of MWCNT in sand</t>
    <phoneticPr fontId="4" type="noConversion"/>
  </si>
  <si>
    <t>Analyst:Yang He</t>
    <phoneticPr fontId="4" type="noConversion"/>
  </si>
  <si>
    <t>MWCNT was dispersed by using 1.5 wt% SDBS solution, then mixed with sand</t>
    <phoneticPr fontId="4" type="noConversion"/>
  </si>
  <si>
    <t xml:space="preserve">WA 16 </t>
    <phoneticPr fontId="1" type="noConversion"/>
  </si>
  <si>
    <t>QAPP: L19953-QP-1</t>
    <phoneticPr fontId="1" type="noConversion"/>
  </si>
  <si>
    <t>Title: Quantitative detection of carbon nanotubes in environmental samples by microwave induced heating</t>
    <phoneticPr fontId="1" type="noConversion"/>
  </si>
  <si>
    <t>Analyst:</t>
    <phoneticPr fontId="1" type="noConversion"/>
  </si>
  <si>
    <t>Yang He</t>
  </si>
  <si>
    <t>Balances: AB54, used for weighing CNTs and environmental samples in nanohood</t>
    <phoneticPr fontId="1" type="noConversion"/>
  </si>
  <si>
    <t>Microwave induced heating system: Lab 131. Microwave condition: Power /Time</t>
  </si>
  <si>
    <t>Abbreviations</t>
    <phoneticPr fontId="1" type="noConversion"/>
  </si>
  <si>
    <t>CNT: Carbon nanotubes</t>
    <phoneticPr fontId="1" type="noConversion"/>
  </si>
  <si>
    <t>MWCNT:Multi walled CNT</t>
    <phoneticPr fontId="1" type="noConversion"/>
  </si>
  <si>
    <r>
      <t>T</t>
    </r>
    <r>
      <rPr>
        <vertAlign val="sub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: initial temperature of the sample before the microwave irradiation</t>
    </r>
  </si>
  <si>
    <t>T: final temperature of the sample after the microwave irradiation</t>
  </si>
  <si>
    <r>
      <rPr>
        <sz val="11"/>
        <color theme="1"/>
        <rFont val="Calibri"/>
        <family val="2"/>
      </rPr>
      <t>∆T: temperautre changes between the T</t>
    </r>
    <r>
      <rPr>
        <vertAlign val="subscript"/>
        <sz val="11"/>
        <color theme="1"/>
        <rFont val="Calibri"/>
        <family val="2"/>
      </rPr>
      <t>o</t>
    </r>
    <r>
      <rPr>
        <sz val="11"/>
        <color theme="1"/>
        <rFont val="Calibri"/>
        <family val="2"/>
      </rPr>
      <t xml:space="preserve"> and T</t>
    </r>
  </si>
  <si>
    <t>Power: microwave energy power</t>
  </si>
  <si>
    <t>Time: microwave exposure time</t>
  </si>
  <si>
    <t>Stock-SDBS-1</t>
    <phoneticPr fontId="4" type="noConversion"/>
  </si>
  <si>
    <t>Sample ID</t>
    <phoneticPr fontId="4" type="noConversion"/>
  </si>
  <si>
    <t>D1</t>
    <phoneticPr fontId="4" type="noConversion"/>
  </si>
  <si>
    <t>Crystal (20.1mg/20g)</t>
    <phoneticPr fontId="4" type="noConversion"/>
  </si>
  <si>
    <t>Sample mass(g)</t>
    <phoneticPr fontId="4" type="noConversion"/>
  </si>
  <si>
    <r>
      <t>T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3"/>
        <charset val="134"/>
        <scheme val="minor"/>
      </rPr>
      <t>(◦C)</t>
    </r>
    <phoneticPr fontId="4" type="noConversion"/>
  </si>
  <si>
    <t>T (◦C)</t>
    <phoneticPr fontId="4" type="noConversion"/>
  </si>
  <si>
    <t>∆T (◦C)</t>
    <phoneticPr fontId="4" type="noConversion"/>
  </si>
  <si>
    <t>MWCNT mass (mg)</t>
    <phoneticPr fontId="4" type="noConversion"/>
  </si>
  <si>
    <t>D2</t>
    <phoneticPr fontId="4" type="noConversion"/>
  </si>
  <si>
    <t>SiL-250 (20.1mg/20g)</t>
    <phoneticPr fontId="4" type="noConversion"/>
  </si>
  <si>
    <t>D3</t>
    <phoneticPr fontId="4" type="noConversion"/>
  </si>
  <si>
    <t>SiL-90 (20mg/20g)</t>
    <phoneticPr fontId="4" type="noConversion"/>
  </si>
  <si>
    <t>D4</t>
    <phoneticPr fontId="4" type="noConversion"/>
  </si>
  <si>
    <t>SiL-40 (19.9mg/20g)</t>
    <phoneticPr fontId="4" type="noConversion"/>
  </si>
  <si>
    <t>Replicate1</t>
    <phoneticPr fontId="4" type="noConversion"/>
  </si>
  <si>
    <t>Replicate2</t>
    <phoneticPr fontId="4" type="noConversion"/>
  </si>
  <si>
    <t>ave</t>
    <phoneticPr fontId="4" type="noConversion"/>
  </si>
  <si>
    <t>std</t>
    <phoneticPr fontId="4" type="noConversion"/>
  </si>
  <si>
    <t>ave  ∆T (◦C)</t>
    <phoneticPr fontId="4" type="noConversion"/>
  </si>
  <si>
    <t>4-7-2015 Micrwave response of MWCNT in sand</t>
    <phoneticPr fontId="4" type="noConversion"/>
  </si>
  <si>
    <t>Replicate 1</t>
    <phoneticPr fontId="4" type="noConversion"/>
  </si>
  <si>
    <t>Replicate 2</t>
  </si>
  <si>
    <t>Replicate 2</t>
    <phoneticPr fontId="4" type="noConversion"/>
  </si>
  <si>
    <t>Replicate 3</t>
    <phoneticPr fontId="4" type="noConversion"/>
  </si>
  <si>
    <t>4-8-2015 Micrwave response of MWCNT in sand</t>
    <phoneticPr fontId="4" type="noConversion"/>
  </si>
  <si>
    <t>Stock3-SDBS was tumbled overnight</t>
    <phoneticPr fontId="4" type="noConversion"/>
  </si>
  <si>
    <t>4-10-2015 Micrwave response of MWCNT in sand</t>
    <phoneticPr fontId="4" type="noConversion"/>
  </si>
  <si>
    <r>
      <t>T</t>
    </r>
    <r>
      <rPr>
        <vertAlign val="subscript"/>
        <sz val="11"/>
        <color rgb="FF7030A0"/>
        <rFont val="Calibri"/>
        <family val="2"/>
        <scheme val="minor"/>
      </rPr>
      <t>o</t>
    </r>
  </si>
  <si>
    <t>4-12-2015 Micrwave response of MWCNT in sand</t>
    <phoneticPr fontId="4" type="noConversion"/>
  </si>
  <si>
    <t>4-15-2015 Micrwave response of MWCNT in sand</t>
    <phoneticPr fontId="4" type="noConversion"/>
  </si>
  <si>
    <t>4-16-2015 Micrwave response of MWCNT in sand</t>
    <phoneticPr fontId="4" type="noConversion"/>
  </si>
  <si>
    <t>4-19-2015 Micrwave response of MWCNT in sand</t>
    <phoneticPr fontId="4" type="noConversion"/>
  </si>
  <si>
    <t>Crystsal +2 ml SDBS</t>
    <phoneticPr fontId="4" type="noConversion"/>
  </si>
  <si>
    <t>SIL-250+ 2 mlSDBS</t>
    <phoneticPr fontId="4" type="noConversion"/>
  </si>
  <si>
    <t xml:space="preserve"> Crystal+2ml SDBS</t>
    <phoneticPr fontId="4" type="noConversion"/>
  </si>
  <si>
    <t xml:space="preserve"> SiL-250+ 2ml SDBS</t>
    <phoneticPr fontId="4" type="noConversion"/>
  </si>
  <si>
    <t>Control data (sand plus surfactant, no MWCNT)</t>
    <phoneticPr fontId="4" type="noConversion"/>
  </si>
  <si>
    <t>4/23/2015 Micrwave response of MWCNT in sand</t>
    <phoneticPr fontId="4" type="noConversion"/>
  </si>
  <si>
    <t>4/25/2015 Micrwave response of control sample (sand and surfactant SDBS)</t>
    <phoneticPr fontId="4" type="noConversion"/>
  </si>
  <si>
    <t>SDBS: Sodium dodecylbenzenesulfonate</t>
    <phoneticPr fontId="4" type="noConversion"/>
  </si>
  <si>
    <t>4/27/2015 Micrwave response of control sample (sand and surfactant SDBS)</t>
    <phoneticPr fontId="4" type="noConversion"/>
  </si>
  <si>
    <t>Crystsal + 4ml SDBS</t>
    <phoneticPr fontId="4" type="noConversion"/>
  </si>
  <si>
    <t>SIL-250+4ml SDBS</t>
    <phoneticPr fontId="4" type="noConversion"/>
  </si>
  <si>
    <t>5-1-2015 Micrwave response of control sample (sand and surfactant SDBS)</t>
    <phoneticPr fontId="4" type="noConversion"/>
  </si>
  <si>
    <t>SIL-90+4ml SDBS</t>
    <phoneticPr fontId="4" type="noConversion"/>
  </si>
  <si>
    <t>SIL-40+4ml SDBS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</si>
</sst>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Times New Roman"/>
      <family val="1"/>
    </font>
    <font>
      <sz val="11"/>
      <color rgb="FF7030A0"/>
      <name val="Times New Roman"/>
      <family val="1"/>
    </font>
    <font>
      <vertAlign val="subscript"/>
      <sz val="11"/>
      <color theme="1"/>
      <name val="Calibri"/>
      <family val="2"/>
    </font>
    <font>
      <sz val="11"/>
      <color theme="1"/>
      <name val="Calibri"/>
      <family val="3"/>
      <charset val="134"/>
      <scheme val="minor"/>
    </font>
    <font>
      <sz val="11"/>
      <color rgb="FF7030A0"/>
      <name val="Calibri"/>
      <family val="2"/>
      <scheme val="minor"/>
    </font>
    <font>
      <vertAlign val="subscript"/>
      <sz val="11"/>
      <color rgb="FF7030A0"/>
      <name val="Calibri"/>
      <family val="2"/>
      <scheme val="minor"/>
    </font>
    <font>
      <sz val="11"/>
      <color rgb="FF7030A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2" borderId="0" xfId="0" applyFill="1" applyAlignment="1">
      <alignment horizontal="center"/>
    </xf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3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Font="1" applyAlignment="1"/>
    <xf numFmtId="16" fontId="0" fillId="3" borderId="0" xfId="0" applyNumberFormat="1" applyFill="1"/>
    <xf numFmtId="0" fontId="9" fillId="0" borderId="0" xfId="0" applyFont="1"/>
    <xf numFmtId="0" fontId="9" fillId="2" borderId="0" xfId="0" applyFont="1" applyFill="1" applyAlignment="1">
      <alignment horizontal="center"/>
    </xf>
    <xf numFmtId="0" fontId="11" fillId="0" borderId="0" xfId="0" applyFont="1"/>
    <xf numFmtId="14" fontId="0" fillId="3" borderId="0" xfId="0" applyNumberForma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MWCNT/SDBS dispersion with 4 types of sands</a:t>
            </a:r>
          </a:p>
        </c:rich>
      </c:tx>
      <c:layout>
        <c:manualLayout>
          <c:xMode val="edge"/>
          <c:yMode val="edge"/>
          <c:x val="0.3194631542320358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72805185066134E-2"/>
          <c:y val="2.5428331875182269E-2"/>
          <c:w val="0.8692409877336762"/>
          <c:h val="0.81257143151326694"/>
        </c:manualLayout>
      </c:layout>
      <c:scatterChart>
        <c:scatterStyle val="lineMarker"/>
        <c:varyColors val="0"/>
        <c:ser>
          <c:idx val="0"/>
          <c:order val="0"/>
          <c:tx>
            <c:v>Crystal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32020997375328"/>
                  <c:y val="0.445826046154502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Plot!$B$4:$B$11</c:f>
              <c:numCache>
                <c:formatCode>General</c:formatCode>
                <c:ptCount val="8"/>
                <c:pt idx="0">
                  <c:v>0.46970297029702979</c:v>
                </c:pt>
                <c:pt idx="1">
                  <c:v>0.34957816377171219</c:v>
                </c:pt>
                <c:pt idx="2">
                  <c:v>0.25970149253731345</c:v>
                </c:pt>
                <c:pt idx="3">
                  <c:v>0.12698254364089775</c:v>
                </c:pt>
                <c:pt idx="4">
                  <c:v>0.65876543209876537</c:v>
                </c:pt>
                <c:pt idx="5">
                  <c:v>0.59085095917363506</c:v>
                </c:pt>
                <c:pt idx="6">
                  <c:v>0.71598622725036898</c:v>
                </c:pt>
                <c:pt idx="7">
                  <c:v>0.91177042801556429</c:v>
                </c:pt>
              </c:numCache>
            </c:numRef>
          </c:xVal>
          <c:yVal>
            <c:numRef>
              <c:f>Plot!$C$4:$C$11</c:f>
              <c:numCache>
                <c:formatCode>General</c:formatCode>
                <c:ptCount val="8"/>
                <c:pt idx="0">
                  <c:v>8.6475168852518074</c:v>
                </c:pt>
                <c:pt idx="1">
                  <c:v>7.5051565471384691</c:v>
                </c:pt>
                <c:pt idx="2">
                  <c:v>6.6314827878166938</c:v>
                </c:pt>
                <c:pt idx="3">
                  <c:v>4.4333751161918009</c:v>
                </c:pt>
                <c:pt idx="4">
                  <c:v>9.3220585180555897</c:v>
                </c:pt>
                <c:pt idx="5">
                  <c:v>9.507500201910748</c:v>
                </c:pt>
                <c:pt idx="6">
                  <c:v>9.7085727577550749</c:v>
                </c:pt>
                <c:pt idx="7">
                  <c:v>10.499917596573699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C1-4B50-BF3F-50CFC50CC550}"/>
            </c:ext>
          </c:extLst>
        </c:ser>
        <c:ser>
          <c:idx val="3"/>
          <c:order val="3"/>
          <c:tx>
            <c:v>SiL250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Plot!$N$4:$N$8</c:f>
              <c:numCache>
                <c:formatCode>General</c:formatCode>
                <c:ptCount val="5"/>
                <c:pt idx="0">
                  <c:v>4.6215139442231087E-2</c:v>
                </c:pt>
                <c:pt idx="1">
                  <c:v>0.123</c:v>
                </c:pt>
                <c:pt idx="2">
                  <c:v>0.16320000000000001</c:v>
                </c:pt>
                <c:pt idx="3">
                  <c:v>0.22600000000000003</c:v>
                </c:pt>
                <c:pt idx="4">
                  <c:v>0.16289999999999999</c:v>
                </c:pt>
              </c:numCache>
            </c:numRef>
          </c:xVal>
          <c:yVal>
            <c:numRef>
              <c:f>Plot!$O$4:$O$8</c:f>
              <c:numCache>
                <c:formatCode>General</c:formatCode>
                <c:ptCount val="5"/>
                <c:pt idx="0">
                  <c:v>0.90310355443381596</c:v>
                </c:pt>
                <c:pt idx="1">
                  <c:v>0.68033118130750481</c:v>
                </c:pt>
                <c:pt idx="2">
                  <c:v>1.2064353350660539</c:v>
                </c:pt>
                <c:pt idx="3">
                  <c:v>0.6726012034774449</c:v>
                </c:pt>
                <c:pt idx="4">
                  <c:v>1.1897646599867713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C1-4B50-BF3F-50CFC50CC550}"/>
            </c:ext>
          </c:extLst>
        </c:ser>
        <c:ser>
          <c:idx val="4"/>
          <c:order val="4"/>
          <c:tx>
            <c:v>SiL90</c:v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Plot!$B$38:$B$45</c:f>
              <c:numCache>
                <c:formatCode>General</c:formatCode>
                <c:ptCount val="8"/>
                <c:pt idx="0">
                  <c:v>4.5219123505976094E-2</c:v>
                </c:pt>
                <c:pt idx="1">
                  <c:v>0.1144</c:v>
                </c:pt>
                <c:pt idx="2">
                  <c:v>0.1042</c:v>
                </c:pt>
                <c:pt idx="3">
                  <c:v>0.15930000000000002</c:v>
                </c:pt>
                <c:pt idx="4">
                  <c:v>0.14909999999999998</c:v>
                </c:pt>
                <c:pt idx="5">
                  <c:v>0.19</c:v>
                </c:pt>
                <c:pt idx="6">
                  <c:v>0.19839999999999999</c:v>
                </c:pt>
                <c:pt idx="7">
                  <c:v>0.23284313725490199</c:v>
                </c:pt>
              </c:numCache>
            </c:numRef>
          </c:xVal>
          <c:yVal>
            <c:numRef>
              <c:f>Plot!$C$38:$C$45</c:f>
              <c:numCache>
                <c:formatCode>General</c:formatCode>
                <c:ptCount val="8"/>
                <c:pt idx="0">
                  <c:v>0.72512779981660458</c:v>
                </c:pt>
                <c:pt idx="1">
                  <c:v>0.34132974394140803</c:v>
                </c:pt>
                <c:pt idx="2">
                  <c:v>0.51576647256413466</c:v>
                </c:pt>
                <c:pt idx="3">
                  <c:v>0.95609581208800876</c:v>
                </c:pt>
                <c:pt idx="4">
                  <c:v>0.85569923256035096</c:v>
                </c:pt>
                <c:pt idx="5">
                  <c:v>0.52582475696950581</c:v>
                </c:pt>
                <c:pt idx="6">
                  <c:v>0.68545345577319949</c:v>
                </c:pt>
                <c:pt idx="7">
                  <c:v>0.339187701892115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C1-4B50-BF3F-50CFC50CC550}"/>
            </c:ext>
          </c:extLst>
        </c:ser>
        <c:ser>
          <c:idx val="5"/>
          <c:order val="5"/>
          <c:tx>
            <c:v>SiL40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Plot!$N$38:$N$45</c:f>
              <c:numCache>
                <c:formatCode>General</c:formatCode>
                <c:ptCount val="8"/>
                <c:pt idx="0">
                  <c:v>5.6899999999999999E-2</c:v>
                </c:pt>
                <c:pt idx="1">
                  <c:v>8.0799999999999983E-2</c:v>
                </c:pt>
                <c:pt idx="2">
                  <c:v>9.4400000000000012E-2</c:v>
                </c:pt>
                <c:pt idx="3">
                  <c:v>0.13109999999999999</c:v>
                </c:pt>
                <c:pt idx="4">
                  <c:v>0.13589999999999999</c:v>
                </c:pt>
                <c:pt idx="5">
                  <c:v>0.16599999999999998</c:v>
                </c:pt>
                <c:pt idx="6">
                  <c:v>0.21159999999999998</c:v>
                </c:pt>
                <c:pt idx="7">
                  <c:v>0.16274509803921569</c:v>
                </c:pt>
              </c:numCache>
            </c:numRef>
          </c:xVal>
          <c:yVal>
            <c:numRef>
              <c:f>Plot!$O$38:$O$45</c:f>
              <c:numCache>
                <c:formatCode>General</c:formatCode>
                <c:ptCount val="8"/>
                <c:pt idx="0">
                  <c:v>0.68210069430473297</c:v>
                </c:pt>
                <c:pt idx="1">
                  <c:v>0.68442900088007619</c:v>
                </c:pt>
                <c:pt idx="2">
                  <c:v>0.86603691375474057</c:v>
                </c:pt>
                <c:pt idx="3">
                  <c:v>1.2816862035802643</c:v>
                </c:pt>
                <c:pt idx="4">
                  <c:v>1.1942350086113578</c:v>
                </c:pt>
                <c:pt idx="5">
                  <c:v>0.34291299241262152</c:v>
                </c:pt>
                <c:pt idx="6">
                  <c:v>0.47834828366925919</c:v>
                </c:pt>
                <c:pt idx="7">
                  <c:v>0.35567211244535102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C1-4B50-BF3F-50CFC50CC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815792"/>
        <c:axId val="46368972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Plot!$D$2</c15:sqref>
                        </c15:formulaRef>
                      </c:ext>
                    </c:extLst>
                    <c:strCache>
                      <c:ptCount val="1"/>
                      <c:pt idx="0">
                        <c:v>DryMix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7.6316888960308527E-2"/>
                        <c:y val="2.7726459041519637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tx1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Plot!$E$4:$E$9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6.7449999999999996E-2</c:v>
                      </c:pt>
                      <c:pt idx="1">
                        <c:v>0.13500000000000001</c:v>
                      </c:pt>
                      <c:pt idx="2">
                        <c:v>0.26800000000000002</c:v>
                      </c:pt>
                      <c:pt idx="3">
                        <c:v>0.39929999999999999</c:v>
                      </c:pt>
                      <c:pt idx="4">
                        <c:v>0.53359999999999996</c:v>
                      </c:pt>
                      <c:pt idx="5">
                        <c:v>0.66500000000000004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Plot!$F$4:$F$9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0.43613838768833446</c:v>
                      </c:pt>
                      <c:pt idx="1">
                        <c:v>3.7367457888571067</c:v>
                      </c:pt>
                      <c:pt idx="2">
                        <c:v>8.2934280212776663</c:v>
                      </c:pt>
                      <c:pt idx="3">
                        <c:v>11.895970219133513</c:v>
                      </c:pt>
                      <c:pt idx="4">
                        <c:v>20.463952151772489</c:v>
                      </c:pt>
                      <c:pt idx="5">
                        <c:v>30.359068832341961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F4C1-4B50-BF3F-50CFC50CC550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Plot!$G$2</c15:sqref>
                        </c15:formulaRef>
                      </c:ext>
                    </c:extLst>
                    <c:strCache>
                      <c:ptCount val="1"/>
                      <c:pt idx="0">
                        <c:v>PureMWCNT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triangle"/>
                  <c:size val="5"/>
                  <c:spPr>
                    <a:solidFill>
                      <a:srgbClr val="FF0000"/>
                    </a:solidFill>
                    <a:ln w="9525">
                      <a:solidFill>
                        <a:srgbClr val="FF0000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Plot!$H$4:$H$10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3.6</c:v>
                      </c:pt>
                      <c:pt idx="1">
                        <c:v>2.7</c:v>
                      </c:pt>
                      <c:pt idx="2">
                        <c:v>3</c:v>
                      </c:pt>
                      <c:pt idx="3">
                        <c:v>3.3</c:v>
                      </c:pt>
                      <c:pt idx="4">
                        <c:v>4.2</c:v>
                      </c:pt>
                      <c:pt idx="5">
                        <c:v>4.0999999999999996</c:v>
                      </c:pt>
                      <c:pt idx="6">
                        <c:v>2.8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Plot!$I$4:$I$10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87.542650851169299</c:v>
                      </c:pt>
                      <c:pt idx="1">
                        <c:v>63.387122058100829</c:v>
                      </c:pt>
                      <c:pt idx="2">
                        <c:v>69.632105954414953</c:v>
                      </c:pt>
                      <c:pt idx="3">
                        <c:v>86.276797132301155</c:v>
                      </c:pt>
                      <c:pt idx="4">
                        <c:v>109.97858553997196</c:v>
                      </c:pt>
                      <c:pt idx="5">
                        <c:v>97.12000025033953</c:v>
                      </c:pt>
                      <c:pt idx="6">
                        <c:v>73.783476578204429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F4C1-4B50-BF3F-50CFC50CC550}"/>
                  </c:ext>
                </c:extLst>
              </c15:ser>
            </c15:filteredScatterSeries>
          </c:ext>
        </c:extLst>
      </c:scatterChart>
      <c:valAx>
        <c:axId val="468815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 Mass (mg)</a:t>
                </a:r>
              </a:p>
            </c:rich>
          </c:tx>
          <c:layout>
            <c:manualLayout>
              <c:xMode val="edge"/>
              <c:yMode val="edge"/>
              <c:x val="0.31648883175317366"/>
              <c:y val="0.92960622022307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3689728"/>
        <c:crosses val="autoZero"/>
        <c:crossBetween val="midCat"/>
      </c:valAx>
      <c:valAx>
        <c:axId val="46368972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 T (○C)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7498067949839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8815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10302962129733782"/>
          <c:y val="0.11124892806763875"/>
          <c:w val="0.15448122556109059"/>
          <c:h val="0.316902185344643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Pure MWCNT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97639819444163"/>
          <c:y val="4.1660844493125328E-2"/>
          <c:w val="0.8366479190101237"/>
          <c:h val="0.813273717222461"/>
        </c:manualLayout>
      </c:layout>
      <c:scatterChart>
        <c:scatterStyle val="lineMarker"/>
        <c:varyColors val="0"/>
        <c:ser>
          <c:idx val="0"/>
          <c:order val="0"/>
          <c:tx>
            <c:strRef>
              <c:f>Plot!$G$2</c:f>
              <c:strCache>
                <c:ptCount val="1"/>
                <c:pt idx="0">
                  <c:v>PureMWCNT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0954543921084415"/>
                  <c:y val="0.3222302605779502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Plot!$H$4:$H$10</c:f>
              <c:numCache>
                <c:formatCode>General</c:formatCode>
                <c:ptCount val="7"/>
                <c:pt idx="0">
                  <c:v>3.6</c:v>
                </c:pt>
                <c:pt idx="1">
                  <c:v>2.7</c:v>
                </c:pt>
                <c:pt idx="2">
                  <c:v>3</c:v>
                </c:pt>
                <c:pt idx="3">
                  <c:v>3.3</c:v>
                </c:pt>
                <c:pt idx="4">
                  <c:v>4.2</c:v>
                </c:pt>
                <c:pt idx="5">
                  <c:v>4.0999999999999996</c:v>
                </c:pt>
                <c:pt idx="6">
                  <c:v>2.8</c:v>
                </c:pt>
              </c:numCache>
            </c:numRef>
          </c:xVal>
          <c:yVal>
            <c:numRef>
              <c:f>Plot!$I$4:$I$10</c:f>
              <c:numCache>
                <c:formatCode>General</c:formatCode>
                <c:ptCount val="7"/>
                <c:pt idx="0">
                  <c:v>87.542650851169299</c:v>
                </c:pt>
                <c:pt idx="1">
                  <c:v>63.387122058100829</c:v>
                </c:pt>
                <c:pt idx="2">
                  <c:v>69.632105954414953</c:v>
                </c:pt>
                <c:pt idx="3">
                  <c:v>86.276797132301155</c:v>
                </c:pt>
                <c:pt idx="4">
                  <c:v>109.97858553997196</c:v>
                </c:pt>
                <c:pt idx="5">
                  <c:v>97.12000025033953</c:v>
                </c:pt>
                <c:pt idx="6">
                  <c:v>73.783476578204429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D9-4084-B721-5B2355BAF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690512"/>
        <c:axId val="463690904"/>
      </c:scatterChart>
      <c:valAx>
        <c:axId val="463690512"/>
        <c:scaling>
          <c:orientation val="minMax"/>
          <c:min val="2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MWCNT</a:t>
                </a:r>
                <a:r>
                  <a:rPr lang="en-US" baseline="0"/>
                  <a:t> Mass (mg)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374846894138236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690904"/>
        <c:crosses val="autoZero"/>
        <c:crossBetween val="midCat"/>
      </c:valAx>
      <c:valAx>
        <c:axId val="4636909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Delta T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365721420239136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690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7794722317807965"/>
          <c:y val="0.64633037792291892"/>
          <c:w val="0.27749407930692466"/>
          <c:h val="7.0960651121838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MWCNT/SDBS Dispersion with 3 types sands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90048118985128"/>
          <c:y val="3.7453703703703718E-2"/>
          <c:w val="0.84328018372703406"/>
          <c:h val="0.80790135608048996"/>
        </c:manualLayout>
      </c:layout>
      <c:scatterChart>
        <c:scatterStyle val="lineMarker"/>
        <c:varyColors val="0"/>
        <c:ser>
          <c:idx val="0"/>
          <c:order val="0"/>
          <c:tx>
            <c:v>SiL250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Plot!$N$4:$N$9</c:f>
              <c:numCache>
                <c:formatCode>General</c:formatCode>
                <c:ptCount val="6"/>
                <c:pt idx="0">
                  <c:v>4.6215139442231087E-2</c:v>
                </c:pt>
                <c:pt idx="1">
                  <c:v>0.123</c:v>
                </c:pt>
                <c:pt idx="2">
                  <c:v>0.16320000000000001</c:v>
                </c:pt>
                <c:pt idx="3">
                  <c:v>0.22600000000000003</c:v>
                </c:pt>
                <c:pt idx="4">
                  <c:v>0.16289999999999999</c:v>
                </c:pt>
                <c:pt idx="5">
                  <c:v>0.51839999999999997</c:v>
                </c:pt>
              </c:numCache>
            </c:numRef>
          </c:xVal>
          <c:yVal>
            <c:numRef>
              <c:f>Plot!$O$4:$O$9</c:f>
              <c:numCache>
                <c:formatCode>General</c:formatCode>
                <c:ptCount val="6"/>
                <c:pt idx="0">
                  <c:v>0.90310355443381596</c:v>
                </c:pt>
                <c:pt idx="1">
                  <c:v>0.68033118130750481</c:v>
                </c:pt>
                <c:pt idx="2">
                  <c:v>1.2064353350660539</c:v>
                </c:pt>
                <c:pt idx="3">
                  <c:v>0.6726012034774449</c:v>
                </c:pt>
                <c:pt idx="4">
                  <c:v>1.1897646599867713</c:v>
                </c:pt>
                <c:pt idx="5">
                  <c:v>1.5460886982732021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6D-4485-947B-AE59B02CE0AA}"/>
            </c:ext>
          </c:extLst>
        </c:ser>
        <c:ser>
          <c:idx val="2"/>
          <c:order val="2"/>
          <c:tx>
            <c:v>SiL90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Plot!$B$38:$B$45</c:f>
              <c:numCache>
                <c:formatCode>General</c:formatCode>
                <c:ptCount val="8"/>
                <c:pt idx="0">
                  <c:v>4.5219123505976094E-2</c:v>
                </c:pt>
                <c:pt idx="1">
                  <c:v>0.1144</c:v>
                </c:pt>
                <c:pt idx="2">
                  <c:v>0.1042</c:v>
                </c:pt>
                <c:pt idx="3">
                  <c:v>0.15930000000000002</c:v>
                </c:pt>
                <c:pt idx="4">
                  <c:v>0.14909999999999998</c:v>
                </c:pt>
                <c:pt idx="5">
                  <c:v>0.19</c:v>
                </c:pt>
                <c:pt idx="6">
                  <c:v>0.19839999999999999</c:v>
                </c:pt>
                <c:pt idx="7">
                  <c:v>0.23284313725490199</c:v>
                </c:pt>
              </c:numCache>
            </c:numRef>
          </c:xVal>
          <c:yVal>
            <c:numRef>
              <c:f>Plot!$C$38:$C$45</c:f>
              <c:numCache>
                <c:formatCode>General</c:formatCode>
                <c:ptCount val="8"/>
                <c:pt idx="0">
                  <c:v>0.72512779981660458</c:v>
                </c:pt>
                <c:pt idx="1">
                  <c:v>0.34132974394140803</c:v>
                </c:pt>
                <c:pt idx="2">
                  <c:v>0.51576647256413466</c:v>
                </c:pt>
                <c:pt idx="3">
                  <c:v>0.95609581208800876</c:v>
                </c:pt>
                <c:pt idx="4">
                  <c:v>0.85569923256035096</c:v>
                </c:pt>
                <c:pt idx="5">
                  <c:v>0.52582475696950581</c:v>
                </c:pt>
                <c:pt idx="6">
                  <c:v>0.68545345577319949</c:v>
                </c:pt>
                <c:pt idx="7">
                  <c:v>0.339187701892115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6D-4485-947B-AE59B02CE0AA}"/>
            </c:ext>
          </c:extLst>
        </c:ser>
        <c:ser>
          <c:idx val="3"/>
          <c:order val="3"/>
          <c:tx>
            <c:v>SiL40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Plot!$N$38:$N$45</c:f>
              <c:numCache>
                <c:formatCode>General</c:formatCode>
                <c:ptCount val="8"/>
                <c:pt idx="0">
                  <c:v>5.6899999999999999E-2</c:v>
                </c:pt>
                <c:pt idx="1">
                  <c:v>8.0799999999999983E-2</c:v>
                </c:pt>
                <c:pt idx="2">
                  <c:v>9.4400000000000012E-2</c:v>
                </c:pt>
                <c:pt idx="3">
                  <c:v>0.13109999999999999</c:v>
                </c:pt>
                <c:pt idx="4">
                  <c:v>0.13589999999999999</c:v>
                </c:pt>
                <c:pt idx="5">
                  <c:v>0.16599999999999998</c:v>
                </c:pt>
                <c:pt idx="6">
                  <c:v>0.21159999999999998</c:v>
                </c:pt>
                <c:pt idx="7">
                  <c:v>0.16274509803921569</c:v>
                </c:pt>
              </c:numCache>
            </c:numRef>
          </c:xVal>
          <c:yVal>
            <c:numRef>
              <c:f>Plot!$O$38:$O$45</c:f>
              <c:numCache>
                <c:formatCode>General</c:formatCode>
                <c:ptCount val="8"/>
                <c:pt idx="0">
                  <c:v>0.68210069430473297</c:v>
                </c:pt>
                <c:pt idx="1">
                  <c:v>0.68442900088007619</c:v>
                </c:pt>
                <c:pt idx="2">
                  <c:v>0.86603691375474057</c:v>
                </c:pt>
                <c:pt idx="3">
                  <c:v>1.2816862035802643</c:v>
                </c:pt>
                <c:pt idx="4">
                  <c:v>1.1942350086113578</c:v>
                </c:pt>
                <c:pt idx="5">
                  <c:v>0.34291299241262152</c:v>
                </c:pt>
                <c:pt idx="6">
                  <c:v>0.47834828366925919</c:v>
                </c:pt>
                <c:pt idx="7">
                  <c:v>0.35567211244535102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6D-4485-947B-AE59B02CE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809200"/>
        <c:axId val="46980959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DryMix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Plot!$Q$4:$Q$5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8.1699999999999995E-2</c:v>
                      </c:pt>
                      <c:pt idx="1">
                        <c:v>0.29199999999999998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Plot!$R$4:$R$5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0.15851111164754528</c:v>
                      </c:pt>
                      <c:pt idx="1">
                        <c:v>0.33397229516339522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256D-4485-947B-AE59B02CE0AA}"/>
                  </c:ext>
                </c:extLst>
              </c15:ser>
            </c15:filteredScatterSeries>
          </c:ext>
        </c:extLst>
      </c:scatterChart>
      <c:valAx>
        <c:axId val="469809200"/>
        <c:scaling>
          <c:orientation val="minMax"/>
          <c:max val="0.3000000000000000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 Mass (mg)</a:t>
                </a:r>
              </a:p>
            </c:rich>
          </c:tx>
          <c:layout>
            <c:manualLayout>
              <c:xMode val="edge"/>
              <c:yMode val="edge"/>
              <c:x val="0.42629046369203855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9809592"/>
        <c:crosses val="autoZero"/>
        <c:crossBetween val="midCat"/>
      </c:valAx>
      <c:valAx>
        <c:axId val="4698095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>
                    <a:ea typeface="宋体" panose="02010600030101010101" pitchFamily="2" charset="-122"/>
                  </a:rPr>
                  <a:t>Δ</a:t>
                </a:r>
                <a:r>
                  <a:rPr lang="en-US"/>
                  <a:t> T (</a:t>
                </a:r>
                <a:r>
                  <a:rPr lang="en-US" altLang="zh-CN" sz="1200" b="0" i="0" u="none" strike="noStrike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▫</a:t>
                </a:r>
                <a:r>
                  <a:rPr lang="en-US" altLang="zh-CN" sz="1200" b="0" i="0" u="none" strike="noStrike" baseline="0">
                    <a:effectLst/>
                  </a:rPr>
                  <a:t>C</a:t>
                </a:r>
                <a:r>
                  <a:rPr lang="en-US">
                    <a:latin typeface="宋体" panose="02010600030101010101" pitchFamily="2" charset="-122"/>
                    <a:ea typeface="宋体" panose="02010600030101010101" pitchFamily="2" charset="-122"/>
                  </a:rPr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7777777777777779E-3"/>
              <c:y val="0.34720290172061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9809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987029746281717"/>
          <c:y val="0.10726778944298625"/>
          <c:w val="0.13040025042741216"/>
          <c:h val="0.246790123999454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MWCNT-SIL90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90048118985128"/>
          <c:y val="3.7453703703703718E-2"/>
          <c:w val="0.84328018372703406"/>
          <c:h val="0.80790135608048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Plot!$N$2</c:f>
              <c:strCache>
                <c:ptCount val="1"/>
                <c:pt idx="0">
                  <c:v>WetMix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Plot!$B$38:$B$45</c:f>
              <c:numCache>
                <c:formatCode>General</c:formatCode>
                <c:ptCount val="8"/>
                <c:pt idx="0">
                  <c:v>4.5219123505976094E-2</c:v>
                </c:pt>
                <c:pt idx="1">
                  <c:v>0.1144</c:v>
                </c:pt>
                <c:pt idx="2">
                  <c:v>0.1042</c:v>
                </c:pt>
                <c:pt idx="3">
                  <c:v>0.15930000000000002</c:v>
                </c:pt>
                <c:pt idx="4">
                  <c:v>0.14909999999999998</c:v>
                </c:pt>
                <c:pt idx="5">
                  <c:v>0.19</c:v>
                </c:pt>
                <c:pt idx="6">
                  <c:v>0.19839999999999999</c:v>
                </c:pt>
                <c:pt idx="7">
                  <c:v>0.23284313725490199</c:v>
                </c:pt>
              </c:numCache>
            </c:numRef>
          </c:xVal>
          <c:yVal>
            <c:numRef>
              <c:f>Plot!$C$38:$C$45</c:f>
              <c:numCache>
                <c:formatCode>General</c:formatCode>
                <c:ptCount val="8"/>
                <c:pt idx="0">
                  <c:v>0.72512779981660458</c:v>
                </c:pt>
                <c:pt idx="1">
                  <c:v>0.34132974394140803</c:v>
                </c:pt>
                <c:pt idx="2">
                  <c:v>0.51576647256413466</c:v>
                </c:pt>
                <c:pt idx="3">
                  <c:v>0.95609581208800876</c:v>
                </c:pt>
                <c:pt idx="4">
                  <c:v>0.85569923256035096</c:v>
                </c:pt>
                <c:pt idx="5">
                  <c:v>0.52582475696950581</c:v>
                </c:pt>
                <c:pt idx="6">
                  <c:v>0.68545345577319949</c:v>
                </c:pt>
                <c:pt idx="7">
                  <c:v>0.339187701892115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7E-4CD8-BAAA-3AFC7CDEFC6B}"/>
            </c:ext>
          </c:extLst>
        </c:ser>
        <c:ser>
          <c:idx val="1"/>
          <c:order val="1"/>
          <c:tx>
            <c:v>DryMix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Plot!$E$38:$E$40</c:f>
              <c:numCache>
                <c:formatCode>General</c:formatCode>
                <c:ptCount val="3"/>
                <c:pt idx="0">
                  <c:v>3.5700000000000003E-2</c:v>
                </c:pt>
                <c:pt idx="1">
                  <c:v>7.1400000000000005E-2</c:v>
                </c:pt>
                <c:pt idx="2">
                  <c:v>0.34450000000000003</c:v>
                </c:pt>
              </c:numCache>
            </c:numRef>
          </c:xVal>
          <c:yVal>
            <c:numRef>
              <c:f>Plot!$F$38:$F$40</c:f>
              <c:numCache>
                <c:formatCode>General</c:formatCode>
                <c:ptCount val="3"/>
                <c:pt idx="0">
                  <c:v>0.16363338611324352</c:v>
                </c:pt>
                <c:pt idx="1">
                  <c:v>9.5926230903096155E-3</c:v>
                </c:pt>
                <c:pt idx="2">
                  <c:v>0.25229530050131999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7E-4CD8-BAAA-3AFC7CDEF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810376"/>
        <c:axId val="469810768"/>
      </c:scatterChart>
      <c:valAx>
        <c:axId val="469810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MWCNT Mass (mg)</a:t>
                </a:r>
              </a:p>
            </c:rich>
          </c:tx>
          <c:layout>
            <c:manualLayout>
              <c:xMode val="edge"/>
              <c:yMode val="edge"/>
              <c:x val="0.42629046369203855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810768"/>
        <c:crosses val="autoZero"/>
        <c:crossBetween val="midCat"/>
      </c:valAx>
      <c:valAx>
        <c:axId val="469810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Delta T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4720290172061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810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987029746281717"/>
          <c:y val="0.10726778944298625"/>
          <c:w val="0.12512970253718286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MWCNT-SIL40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90048118985128"/>
          <c:y val="3.7453703703703718E-2"/>
          <c:w val="0.84328018372703406"/>
          <c:h val="0.80790135608048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Plot!$N$2</c:f>
              <c:strCache>
                <c:ptCount val="1"/>
                <c:pt idx="0">
                  <c:v>WetMix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Plot!$N$38:$N$44</c:f>
              <c:numCache>
                <c:formatCode>General</c:formatCode>
                <c:ptCount val="7"/>
                <c:pt idx="0">
                  <c:v>5.6899999999999999E-2</c:v>
                </c:pt>
                <c:pt idx="1">
                  <c:v>8.0799999999999983E-2</c:v>
                </c:pt>
                <c:pt idx="2">
                  <c:v>9.4400000000000012E-2</c:v>
                </c:pt>
                <c:pt idx="3">
                  <c:v>0.13109999999999999</c:v>
                </c:pt>
                <c:pt idx="4">
                  <c:v>0.13589999999999999</c:v>
                </c:pt>
                <c:pt idx="5">
                  <c:v>0.16599999999999998</c:v>
                </c:pt>
                <c:pt idx="6">
                  <c:v>0.21159999999999998</c:v>
                </c:pt>
              </c:numCache>
            </c:numRef>
          </c:xVal>
          <c:yVal>
            <c:numRef>
              <c:f>Plot!$O$38:$O$44</c:f>
              <c:numCache>
                <c:formatCode>General</c:formatCode>
                <c:ptCount val="7"/>
                <c:pt idx="0">
                  <c:v>0.68210069430473297</c:v>
                </c:pt>
                <c:pt idx="1">
                  <c:v>0.68442900088007619</c:v>
                </c:pt>
                <c:pt idx="2">
                  <c:v>0.86603691375474057</c:v>
                </c:pt>
                <c:pt idx="3">
                  <c:v>1.2816862035802643</c:v>
                </c:pt>
                <c:pt idx="4">
                  <c:v>1.1942350086113578</c:v>
                </c:pt>
                <c:pt idx="5">
                  <c:v>0.34291299241262152</c:v>
                </c:pt>
                <c:pt idx="6">
                  <c:v>0.47834828366925919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B0-4727-B2C9-3F5DBE51F7A6}"/>
            </c:ext>
          </c:extLst>
        </c:ser>
        <c:ser>
          <c:idx val="1"/>
          <c:order val="1"/>
          <c:tx>
            <c:strRef>
              <c:f>Plot!$Q$36</c:f>
              <c:strCache>
                <c:ptCount val="1"/>
                <c:pt idx="0">
                  <c:v>DryMix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Plot!$Q$38:$Q$40</c:f>
              <c:numCache>
                <c:formatCode>General</c:formatCode>
                <c:ptCount val="3"/>
                <c:pt idx="0">
                  <c:v>2.5700000000000001E-2</c:v>
                </c:pt>
                <c:pt idx="1">
                  <c:v>5.1400000000000001E-2</c:v>
                </c:pt>
                <c:pt idx="2">
                  <c:v>0.42000000000000004</c:v>
                </c:pt>
              </c:numCache>
            </c:numRef>
          </c:xVal>
          <c:yVal>
            <c:numRef>
              <c:f>Plot!$R$38:$R$40</c:f>
              <c:numCache>
                <c:formatCode>General</c:formatCode>
                <c:ptCount val="3"/>
                <c:pt idx="0">
                  <c:v>0.3519468219248445</c:v>
                </c:pt>
                <c:pt idx="1">
                  <c:v>3.6321582574849742E-3</c:v>
                </c:pt>
                <c:pt idx="2">
                  <c:v>0.37476422636294515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B0-4727-B2C9-3F5DBE51F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229720"/>
        <c:axId val="469230112"/>
      </c:scatterChart>
      <c:valAx>
        <c:axId val="469229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MWCNT Mass (mg)</a:t>
                </a:r>
              </a:p>
            </c:rich>
          </c:tx>
          <c:layout>
            <c:manualLayout>
              <c:xMode val="edge"/>
              <c:yMode val="edge"/>
              <c:x val="0.42629046369203855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230112"/>
        <c:crosses val="autoZero"/>
        <c:crossBetween val="midCat"/>
      </c:valAx>
      <c:valAx>
        <c:axId val="469230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Delta T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4720290172061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229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987029746281717"/>
          <c:y val="0.10726778944298625"/>
          <c:w val="0.12512970253718286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MWCNT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15048118985127"/>
          <c:y val="0.17171296296296296"/>
          <c:w val="0.82959470691163606"/>
          <c:h val="0.62271617089530473"/>
        </c:manualLayout>
      </c:layout>
      <c:scatterChart>
        <c:scatterStyle val="lineMarker"/>
        <c:varyColors val="0"/>
        <c:ser>
          <c:idx val="0"/>
          <c:order val="0"/>
          <c:tx>
            <c:v>DryMWCNT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39-4048-B3FD-18503030A7AD}"/>
            </c:ext>
          </c:extLst>
        </c:ser>
        <c:ser>
          <c:idx val="1"/>
          <c:order val="1"/>
          <c:tx>
            <c:v>Dispersion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[1]Sheet1!$L$7:$L$9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[1]Sheet1!$Q$7:$Q$9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39-4048-B3FD-18503030A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230896"/>
        <c:axId val="469734944"/>
      </c:scatterChart>
      <c:valAx>
        <c:axId val="469230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MWCNT</a:t>
                </a:r>
                <a:r>
                  <a:rPr lang="en-US" baseline="0"/>
                  <a:t> Mass (mg)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176408831249036"/>
              <c:y val="0.9263090315149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734944"/>
        <c:crosses val="autoZero"/>
        <c:crossBetween val="midCat"/>
      </c:valAx>
      <c:valAx>
        <c:axId val="4697349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Delta T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88869568387284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230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9074518810148722"/>
          <c:y val="5.6341863517060338E-2"/>
          <c:w val="0.30925481189851262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42862</xdr:rowOff>
    </xdr:from>
    <xdr:to>
      <xdr:col>5</xdr:col>
      <xdr:colOff>152400</xdr:colOff>
      <xdr:row>26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257175</xdr:colOff>
      <xdr:row>12</xdr:row>
      <xdr:rowOff>57150</xdr:rowOff>
    </xdr:from>
    <xdr:to>
      <xdr:col>11</xdr:col>
      <xdr:colOff>28575</xdr:colOff>
      <xdr:row>26</xdr:row>
      <xdr:rowOff>52386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28575</xdr:colOff>
      <xdr:row>11</xdr:row>
      <xdr:rowOff>166686</xdr:rowOff>
    </xdr:from>
    <xdr:to>
      <xdr:col>18</xdr:col>
      <xdr:colOff>161925</xdr:colOff>
      <xdr:row>29</xdr:row>
      <xdr:rowOff>19049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552450</xdr:colOff>
      <xdr:row>45</xdr:row>
      <xdr:rowOff>66675</xdr:rowOff>
    </xdr:from>
    <xdr:to>
      <xdr:col>8</xdr:col>
      <xdr:colOff>47625</xdr:colOff>
      <xdr:row>59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571500</xdr:colOff>
      <xdr:row>46</xdr:row>
      <xdr:rowOff>9525</xdr:rowOff>
    </xdr:from>
    <xdr:to>
      <xdr:col>20</xdr:col>
      <xdr:colOff>0</xdr:colOff>
      <xdr:row>60</xdr:row>
      <xdr:rowOff>85725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485775</xdr:colOff>
      <xdr:row>66</xdr:row>
      <xdr:rowOff>161925</xdr:rowOff>
    </xdr:from>
    <xdr:to>
      <xdr:col>7</xdr:col>
      <xdr:colOff>342900</xdr:colOff>
      <xdr:row>80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crowave/Data/03202015PureMWC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WCNT"/>
      <sheetName val="Dispersion"/>
      <sheetName val="SWCNT"/>
      <sheetName val="MWCNT-COOH"/>
      <sheetName val="Plot"/>
      <sheetName val="Sheet1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19" sqref="A19"/>
    </sheetView>
  </sheetViews>
  <sheetFormatPr defaultColWidth="9" defaultRowHeight="15"/>
  <cols>
    <col min="1" max="16384" width="9" style="138"/>
  </cols>
  <sheetData>
    <row r="1" spans="1:7">
      <c r="A1" s="139" t="s">
        <v>42</v>
      </c>
      <c r="B1" s="139"/>
      <c r="C1" s="139"/>
      <c r="D1" s="139"/>
      <c r="E1" s="139"/>
      <c r="F1" s="139"/>
      <c r="G1" s="139"/>
    </row>
    <row r="2" spans="1:7">
      <c r="A2" s="139" t="s">
        <v>43</v>
      </c>
      <c r="B2" s="139"/>
      <c r="C2" s="139"/>
      <c r="D2" s="139"/>
      <c r="E2" s="139"/>
      <c r="F2" s="139"/>
      <c r="G2" s="139"/>
    </row>
    <row r="3" spans="1:7">
      <c r="A3" s="139" t="s">
        <v>44</v>
      </c>
      <c r="B3" s="139"/>
      <c r="C3" s="139"/>
      <c r="D3" s="139"/>
      <c r="E3" s="139"/>
      <c r="F3" s="139"/>
      <c r="G3" s="139"/>
    </row>
    <row r="4" spans="1:7">
      <c r="A4" s="139" t="s">
        <v>45</v>
      </c>
      <c r="B4" s="139" t="s">
        <v>46</v>
      </c>
      <c r="C4" s="139"/>
      <c r="D4" s="139"/>
      <c r="E4" s="139"/>
      <c r="F4" s="139"/>
      <c r="G4" s="139"/>
    </row>
    <row r="5" spans="1:7">
      <c r="A5" s="139" t="s">
        <v>47</v>
      </c>
      <c r="B5" s="139"/>
      <c r="C5" s="139"/>
      <c r="D5" s="139"/>
      <c r="E5" s="139"/>
      <c r="F5" s="139"/>
      <c r="G5" s="139"/>
    </row>
    <row r="6" spans="1:7">
      <c r="A6" s="139"/>
      <c r="B6" s="139"/>
      <c r="C6" s="139"/>
      <c r="D6" s="139"/>
      <c r="E6" s="139"/>
      <c r="F6" s="139"/>
      <c r="G6" s="139"/>
    </row>
    <row r="7" spans="1:7">
      <c r="A7" s="139" t="s">
        <v>48</v>
      </c>
      <c r="B7" s="139"/>
      <c r="C7" s="139"/>
      <c r="D7" s="139"/>
      <c r="E7" s="139"/>
      <c r="F7" s="139"/>
      <c r="G7" s="139"/>
    </row>
    <row r="11" spans="1:7">
      <c r="A11" s="140" t="s">
        <v>49</v>
      </c>
      <c r="B11" s="139"/>
      <c r="C11" s="139"/>
    </row>
    <row r="12" spans="1:7">
      <c r="A12" s="139" t="s">
        <v>50</v>
      </c>
      <c r="B12" s="139"/>
      <c r="C12" s="139"/>
    </row>
    <row r="13" spans="1:7">
      <c r="A13" s="139" t="s">
        <v>51</v>
      </c>
      <c r="B13" s="139"/>
      <c r="C13" s="139"/>
    </row>
    <row r="14" spans="1:7" ht="18">
      <c r="A14" s="138" t="s">
        <v>52</v>
      </c>
    </row>
    <row r="15" spans="1:7">
      <c r="A15" s="138" t="s">
        <v>53</v>
      </c>
    </row>
    <row r="16" spans="1:7" ht="18">
      <c r="A16" s="2" t="s">
        <v>54</v>
      </c>
    </row>
    <row r="17" spans="1:1">
      <c r="A17" s="2" t="s">
        <v>55</v>
      </c>
    </row>
    <row r="18" spans="1:1">
      <c r="A18" s="2" t="s">
        <v>56</v>
      </c>
    </row>
    <row r="19" spans="1:1">
      <c r="A19" s="2" t="s">
        <v>97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E8" sqref="E8:E18"/>
    </sheetView>
  </sheetViews>
  <sheetFormatPr defaultRowHeight="15"/>
  <sheetData>
    <row r="1" spans="1:11">
      <c r="A1" s="69" t="s">
        <v>39</v>
      </c>
      <c r="B1" s="69"/>
      <c r="C1" s="69"/>
      <c r="D1" s="69"/>
      <c r="E1" s="69"/>
    </row>
    <row r="2" spans="1:11">
      <c r="A2" s="138" t="s">
        <v>40</v>
      </c>
    </row>
    <row r="3" spans="1:11">
      <c r="A3" s="138" t="s">
        <v>41</v>
      </c>
    </row>
    <row r="5" spans="1:11">
      <c r="C5" s="138" t="s">
        <v>57</v>
      </c>
      <c r="D5" s="138"/>
      <c r="E5" s="138"/>
      <c r="F5" s="138"/>
      <c r="G5" s="138"/>
      <c r="H5" s="138"/>
      <c r="I5" s="138"/>
      <c r="J5" s="138"/>
      <c r="K5" s="138"/>
    </row>
    <row r="6" spans="1:11">
      <c r="C6" s="138"/>
      <c r="D6" s="138" t="s">
        <v>58</v>
      </c>
      <c r="E6" s="138"/>
      <c r="F6" s="138"/>
      <c r="G6" s="138"/>
      <c r="H6" s="138"/>
      <c r="I6" s="138"/>
      <c r="J6" s="138"/>
      <c r="K6" s="138"/>
    </row>
    <row r="7" spans="1:11">
      <c r="C7" s="138"/>
      <c r="D7" s="138" t="s">
        <v>59</v>
      </c>
      <c r="E7" s="138"/>
      <c r="F7" s="1" t="s">
        <v>60</v>
      </c>
      <c r="G7" s="138"/>
      <c r="H7" s="138"/>
      <c r="I7" s="138"/>
      <c r="J7" s="138"/>
      <c r="K7" s="138"/>
    </row>
    <row r="8" spans="1:11" ht="18">
      <c r="C8" s="138"/>
      <c r="D8" s="138"/>
      <c r="E8" s="138" t="s">
        <v>61</v>
      </c>
      <c r="F8" s="138">
        <f>0.1324-0.0051</f>
        <v>0.1273</v>
      </c>
      <c r="G8" s="138" t="s">
        <v>0</v>
      </c>
      <c r="H8" s="138" t="s">
        <v>1</v>
      </c>
      <c r="I8" s="138" t="s">
        <v>62</v>
      </c>
      <c r="J8" s="138" t="s">
        <v>63</v>
      </c>
      <c r="K8" s="138" t="s">
        <v>64</v>
      </c>
    </row>
    <row r="9" spans="1:11">
      <c r="C9" s="138"/>
      <c r="D9" s="138"/>
      <c r="E9" s="138" t="s">
        <v>65</v>
      </c>
      <c r="F9" s="138">
        <f>F8/20*20.1</f>
        <v>0.12793650000000001</v>
      </c>
      <c r="G9" s="138">
        <v>20</v>
      </c>
      <c r="H9" s="138">
        <v>100</v>
      </c>
      <c r="I9" s="138">
        <v>24.423731084092331</v>
      </c>
      <c r="J9" s="138">
        <v>28.857106200284132</v>
      </c>
      <c r="K9" s="138">
        <f>J9-I9</f>
        <v>4.4333751161918009</v>
      </c>
    </row>
    <row r="10" spans="1:11">
      <c r="C10" s="138"/>
      <c r="D10" s="138" t="s">
        <v>66</v>
      </c>
      <c r="E10" s="138"/>
      <c r="F10" s="1" t="s">
        <v>67</v>
      </c>
      <c r="G10" s="138"/>
      <c r="H10" s="138"/>
      <c r="I10" s="138"/>
      <c r="J10" s="138"/>
      <c r="K10" s="138"/>
    </row>
    <row r="11" spans="1:11" ht="18">
      <c r="C11" s="138"/>
      <c r="D11" s="138"/>
      <c r="E11" s="138" t="s">
        <v>61</v>
      </c>
      <c r="F11" s="138">
        <f>0.0574-0.012</f>
        <v>4.5399999999999996E-2</v>
      </c>
      <c r="G11" s="138" t="s">
        <v>0</v>
      </c>
      <c r="H11" s="138" t="s">
        <v>1</v>
      </c>
      <c r="I11" s="138" t="s">
        <v>62</v>
      </c>
      <c r="J11" s="138" t="s">
        <v>63</v>
      </c>
      <c r="K11" s="138" t="s">
        <v>64</v>
      </c>
    </row>
    <row r="12" spans="1:11">
      <c r="C12" s="138"/>
      <c r="D12" s="138"/>
      <c r="E12" s="138" t="s">
        <v>65</v>
      </c>
      <c r="F12" s="138">
        <f>F11/20*20.1</f>
        <v>4.5627000000000001E-2</v>
      </c>
      <c r="G12" s="138">
        <v>20</v>
      </c>
      <c r="H12" s="138">
        <v>100</v>
      </c>
      <c r="I12" s="138">
        <v>24.775398509228133</v>
      </c>
      <c r="J12" s="138">
        <v>25.500526309044737</v>
      </c>
      <c r="K12" s="138">
        <f>J12-I12</f>
        <v>0.72512779981660458</v>
      </c>
    </row>
    <row r="13" spans="1:11">
      <c r="C13" s="138"/>
      <c r="D13" s="138" t="s">
        <v>68</v>
      </c>
      <c r="E13" s="138"/>
      <c r="F13" s="1" t="s">
        <v>69</v>
      </c>
      <c r="G13" s="138"/>
      <c r="H13" s="138"/>
      <c r="I13" s="138"/>
      <c r="J13" s="138"/>
      <c r="K13" s="138"/>
    </row>
    <row r="14" spans="1:11" ht="18">
      <c r="C14" s="138"/>
      <c r="D14" s="138"/>
      <c r="E14" s="138" t="s">
        <v>61</v>
      </c>
      <c r="F14" s="138">
        <f>0.0524-0.006</f>
        <v>4.6400000000000004E-2</v>
      </c>
      <c r="G14" s="138" t="s">
        <v>0</v>
      </c>
      <c r="H14" s="138" t="s">
        <v>1</v>
      </c>
      <c r="I14" s="138" t="s">
        <v>62</v>
      </c>
      <c r="J14" s="138" t="s">
        <v>63</v>
      </c>
      <c r="K14" s="138" t="s">
        <v>64</v>
      </c>
    </row>
    <row r="15" spans="1:11">
      <c r="C15" s="138"/>
      <c r="D15" s="138"/>
      <c r="E15" s="138" t="s">
        <v>65</v>
      </c>
      <c r="F15" s="138">
        <f>F14/20*20</f>
        <v>4.6399999999999997E-2</v>
      </c>
      <c r="G15" s="138">
        <v>20</v>
      </c>
      <c r="H15" s="138">
        <v>100</v>
      </c>
      <c r="I15" s="138">
        <v>25.62802437710906</v>
      </c>
      <c r="J15" s="138">
        <v>26.531127931542876</v>
      </c>
      <c r="K15" s="138">
        <f>J15-I15</f>
        <v>0.90310355443381596</v>
      </c>
    </row>
    <row r="16" spans="1:11">
      <c r="C16" s="138"/>
      <c r="D16" s="138" t="s">
        <v>70</v>
      </c>
      <c r="E16" s="138"/>
      <c r="F16" s="1" t="s">
        <v>71</v>
      </c>
      <c r="G16" s="138"/>
      <c r="H16" s="138"/>
      <c r="I16" s="138"/>
      <c r="J16" s="138"/>
      <c r="K16" s="138"/>
    </row>
    <row r="17" spans="3:15" ht="18">
      <c r="C17" s="138"/>
      <c r="D17" s="138"/>
      <c r="E17" s="138" t="s">
        <v>61</v>
      </c>
      <c r="F17" s="138">
        <f>0.0572-0.0003</f>
        <v>5.6899999999999999E-2</v>
      </c>
      <c r="G17" s="138" t="s">
        <v>0</v>
      </c>
      <c r="H17" s="138" t="s">
        <v>1</v>
      </c>
      <c r="I17" s="138" t="s">
        <v>62</v>
      </c>
      <c r="J17" s="138" t="s">
        <v>63</v>
      </c>
      <c r="K17" s="138" t="s">
        <v>64</v>
      </c>
    </row>
    <row r="18" spans="3:15">
      <c r="C18" s="138"/>
      <c r="D18" s="138"/>
      <c r="E18" s="138" t="s">
        <v>65</v>
      </c>
      <c r="F18" s="138">
        <f>F17/20*19.9</f>
        <v>5.6615499999999992E-2</v>
      </c>
      <c r="G18" s="138">
        <v>20</v>
      </c>
      <c r="H18" s="138">
        <v>100</v>
      </c>
      <c r="I18" s="138">
        <v>25.631470270840552</v>
      </c>
      <c r="J18" s="138">
        <v>26.313570965145285</v>
      </c>
      <c r="K18" s="138">
        <f>J18-I18</f>
        <v>0.68210069430473297</v>
      </c>
    </row>
    <row r="24" spans="3:15">
      <c r="D24" s="135"/>
    </row>
    <row r="27" spans="3:15">
      <c r="O27" s="46"/>
    </row>
    <row r="30" spans="3:15">
      <c r="N30" s="56"/>
      <c r="O30" s="56"/>
    </row>
    <row r="33" spans="4:14">
      <c r="N33" s="56"/>
    </row>
    <row r="36" spans="4:14">
      <c r="N36" s="56"/>
    </row>
    <row r="40" spans="4:14">
      <c r="D40" s="135"/>
      <c r="F40" s="1"/>
      <c r="G40" s="136"/>
      <c r="H40" s="136"/>
      <c r="I40" s="136"/>
      <c r="J40" s="136"/>
      <c r="K40" s="136"/>
    </row>
    <row r="41" spans="4:14">
      <c r="F41" s="136"/>
      <c r="G41" s="136"/>
      <c r="H41" s="136"/>
      <c r="I41" s="136"/>
      <c r="J41" s="136"/>
      <c r="K41" s="2"/>
    </row>
    <row r="42" spans="4:14">
      <c r="F42" s="136"/>
      <c r="G42" s="136"/>
      <c r="H42" s="136"/>
      <c r="I42" s="138"/>
      <c r="J42" s="137"/>
      <c r="K42" s="136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28"/>
  <sheetViews>
    <sheetView topLeftCell="C1" workbookViewId="0">
      <selection activeCell="F19" sqref="F19"/>
    </sheetView>
  </sheetViews>
  <sheetFormatPr defaultRowHeight="15"/>
  <cols>
    <col min="5" max="5" width="14.42578125" customWidth="1"/>
    <col min="13" max="13" width="15.140625" customWidth="1"/>
  </cols>
  <sheetData>
    <row r="1" spans="3:22">
      <c r="C1" s="69" t="s">
        <v>39</v>
      </c>
      <c r="D1" s="69"/>
      <c r="E1" s="69"/>
      <c r="F1" s="69"/>
      <c r="G1" s="69"/>
    </row>
    <row r="2" spans="3:22">
      <c r="C2" s="138" t="s">
        <v>40</v>
      </c>
      <c r="F2" s="135"/>
    </row>
    <row r="3" spans="3:22">
      <c r="D3" t="s">
        <v>72</v>
      </c>
      <c r="F3" s="1" t="s">
        <v>5</v>
      </c>
      <c r="S3" s="148"/>
      <c r="T3" s="148"/>
      <c r="U3" s="147"/>
      <c r="V3" s="148"/>
    </row>
    <row r="4" spans="3:22" ht="18">
      <c r="E4" s="138" t="s">
        <v>61</v>
      </c>
      <c r="F4">
        <f>0.1622-0.0317</f>
        <v>0.1305</v>
      </c>
      <c r="G4" t="s">
        <v>0</v>
      </c>
      <c r="H4" t="s">
        <v>1</v>
      </c>
      <c r="I4" s="138" t="s">
        <v>62</v>
      </c>
      <c r="J4" s="138" t="s">
        <v>63</v>
      </c>
      <c r="K4" s="138" t="s">
        <v>64</v>
      </c>
      <c r="M4" t="s">
        <v>76</v>
      </c>
      <c r="N4" t="s">
        <v>75</v>
      </c>
      <c r="S4" s="70"/>
      <c r="T4" s="70"/>
      <c r="U4" s="70"/>
      <c r="V4" s="70"/>
    </row>
    <row r="5" spans="3:22">
      <c r="E5" s="138" t="s">
        <v>65</v>
      </c>
      <c r="F5" s="138">
        <f>F4/20*40</f>
        <v>0.26100000000000001</v>
      </c>
      <c r="G5">
        <v>20</v>
      </c>
      <c r="H5">
        <v>100</v>
      </c>
      <c r="I5" s="3">
        <v>23.744517489940975</v>
      </c>
      <c r="J5" s="4">
        <v>30.376000277757669</v>
      </c>
      <c r="K5">
        <f>J5-I5</f>
        <v>6.6314827878166938</v>
      </c>
      <c r="M5">
        <f>AVERAGE(K5,K19)</f>
        <v>7.1293678658823882</v>
      </c>
      <c r="N5">
        <f>_xlfn.STDEV.S(K5,K19)</f>
        <v>0.70411582990369226</v>
      </c>
      <c r="T5" s="56"/>
      <c r="U5" s="46"/>
    </row>
    <row r="6" spans="3:22">
      <c r="F6" s="1" t="s">
        <v>6</v>
      </c>
    </row>
    <row r="7" spans="3:22" ht="18">
      <c r="E7" s="138" t="s">
        <v>61</v>
      </c>
      <c r="F7">
        <f>0.0602-0.0062</f>
        <v>5.3999999999999999E-2</v>
      </c>
      <c r="G7" t="s">
        <v>0</v>
      </c>
      <c r="H7" t="s">
        <v>1</v>
      </c>
      <c r="I7" s="138" t="s">
        <v>62</v>
      </c>
      <c r="J7" s="138" t="s">
        <v>63</v>
      </c>
      <c r="K7" s="138" t="s">
        <v>64</v>
      </c>
    </row>
    <row r="8" spans="3:22">
      <c r="E8" s="138" t="s">
        <v>65</v>
      </c>
      <c r="F8" s="138">
        <f>F7/20*40</f>
        <v>0.10800000000000001</v>
      </c>
      <c r="G8">
        <v>20</v>
      </c>
      <c r="H8">
        <v>100</v>
      </c>
      <c r="I8" s="12">
        <v>24.091155772874103</v>
      </c>
      <c r="J8" s="11">
        <v>25.111419714177824</v>
      </c>
      <c r="K8">
        <f>J8-I8</f>
        <v>1.0202639413037211</v>
      </c>
      <c r="M8" s="138">
        <f>AVERAGE(K8,K22)</f>
        <v>0.85029756130561296</v>
      </c>
      <c r="N8" s="138">
        <f>_xlfn.STDEV.S(K8,K22)</f>
        <v>0.2403687597407837</v>
      </c>
      <c r="S8" s="56"/>
      <c r="T8" s="56"/>
    </row>
    <row r="9" spans="3:22">
      <c r="F9" s="1" t="s">
        <v>7</v>
      </c>
    </row>
    <row r="10" spans="3:22" ht="18">
      <c r="E10" s="138" t="s">
        <v>61</v>
      </c>
      <c r="F10">
        <f>0.0775-0.0203</f>
        <v>5.7200000000000001E-2</v>
      </c>
      <c r="G10" t="s">
        <v>0</v>
      </c>
      <c r="H10" t="s">
        <v>1</v>
      </c>
      <c r="I10" s="138" t="s">
        <v>62</v>
      </c>
      <c r="J10" s="138" t="s">
        <v>63</v>
      </c>
      <c r="K10" s="138" t="s">
        <v>64</v>
      </c>
    </row>
    <row r="11" spans="3:22">
      <c r="E11" s="138" t="s">
        <v>65</v>
      </c>
      <c r="F11" s="138">
        <f>F10/20*40</f>
        <v>0.1144</v>
      </c>
      <c r="G11">
        <v>20</v>
      </c>
      <c r="H11">
        <v>100</v>
      </c>
      <c r="I11" s="8">
        <v>24.4280151681909</v>
      </c>
      <c r="J11" s="7">
        <v>24.769344912132308</v>
      </c>
      <c r="K11">
        <f>J11-I11</f>
        <v>0.34132974394140803</v>
      </c>
      <c r="M11" s="138">
        <f>AVERAGE(K11,K25)</f>
        <v>0.42854810825277134</v>
      </c>
      <c r="N11" s="138">
        <f>_xlfn.STDEV.S(K11,K25)</f>
        <v>0.12334539369712749</v>
      </c>
      <c r="S11" s="56"/>
      <c r="T11" s="56"/>
      <c r="U11" s="56"/>
    </row>
    <row r="12" spans="3:22">
      <c r="F12" s="1" t="s">
        <v>8</v>
      </c>
    </row>
    <row r="13" spans="3:22" ht="18">
      <c r="E13" s="138" t="s">
        <v>61</v>
      </c>
      <c r="F13">
        <f>0.0739-0.0335</f>
        <v>4.0399999999999991E-2</v>
      </c>
      <c r="G13" t="s">
        <v>0</v>
      </c>
      <c r="H13" t="s">
        <v>1</v>
      </c>
      <c r="I13" s="138" t="s">
        <v>62</v>
      </c>
      <c r="J13" s="138" t="s">
        <v>63</v>
      </c>
      <c r="K13" s="138" t="s">
        <v>64</v>
      </c>
    </row>
    <row r="14" spans="3:22">
      <c r="E14" s="138" t="s">
        <v>65</v>
      </c>
      <c r="F14" s="138">
        <f>F13/20*40</f>
        <v>8.0799999999999983E-2</v>
      </c>
      <c r="G14">
        <v>20</v>
      </c>
      <c r="H14">
        <v>100</v>
      </c>
      <c r="I14" s="16">
        <v>24.757517114729705</v>
      </c>
      <c r="J14" s="15">
        <v>25.441946115609781</v>
      </c>
      <c r="K14">
        <f>J14-I14</f>
        <v>0.68442900088007619</v>
      </c>
      <c r="M14" s="138">
        <f>AVERAGE(K14,K28)</f>
        <v>0.77523295731740838</v>
      </c>
      <c r="N14" s="138">
        <f>_xlfn.STDEV.S(K14,K28)</f>
        <v>0.12841618671081154</v>
      </c>
      <c r="S14" s="56"/>
      <c r="T14" s="56"/>
    </row>
    <row r="17" spans="4:11">
      <c r="D17" t="s">
        <v>73</v>
      </c>
      <c r="F17" s="1" t="s">
        <v>5</v>
      </c>
    </row>
    <row r="18" spans="4:11" ht="18">
      <c r="E18" s="138" t="s">
        <v>61</v>
      </c>
      <c r="F18">
        <f>0.1448-0.0128</f>
        <v>0.13200000000000001</v>
      </c>
      <c r="G18" s="5" t="s">
        <v>0</v>
      </c>
      <c r="H18" s="5" t="s">
        <v>1</v>
      </c>
      <c r="I18" s="138" t="s">
        <v>62</v>
      </c>
      <c r="J18" s="138" t="s">
        <v>63</v>
      </c>
      <c r="K18" s="138" t="s">
        <v>64</v>
      </c>
    </row>
    <row r="19" spans="4:11">
      <c r="E19" s="138" t="s">
        <v>65</v>
      </c>
      <c r="F19" s="138">
        <f>F18/20*40</f>
        <v>0.26400000000000001</v>
      </c>
      <c r="G19" s="6">
        <v>20</v>
      </c>
      <c r="H19" s="6">
        <v>100</v>
      </c>
      <c r="I19" s="6">
        <v>24.768041060450141</v>
      </c>
      <c r="J19" s="5">
        <v>32.395294004398224</v>
      </c>
      <c r="K19" s="6">
        <f>J19-I19</f>
        <v>7.6272529439480827</v>
      </c>
    </row>
    <row r="20" spans="4:11">
      <c r="E20" s="138"/>
      <c r="F20" s="1" t="s">
        <v>6</v>
      </c>
    </row>
    <row r="21" spans="4:11" ht="18">
      <c r="E21" s="138" t="s">
        <v>61</v>
      </c>
      <c r="F21">
        <f>0.0615-0</f>
        <v>6.1499999999999999E-2</v>
      </c>
      <c r="G21" s="6" t="s">
        <v>0</v>
      </c>
      <c r="H21" s="6" t="s">
        <v>1</v>
      </c>
      <c r="I21" s="138" t="s">
        <v>62</v>
      </c>
      <c r="J21" s="138" t="s">
        <v>63</v>
      </c>
      <c r="K21" s="138" t="s">
        <v>64</v>
      </c>
    </row>
    <row r="22" spans="4:11">
      <c r="E22" s="138" t="s">
        <v>65</v>
      </c>
      <c r="F22" s="138">
        <f>F21/20*40</f>
        <v>0.123</v>
      </c>
      <c r="G22" s="6">
        <v>20</v>
      </c>
      <c r="H22" s="6">
        <v>100</v>
      </c>
      <c r="I22" s="13">
        <v>25.617686695914671</v>
      </c>
      <c r="J22" s="14">
        <v>26.298017877222176</v>
      </c>
      <c r="K22" s="6">
        <f>J22-I22</f>
        <v>0.68033118130750481</v>
      </c>
    </row>
    <row r="23" spans="4:11">
      <c r="E23" s="138"/>
      <c r="F23" s="1" t="s">
        <v>7</v>
      </c>
    </row>
    <row r="24" spans="4:11" ht="18">
      <c r="E24" s="138" t="s">
        <v>61</v>
      </c>
      <c r="F24">
        <f>0.0542-0.0021</f>
        <v>5.21E-2</v>
      </c>
      <c r="G24" s="6" t="s">
        <v>0</v>
      </c>
      <c r="H24" s="6" t="s">
        <v>1</v>
      </c>
      <c r="I24" s="138" t="s">
        <v>62</v>
      </c>
      <c r="J24" s="138" t="s">
        <v>63</v>
      </c>
      <c r="K24" s="138" t="s">
        <v>64</v>
      </c>
    </row>
    <row r="25" spans="4:11">
      <c r="E25" s="138" t="s">
        <v>65</v>
      </c>
      <c r="F25" s="138">
        <f>F24/20*40</f>
        <v>0.1042</v>
      </c>
      <c r="G25" s="6">
        <v>20</v>
      </c>
      <c r="H25" s="6">
        <v>100</v>
      </c>
      <c r="I25" s="10">
        <v>25.451911267752131</v>
      </c>
      <c r="J25" s="9">
        <v>25.967677740316265</v>
      </c>
      <c r="K25" s="6">
        <f>J25-I25</f>
        <v>0.51576647256413466</v>
      </c>
    </row>
    <row r="26" spans="4:11">
      <c r="E26" s="138"/>
      <c r="F26" s="1" t="s">
        <v>8</v>
      </c>
    </row>
    <row r="27" spans="4:11" ht="18">
      <c r="E27" s="138" t="s">
        <v>61</v>
      </c>
      <c r="F27">
        <f>0.0532-0.006</f>
        <v>4.7199999999999999E-2</v>
      </c>
      <c r="G27" s="6" t="s">
        <v>0</v>
      </c>
      <c r="H27" s="6" t="s">
        <v>1</v>
      </c>
      <c r="I27" s="138" t="s">
        <v>62</v>
      </c>
      <c r="J27" s="138" t="s">
        <v>63</v>
      </c>
      <c r="K27" s="138" t="s">
        <v>64</v>
      </c>
    </row>
    <row r="28" spans="4:11">
      <c r="E28" s="138" t="s">
        <v>65</v>
      </c>
      <c r="F28" s="138">
        <f>F27/20*40</f>
        <v>9.4400000000000012E-2</v>
      </c>
      <c r="G28" s="6">
        <v>20</v>
      </c>
      <c r="H28" s="6">
        <v>100</v>
      </c>
      <c r="I28" s="18">
        <v>25.091303145367107</v>
      </c>
      <c r="J28" s="17">
        <v>25.957340059121847</v>
      </c>
      <c r="K28" s="6">
        <f>J28-I28</f>
        <v>0.86603691375474057</v>
      </c>
    </row>
  </sheetData>
  <mergeCells count="2">
    <mergeCell ref="U3:V3"/>
    <mergeCell ref="S3:T3"/>
  </mergeCells>
  <phoneticPr fontId="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workbookViewId="0">
      <selection activeCell="Z5" sqref="Z5:AA6"/>
    </sheetView>
  </sheetViews>
  <sheetFormatPr defaultRowHeight="15"/>
  <sheetData>
    <row r="1" spans="1:29" s="138" customFormat="1">
      <c r="A1" s="69" t="s">
        <v>77</v>
      </c>
      <c r="B1" s="69"/>
      <c r="C1" s="69"/>
      <c r="D1" s="69"/>
      <c r="E1" s="69"/>
    </row>
    <row r="2" spans="1:29">
      <c r="A2" s="138" t="s">
        <v>40</v>
      </c>
      <c r="E2" s="135"/>
    </row>
    <row r="3" spans="1:29">
      <c r="E3" s="21"/>
      <c r="F3" s="21"/>
      <c r="G3" s="21"/>
      <c r="H3" s="21"/>
      <c r="I3" s="21"/>
      <c r="J3" s="21"/>
      <c r="K3" s="21"/>
    </row>
    <row r="4" spans="1:29">
      <c r="D4" s="18"/>
      <c r="E4" s="18"/>
      <c r="F4" s="1" t="s">
        <v>9</v>
      </c>
      <c r="G4" s="18"/>
      <c r="H4" s="18"/>
      <c r="I4" s="149" t="s">
        <v>78</v>
      </c>
      <c r="J4" s="149"/>
      <c r="K4" s="149"/>
      <c r="L4" s="18"/>
      <c r="M4" s="138"/>
      <c r="N4" s="138"/>
      <c r="O4" s="138"/>
      <c r="P4" s="141" t="s">
        <v>80</v>
      </c>
      <c r="Q4" s="141"/>
      <c r="R4" s="141"/>
      <c r="T4" s="138"/>
      <c r="U4" s="138"/>
      <c r="V4" s="138"/>
      <c r="W4" s="141" t="s">
        <v>81</v>
      </c>
      <c r="X4" s="141"/>
      <c r="Y4" s="141"/>
    </row>
    <row r="5" spans="1:29" ht="18">
      <c r="D5" s="18"/>
      <c r="E5" s="138" t="s">
        <v>61</v>
      </c>
      <c r="F5" s="18">
        <f>0.1827-0.0297</f>
        <v>0.153</v>
      </c>
      <c r="G5" s="18" t="s">
        <v>0</v>
      </c>
      <c r="H5" s="18" t="s">
        <v>1</v>
      </c>
      <c r="I5" s="138" t="s">
        <v>62</v>
      </c>
      <c r="J5" s="138" t="s">
        <v>63</v>
      </c>
      <c r="K5" s="138" t="s">
        <v>64</v>
      </c>
      <c r="L5" s="138" t="s">
        <v>61</v>
      </c>
      <c r="M5" s="138">
        <f>0.1448-0.0083</f>
        <v>0.13650000000000001</v>
      </c>
      <c r="N5" s="138" t="s">
        <v>0</v>
      </c>
      <c r="O5" s="138" t="s">
        <v>1</v>
      </c>
      <c r="P5" s="138" t="s">
        <v>62</v>
      </c>
      <c r="Q5" s="138" t="s">
        <v>63</v>
      </c>
      <c r="R5" s="138" t="s">
        <v>64</v>
      </c>
      <c r="S5" s="138" t="s">
        <v>61</v>
      </c>
      <c r="T5" s="138">
        <f>0.1354-0.0005</f>
        <v>0.13489999999999999</v>
      </c>
      <c r="U5" s="138" t="s">
        <v>0</v>
      </c>
      <c r="V5" s="138" t="s">
        <v>1</v>
      </c>
      <c r="W5" s="138" t="s">
        <v>62</v>
      </c>
      <c r="X5" s="138" t="s">
        <v>63</v>
      </c>
      <c r="Y5" s="138" t="s">
        <v>64</v>
      </c>
      <c r="Z5" t="s">
        <v>74</v>
      </c>
      <c r="AA5" t="s">
        <v>75</v>
      </c>
    </row>
    <row r="6" spans="1:29">
      <c r="D6" s="18"/>
      <c r="E6" s="138" t="s">
        <v>65</v>
      </c>
      <c r="F6" s="138">
        <f>F5/20*60</f>
        <v>0.45899999999999996</v>
      </c>
      <c r="G6" s="18">
        <v>20</v>
      </c>
      <c r="H6" s="18">
        <v>100</v>
      </c>
      <c r="I6" s="19">
        <v>22.91331204255296</v>
      </c>
      <c r="J6" s="20">
        <v>32.535830589284345</v>
      </c>
      <c r="K6" s="18">
        <f>J6-I6</f>
        <v>9.622518546731385</v>
      </c>
      <c r="L6" s="138" t="s">
        <v>65</v>
      </c>
      <c r="M6" s="138">
        <f>M5/20*60</f>
        <v>0.40950000000000003</v>
      </c>
      <c r="N6" s="138">
        <v>20</v>
      </c>
      <c r="O6" s="138">
        <v>100</v>
      </c>
      <c r="P6" s="138">
        <v>24.771021292866543</v>
      </c>
      <c r="Q6" s="138">
        <v>33.788552659067662</v>
      </c>
      <c r="R6" s="138">
        <f>Q6-P6</f>
        <v>9.0175313662011192</v>
      </c>
      <c r="S6" s="138" t="s">
        <v>65</v>
      </c>
      <c r="T6" s="138">
        <f>T5/20*60</f>
        <v>0.40469999999999995</v>
      </c>
      <c r="U6" s="138">
        <v>20</v>
      </c>
      <c r="V6" s="138">
        <v>100</v>
      </c>
      <c r="W6" s="138">
        <v>25.110954052862763</v>
      </c>
      <c r="X6" s="138">
        <v>33.76238249316112</v>
      </c>
      <c r="Y6" s="138">
        <f>X6-W6</f>
        <v>8.651428440298357</v>
      </c>
      <c r="Z6">
        <f>AVERAGE(K6,R6,Y6)</f>
        <v>9.0971594510769531</v>
      </c>
      <c r="AA6">
        <f>_xlfn.STDEV.S(Y6,R6,K6)</f>
        <v>0.49041765122064296</v>
      </c>
    </row>
    <row r="7" spans="1:29">
      <c r="D7" s="18"/>
      <c r="E7" s="18"/>
      <c r="F7" s="1" t="s">
        <v>10</v>
      </c>
      <c r="G7" s="18"/>
      <c r="H7" s="18"/>
      <c r="I7" s="18"/>
      <c r="J7" s="18"/>
      <c r="K7" s="18"/>
      <c r="L7" s="1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</row>
    <row r="8" spans="1:29" ht="18">
      <c r="D8" s="18"/>
      <c r="E8" s="138" t="s">
        <v>61</v>
      </c>
      <c r="F8" s="18">
        <f>0.073-0.0035</f>
        <v>6.9499999999999992E-2</v>
      </c>
      <c r="G8" s="18" t="s">
        <v>0</v>
      </c>
      <c r="H8" s="18" t="s">
        <v>1</v>
      </c>
      <c r="I8" s="138" t="s">
        <v>62</v>
      </c>
      <c r="J8" s="138" t="s">
        <v>63</v>
      </c>
      <c r="K8" s="138" t="s">
        <v>64</v>
      </c>
      <c r="L8" s="138" t="s">
        <v>61</v>
      </c>
      <c r="M8" s="138">
        <f>0.053-0.0003</f>
        <v>5.2699999999999997E-2</v>
      </c>
      <c r="N8" s="138" t="s">
        <v>0</v>
      </c>
      <c r="O8" s="138" t="s">
        <v>1</v>
      </c>
      <c r="P8" s="138" t="s">
        <v>62</v>
      </c>
      <c r="Q8" s="138" t="s">
        <v>63</v>
      </c>
      <c r="R8" s="138" t="s">
        <v>64</v>
      </c>
      <c r="S8" s="138" t="s">
        <v>61</v>
      </c>
      <c r="T8" s="138">
        <f>0.0524</f>
        <v>5.2400000000000002E-2</v>
      </c>
      <c r="U8" s="138" t="s">
        <v>0</v>
      </c>
      <c r="V8" s="138" t="s">
        <v>1</v>
      </c>
      <c r="W8" s="138" t="s">
        <v>62</v>
      </c>
      <c r="X8" s="138" t="s">
        <v>63</v>
      </c>
      <c r="Y8" s="138" t="s">
        <v>64</v>
      </c>
      <c r="Z8" s="28"/>
      <c r="AA8" s="28"/>
      <c r="AB8" s="28"/>
      <c r="AC8" s="2"/>
    </row>
    <row r="9" spans="1:29">
      <c r="D9" s="18"/>
      <c r="E9" s="138" t="s">
        <v>65</v>
      </c>
      <c r="F9" s="138">
        <f>F8/20*60</f>
        <v>0.20849999999999999</v>
      </c>
      <c r="G9" s="18">
        <v>20</v>
      </c>
      <c r="H9" s="18">
        <v>100</v>
      </c>
      <c r="I9" s="25">
        <v>24.93092938845928</v>
      </c>
      <c r="J9" s="24">
        <v>26.296620893276984</v>
      </c>
      <c r="K9" s="18">
        <f>J9-I9</f>
        <v>1.3656915048177041</v>
      </c>
      <c r="L9" s="138" t="s">
        <v>65</v>
      </c>
      <c r="M9" s="138">
        <f>M8/20*60</f>
        <v>0.15809999999999999</v>
      </c>
      <c r="N9" s="138">
        <v>20</v>
      </c>
      <c r="O9" s="138">
        <v>100</v>
      </c>
      <c r="P9" s="138">
        <v>25.100243842616305</v>
      </c>
      <c r="Q9" s="138">
        <v>27.832185645829778</v>
      </c>
      <c r="R9" s="138">
        <f>Q9-P9</f>
        <v>2.7319418032134735</v>
      </c>
      <c r="S9" s="138" t="s">
        <v>65</v>
      </c>
      <c r="T9" s="138">
        <f>T8/20*60</f>
        <v>0.15720000000000001</v>
      </c>
      <c r="U9" s="138">
        <v>20</v>
      </c>
      <c r="V9" s="138">
        <v>100</v>
      </c>
      <c r="W9" s="138">
        <v>25.099778181301243</v>
      </c>
      <c r="X9" s="138">
        <v>30.379259906963114</v>
      </c>
      <c r="Y9" s="138">
        <f>X9-W9</f>
        <v>5.2794817256618707</v>
      </c>
      <c r="Z9" s="138">
        <f>AVERAGE(K9,R9,Y9)</f>
        <v>3.1257050112310161</v>
      </c>
      <c r="AA9" s="138">
        <f>_xlfn.STDEV.S(Y9,R9,K9)</f>
        <v>1.9863850510877941</v>
      </c>
      <c r="AB9" s="29"/>
      <c r="AC9" s="28"/>
    </row>
    <row r="10" spans="1:29">
      <c r="D10" s="18"/>
      <c r="E10" s="18"/>
      <c r="F10" s="1" t="s">
        <v>11</v>
      </c>
      <c r="G10" s="18"/>
      <c r="H10" s="18"/>
      <c r="I10" s="18"/>
      <c r="J10" s="18"/>
      <c r="K10" s="18"/>
      <c r="L10" s="18"/>
      <c r="M10" s="138"/>
      <c r="N10" s="138"/>
      <c r="O10" s="138"/>
      <c r="P10" s="138"/>
      <c r="Q10" s="138"/>
      <c r="R10" s="138"/>
      <c r="S10" s="138"/>
      <c r="T10" s="138"/>
      <c r="U10" s="138"/>
      <c r="V10" s="21"/>
      <c r="W10" s="21"/>
      <c r="X10" s="21"/>
      <c r="Y10" s="21"/>
    </row>
    <row r="11" spans="1:29" ht="18">
      <c r="D11" s="18"/>
      <c r="E11" s="138" t="s">
        <v>61</v>
      </c>
      <c r="F11" s="18">
        <f>0.0545-0.0009</f>
        <v>5.3600000000000002E-2</v>
      </c>
      <c r="G11" s="18" t="s">
        <v>0</v>
      </c>
      <c r="H11" s="18" t="s">
        <v>1</v>
      </c>
      <c r="I11" s="138" t="s">
        <v>62</v>
      </c>
      <c r="J11" s="138" t="s">
        <v>63</v>
      </c>
      <c r="K11" s="138" t="s">
        <v>64</v>
      </c>
      <c r="L11" s="138" t="s">
        <v>61</v>
      </c>
      <c r="M11" s="138">
        <f>0.0542-0.0021</f>
        <v>5.21E-2</v>
      </c>
      <c r="N11" s="138" t="s">
        <v>0</v>
      </c>
      <c r="O11" s="138" t="s">
        <v>1</v>
      </c>
      <c r="P11" s="138" t="s">
        <v>62</v>
      </c>
      <c r="Q11" s="138" t="s">
        <v>63</v>
      </c>
      <c r="R11" s="138" t="s">
        <v>64</v>
      </c>
      <c r="S11" s="138" t="s">
        <v>61</v>
      </c>
      <c r="T11" s="138">
        <f>0.0485</f>
        <v>4.8500000000000001E-2</v>
      </c>
      <c r="U11" s="138" t="s">
        <v>0</v>
      </c>
      <c r="V11" s="138" t="s">
        <v>1</v>
      </c>
      <c r="W11" s="138" t="s">
        <v>62</v>
      </c>
      <c r="X11" s="138" t="s">
        <v>63</v>
      </c>
      <c r="Y11" s="138" t="s">
        <v>64</v>
      </c>
    </row>
    <row r="12" spans="1:29">
      <c r="D12" s="18"/>
      <c r="E12" s="138" t="s">
        <v>65</v>
      </c>
      <c r="F12" s="138">
        <f>F11/20*60</f>
        <v>0.1608</v>
      </c>
      <c r="G12" s="18">
        <v>20</v>
      </c>
      <c r="H12" s="18">
        <v>100</v>
      </c>
      <c r="I12" s="23">
        <v>25.106483704238148</v>
      </c>
      <c r="J12" s="22">
        <v>26.303978342054975</v>
      </c>
      <c r="K12" s="18">
        <f>J12-I12</f>
        <v>1.1974946378168276</v>
      </c>
      <c r="L12" s="138" t="s">
        <v>65</v>
      </c>
      <c r="M12" s="138">
        <f>M11/20*60</f>
        <v>0.15629999999999999</v>
      </c>
      <c r="N12" s="138">
        <v>20</v>
      </c>
      <c r="O12" s="138">
        <v>100</v>
      </c>
      <c r="P12" s="138">
        <v>24.758448437359831</v>
      </c>
      <c r="Q12" s="138">
        <v>25.624578483377597</v>
      </c>
      <c r="R12" s="138">
        <f>Q12-P12</f>
        <v>0.86613004601776566</v>
      </c>
      <c r="S12" s="138" t="s">
        <v>65</v>
      </c>
      <c r="T12" s="138">
        <f>T11/20*60</f>
        <v>0.14550000000000002</v>
      </c>
      <c r="U12" s="138">
        <v>20</v>
      </c>
      <c r="V12" s="138">
        <v>100</v>
      </c>
      <c r="W12" s="138">
        <v>25.450886812858982</v>
      </c>
      <c r="X12" s="138">
        <v>26.291498618811289</v>
      </c>
      <c r="Y12" s="138">
        <f>X12-W12</f>
        <v>0.84061180595230667</v>
      </c>
      <c r="Z12" s="138">
        <f>AVERAGE(K12,R12,Y12)</f>
        <v>0.96807882992896666</v>
      </c>
      <c r="AA12" s="138">
        <f>_xlfn.STDEV.S(Y12,R12,K12)</f>
        <v>0.19908918811838958</v>
      </c>
    </row>
    <row r="13" spans="1:29">
      <c r="D13" s="18"/>
      <c r="E13" s="18"/>
      <c r="F13" s="1" t="s">
        <v>12</v>
      </c>
      <c r="G13" s="18"/>
      <c r="H13" s="1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</row>
    <row r="14" spans="1:29" ht="18">
      <c r="D14" s="18"/>
      <c r="E14" s="138" t="s">
        <v>61</v>
      </c>
      <c r="F14" s="18">
        <f>0.0438-0.0009</f>
        <v>4.2900000000000001E-2</v>
      </c>
      <c r="G14" s="18" t="s">
        <v>0</v>
      </c>
      <c r="H14" s="18" t="s">
        <v>1</v>
      </c>
      <c r="I14" s="138" t="s">
        <v>62</v>
      </c>
      <c r="J14" s="138" t="s">
        <v>63</v>
      </c>
      <c r="K14" s="138" t="s">
        <v>64</v>
      </c>
      <c r="L14" s="138" t="s">
        <v>61</v>
      </c>
      <c r="M14" s="138">
        <f>0.0516-0.006</f>
        <v>4.5600000000000002E-2</v>
      </c>
      <c r="N14" s="138" t="s">
        <v>0</v>
      </c>
      <c r="O14" s="138" t="s">
        <v>1</v>
      </c>
      <c r="P14" s="138" t="s">
        <v>62</v>
      </c>
      <c r="Q14" s="138" t="s">
        <v>63</v>
      </c>
      <c r="R14" s="138" t="s">
        <v>64</v>
      </c>
      <c r="S14" s="138" t="s">
        <v>61</v>
      </c>
      <c r="T14" s="138">
        <f>0.0488-0.0065</f>
        <v>4.2300000000000004E-2</v>
      </c>
      <c r="U14" s="138" t="s">
        <v>0</v>
      </c>
      <c r="V14" s="138" t="s">
        <v>1</v>
      </c>
      <c r="W14" s="138" t="s">
        <v>62</v>
      </c>
      <c r="X14" s="138" t="s">
        <v>63</v>
      </c>
      <c r="Y14" s="138" t="s">
        <v>64</v>
      </c>
    </row>
    <row r="15" spans="1:29">
      <c r="D15" s="18"/>
      <c r="E15" s="138" t="s">
        <v>65</v>
      </c>
      <c r="F15" s="138">
        <f>F14/20*60</f>
        <v>0.12870000000000001</v>
      </c>
      <c r="G15" s="18">
        <v>20</v>
      </c>
      <c r="H15" s="18">
        <v>100</v>
      </c>
      <c r="I15" s="27">
        <v>25.454053309801427</v>
      </c>
      <c r="J15" s="26">
        <v>26.168470899371549</v>
      </c>
      <c r="K15" s="18">
        <f>J15-I15</f>
        <v>0.71441758957012169</v>
      </c>
      <c r="L15" s="138" t="s">
        <v>65</v>
      </c>
      <c r="M15" s="138">
        <f>M14/20*60</f>
        <v>0.1368</v>
      </c>
      <c r="N15" s="138">
        <v>20</v>
      </c>
      <c r="O15" s="138">
        <v>100</v>
      </c>
      <c r="P15" s="138">
        <v>25.069323931296108</v>
      </c>
      <c r="Q15" s="138">
        <v>27.831533719988695</v>
      </c>
      <c r="R15" s="138">
        <f>Q15-P15</f>
        <v>2.7622097886925872</v>
      </c>
      <c r="S15" s="138" t="s">
        <v>65</v>
      </c>
      <c r="T15" s="138">
        <f>T14/20*60</f>
        <v>0.12690000000000001</v>
      </c>
      <c r="U15" s="138">
        <v>20</v>
      </c>
      <c r="V15" s="138">
        <v>100</v>
      </c>
      <c r="W15" s="138">
        <v>25.440455999401568</v>
      </c>
      <c r="X15" s="138">
        <v>26.647170731256637</v>
      </c>
      <c r="Y15" s="138">
        <f>X15-W15</f>
        <v>1.2067147318550688</v>
      </c>
      <c r="Z15" s="138">
        <f>AVERAGE(K15,R15,Y15)</f>
        <v>1.561114036705926</v>
      </c>
      <c r="AA15" s="138">
        <f>_xlfn.STDEV.S(Y15,R15,K15)</f>
        <v>1.0689070928550264</v>
      </c>
    </row>
    <row r="17" spans="1:20">
      <c r="A17" s="69" t="s">
        <v>82</v>
      </c>
      <c r="B17" s="69"/>
      <c r="C17" s="69"/>
      <c r="D17" s="69"/>
      <c r="E17" s="142"/>
    </row>
    <row r="18" spans="1:20">
      <c r="A18" t="s">
        <v>83</v>
      </c>
    </row>
    <row r="19" spans="1:20">
      <c r="E19" s="30"/>
      <c r="F19" s="1" t="s">
        <v>9</v>
      </c>
      <c r="G19" s="30"/>
      <c r="H19" s="30"/>
      <c r="I19" s="149" t="s">
        <v>78</v>
      </c>
      <c r="J19" s="149"/>
      <c r="K19" s="149"/>
      <c r="P19" s="149" t="s">
        <v>79</v>
      </c>
      <c r="Q19" s="149"/>
      <c r="R19" s="149"/>
    </row>
    <row r="20" spans="1:20" ht="18">
      <c r="E20" s="138" t="s">
        <v>61</v>
      </c>
      <c r="F20" s="30">
        <f>0.1671-0.0497</f>
        <v>0.1174</v>
      </c>
      <c r="G20" s="30" t="s">
        <v>0</v>
      </c>
      <c r="H20" s="30" t="s">
        <v>1</v>
      </c>
      <c r="I20" s="138" t="s">
        <v>62</v>
      </c>
      <c r="J20" s="138" t="s">
        <v>63</v>
      </c>
      <c r="K20" s="138" t="s">
        <v>64</v>
      </c>
      <c r="L20" s="138"/>
      <c r="M20" s="138"/>
      <c r="N20" s="138"/>
      <c r="P20" s="138"/>
      <c r="Q20" s="138"/>
      <c r="R20" s="138"/>
      <c r="S20" s="138" t="s">
        <v>74</v>
      </c>
      <c r="T20" s="138" t="s">
        <v>75</v>
      </c>
    </row>
    <row r="21" spans="1:20">
      <c r="E21" s="138" t="s">
        <v>65</v>
      </c>
      <c r="F21" s="138">
        <f>F20/20*60</f>
        <v>0.35220000000000001</v>
      </c>
      <c r="G21" s="30">
        <v>20</v>
      </c>
      <c r="H21" s="30">
        <v>100</v>
      </c>
      <c r="I21" s="31">
        <v>23.735949321743817</v>
      </c>
      <c r="J21" s="32">
        <v>31.241105868882286</v>
      </c>
      <c r="K21" s="30">
        <f>J21-I21</f>
        <v>7.5051565471384691</v>
      </c>
      <c r="L21" s="138"/>
      <c r="M21" s="138"/>
      <c r="N21" s="138"/>
      <c r="S21" s="138"/>
      <c r="T21" s="138"/>
    </row>
    <row r="22" spans="1:20">
      <c r="E22" s="30"/>
      <c r="F22" s="1" t="s">
        <v>10</v>
      </c>
      <c r="G22" s="30"/>
      <c r="H22" s="30"/>
      <c r="I22" s="30"/>
      <c r="J22" s="30"/>
      <c r="K22" s="30"/>
      <c r="L22" s="138"/>
      <c r="S22" s="138"/>
    </row>
    <row r="23" spans="1:20" ht="18">
      <c r="E23" s="138" t="s">
        <v>61</v>
      </c>
      <c r="F23" s="30">
        <f>0.0613-0.0069</f>
        <v>5.4400000000000004E-2</v>
      </c>
      <c r="G23" s="30" t="s">
        <v>0</v>
      </c>
      <c r="H23" s="30" t="s">
        <v>1</v>
      </c>
      <c r="I23" s="138" t="s">
        <v>62</v>
      </c>
      <c r="J23" s="138" t="s">
        <v>63</v>
      </c>
      <c r="K23" s="138" t="s">
        <v>64</v>
      </c>
      <c r="L23" s="138" t="s">
        <v>61</v>
      </c>
      <c r="M23" s="34">
        <f>0.0675-0.0132</f>
        <v>5.4300000000000001E-2</v>
      </c>
      <c r="N23" s="34" t="s">
        <v>0</v>
      </c>
      <c r="O23" s="34" t="s">
        <v>1</v>
      </c>
      <c r="P23" s="138" t="s">
        <v>62</v>
      </c>
      <c r="Q23" s="138" t="s">
        <v>63</v>
      </c>
      <c r="R23" s="138" t="s">
        <v>64</v>
      </c>
      <c r="S23" s="138"/>
    </row>
    <row r="24" spans="1:20">
      <c r="E24" s="138" t="s">
        <v>65</v>
      </c>
      <c r="F24" s="138">
        <f>F23/20*60</f>
        <v>0.16320000000000001</v>
      </c>
      <c r="G24" s="30">
        <v>20</v>
      </c>
      <c r="H24" s="30">
        <v>100</v>
      </c>
      <c r="I24" s="34">
        <v>24.352391770624621</v>
      </c>
      <c r="J24" s="33">
        <v>25.558827105690675</v>
      </c>
      <c r="K24" s="30">
        <f>J24-I24</f>
        <v>1.2064353350660539</v>
      </c>
      <c r="L24" s="138" t="s">
        <v>65</v>
      </c>
      <c r="M24" s="34"/>
      <c r="N24" s="34">
        <v>20</v>
      </c>
      <c r="O24" s="34">
        <v>100</v>
      </c>
      <c r="P24" s="36">
        <v>24.268200204861184</v>
      </c>
      <c r="Q24" s="35">
        <v>25.457964864847956</v>
      </c>
      <c r="R24" s="34">
        <f>Q24-P24</f>
        <v>1.1897646599867713</v>
      </c>
      <c r="S24" s="138">
        <f>AVERAGE(K24,R24)</f>
        <v>1.1980999975264126</v>
      </c>
      <c r="T24" s="138">
        <f>_xlfn.STDEV.S(R24,K24)</f>
        <v>1.1787947395518354E-2</v>
      </c>
    </row>
    <row r="25" spans="1:20">
      <c r="E25" s="30"/>
      <c r="F25" s="1" t="s">
        <v>11</v>
      </c>
      <c r="G25" s="30"/>
      <c r="H25" s="30"/>
      <c r="I25" s="30"/>
      <c r="J25" s="30"/>
      <c r="K25" s="30"/>
      <c r="L25" s="138"/>
      <c r="S25" s="138"/>
    </row>
    <row r="26" spans="1:20" ht="18">
      <c r="E26" s="138" t="s">
        <v>61</v>
      </c>
      <c r="F26" s="30">
        <f>0.0734-0.0203</f>
        <v>5.3100000000000008E-2</v>
      </c>
      <c r="G26" s="30" t="s">
        <v>0</v>
      </c>
      <c r="H26" s="30" t="s">
        <v>1</v>
      </c>
      <c r="I26" s="138" t="s">
        <v>62</v>
      </c>
      <c r="J26" s="138" t="s">
        <v>63</v>
      </c>
      <c r="K26" s="138" t="s">
        <v>64</v>
      </c>
      <c r="L26" s="138" t="s">
        <v>61</v>
      </c>
      <c r="M26" s="38">
        <f>0.0571-0.0074</f>
        <v>4.9699999999999994E-2</v>
      </c>
      <c r="N26" s="38" t="s">
        <v>0</v>
      </c>
      <c r="O26" s="38" t="s">
        <v>1</v>
      </c>
      <c r="P26" s="138" t="s">
        <v>62</v>
      </c>
      <c r="Q26" s="138" t="s">
        <v>63</v>
      </c>
      <c r="R26" s="138" t="s">
        <v>64</v>
      </c>
      <c r="S26" s="138"/>
    </row>
    <row r="27" spans="1:20">
      <c r="E27" s="138" t="s">
        <v>65</v>
      </c>
      <c r="F27" s="138">
        <f>F26/20*60</f>
        <v>0.15930000000000002</v>
      </c>
      <c r="G27" s="30">
        <v>20</v>
      </c>
      <c r="H27" s="30">
        <v>100</v>
      </c>
      <c r="I27" s="38">
        <v>24.156068960193924</v>
      </c>
      <c r="J27" s="37">
        <v>25.112164772281933</v>
      </c>
      <c r="K27" s="30">
        <f>J27-I27</f>
        <v>0.95609581208800876</v>
      </c>
      <c r="L27" s="138" t="s">
        <v>65</v>
      </c>
      <c r="M27" s="38"/>
      <c r="N27" s="38">
        <v>20</v>
      </c>
      <c r="O27" s="38">
        <v>100</v>
      </c>
      <c r="P27" s="40">
        <v>24.24826990057646</v>
      </c>
      <c r="Q27" s="39">
        <v>25.103969133136811</v>
      </c>
      <c r="R27" s="38">
        <f>Q27-P27</f>
        <v>0.85569923256035096</v>
      </c>
      <c r="S27" s="138">
        <f>AVERAGE(K27,R27)</f>
        <v>0.90589752232417986</v>
      </c>
      <c r="T27" s="138">
        <f>_xlfn.STDEV.S(R27,K27)</f>
        <v>7.0991102191941338E-2</v>
      </c>
    </row>
    <row r="28" spans="1:20">
      <c r="E28" s="30"/>
      <c r="F28" s="1" t="s">
        <v>12</v>
      </c>
      <c r="G28" s="30"/>
      <c r="H28" s="30"/>
      <c r="I28" s="30"/>
      <c r="J28" s="30"/>
      <c r="K28" s="30"/>
      <c r="L28" s="138"/>
      <c r="S28" s="138"/>
    </row>
    <row r="29" spans="1:20" ht="18">
      <c r="E29" s="138" t="s">
        <v>61</v>
      </c>
      <c r="F29" s="30">
        <f>0.0467-0.003</f>
        <v>4.3699999999999996E-2</v>
      </c>
      <c r="G29" s="30" t="s">
        <v>0</v>
      </c>
      <c r="H29" s="30" t="s">
        <v>1</v>
      </c>
      <c r="I29" s="138" t="s">
        <v>62</v>
      </c>
      <c r="J29" s="138" t="s">
        <v>63</v>
      </c>
      <c r="K29" s="138" t="s">
        <v>64</v>
      </c>
      <c r="L29" s="138" t="s">
        <v>61</v>
      </c>
      <c r="M29" s="40">
        <f>0.0469-0.0016</f>
        <v>4.53E-2</v>
      </c>
      <c r="N29" s="40" t="s">
        <v>0</v>
      </c>
      <c r="O29" s="40" t="s">
        <v>1</v>
      </c>
      <c r="P29" s="138" t="s">
        <v>62</v>
      </c>
      <c r="Q29" s="138" t="s">
        <v>63</v>
      </c>
      <c r="R29" s="138" t="s">
        <v>64</v>
      </c>
      <c r="S29" s="138"/>
    </row>
    <row r="30" spans="1:20">
      <c r="E30" s="138" t="s">
        <v>65</v>
      </c>
      <c r="F30" s="138">
        <f>F29/20*60</f>
        <v>0.13109999999999999</v>
      </c>
      <c r="G30" s="30">
        <v>20</v>
      </c>
      <c r="H30" s="30">
        <v>100</v>
      </c>
      <c r="I30" s="42">
        <v>24.423451687303288</v>
      </c>
      <c r="J30" s="41">
        <v>25.705137890883552</v>
      </c>
      <c r="K30" s="30">
        <f>J30-I30</f>
        <v>1.2816862035802643</v>
      </c>
      <c r="L30" s="138" t="s">
        <v>65</v>
      </c>
      <c r="M30" s="40"/>
      <c r="N30" s="40">
        <v>20</v>
      </c>
      <c r="O30" s="40">
        <v>100</v>
      </c>
      <c r="P30" s="44">
        <v>24.421216512990995</v>
      </c>
      <c r="Q30" s="43">
        <v>25.615451521602353</v>
      </c>
      <c r="R30" s="40">
        <f>Q30-P30</f>
        <v>1.1942350086113578</v>
      </c>
      <c r="S30" s="138">
        <f>AVERAGE(K30,R30)</f>
        <v>1.237960606095811</v>
      </c>
      <c r="T30" s="138">
        <f>_xlfn.STDEV.S(R30,K30)</f>
        <v>6.1837332985380689E-2</v>
      </c>
    </row>
    <row r="31" spans="1:20">
      <c r="L31" s="138"/>
    </row>
    <row r="34" spans="25:29">
      <c r="Z34" s="141"/>
    </row>
    <row r="38" spans="25:29">
      <c r="Y38" s="138"/>
      <c r="Z38" s="138"/>
      <c r="AA38" s="138"/>
      <c r="AB38" s="138"/>
      <c r="AC38" s="138"/>
    </row>
    <row r="39" spans="25:29">
      <c r="Y39" s="138"/>
      <c r="Z39" s="138"/>
      <c r="AA39" s="45"/>
      <c r="AB39" s="56"/>
    </row>
    <row r="40" spans="25:29">
      <c r="Y40" s="138"/>
      <c r="Z40" s="138"/>
    </row>
    <row r="41" spans="25:29">
      <c r="Y41" s="138"/>
      <c r="Z41" s="138"/>
      <c r="AA41" s="138"/>
      <c r="AB41" s="138"/>
      <c r="AC41" s="138"/>
    </row>
    <row r="42" spans="25:29">
      <c r="Y42" s="138"/>
      <c r="Z42" s="138"/>
      <c r="AB42" s="56"/>
    </row>
    <row r="43" spans="25:29">
      <c r="Y43" s="138"/>
      <c r="Z43" s="138"/>
    </row>
    <row r="44" spans="25:29">
      <c r="Y44" s="138"/>
      <c r="Z44" s="138"/>
    </row>
    <row r="45" spans="25:29">
      <c r="Y45" s="138"/>
      <c r="Z45" s="138"/>
      <c r="AB45" s="56"/>
    </row>
  </sheetData>
  <mergeCells count="3">
    <mergeCell ref="I4:K4"/>
    <mergeCell ref="I19:K19"/>
    <mergeCell ref="P19:R19"/>
  </mergeCells>
  <phoneticPr fontId="4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workbookViewId="0">
      <selection activeCell="Q7" sqref="Q7:R8"/>
    </sheetView>
  </sheetViews>
  <sheetFormatPr defaultRowHeight="15"/>
  <cols>
    <col min="3" max="3" width="16" customWidth="1"/>
    <col min="10" max="10" width="15.7109375" customWidth="1"/>
  </cols>
  <sheetData>
    <row r="1" spans="1:37" s="138" customFormat="1">
      <c r="A1" s="69" t="s">
        <v>84</v>
      </c>
      <c r="B1" s="69"/>
      <c r="C1" s="69"/>
      <c r="D1" s="69"/>
      <c r="E1" s="69"/>
    </row>
    <row r="2" spans="1:37">
      <c r="A2" s="138" t="s">
        <v>40</v>
      </c>
      <c r="D2" s="135"/>
    </row>
    <row r="4" spans="1:37">
      <c r="C4" s="44"/>
    </row>
    <row r="5" spans="1:37">
      <c r="Y5" s="143"/>
      <c r="Z5" s="144" t="s">
        <v>13</v>
      </c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</row>
    <row r="6" spans="1:37" ht="18">
      <c r="C6" s="47"/>
      <c r="D6" s="1" t="s">
        <v>13</v>
      </c>
      <c r="E6" s="47"/>
      <c r="F6" s="47"/>
      <c r="G6" s="149" t="s">
        <v>78</v>
      </c>
      <c r="H6" s="149"/>
      <c r="I6" s="149"/>
      <c r="J6" s="47"/>
      <c r="K6" s="47"/>
      <c r="L6" s="47"/>
      <c r="M6" s="47"/>
      <c r="N6" s="141" t="s">
        <v>80</v>
      </c>
      <c r="O6" s="47"/>
      <c r="Y6" s="143"/>
      <c r="Z6" s="143">
        <f>0.1228</f>
        <v>0.12280000000000001</v>
      </c>
      <c r="AA6" s="143" t="s">
        <v>0</v>
      </c>
      <c r="AB6" s="143" t="s">
        <v>1</v>
      </c>
      <c r="AC6" s="143" t="s">
        <v>85</v>
      </c>
      <c r="AD6" s="143" t="s">
        <v>3</v>
      </c>
      <c r="AE6" s="145" t="s">
        <v>4</v>
      </c>
      <c r="AF6" s="143">
        <f>0.1328-0.0022</f>
        <v>0.13059999999999999</v>
      </c>
      <c r="AG6" s="143" t="s">
        <v>0</v>
      </c>
      <c r="AH6" s="143" t="s">
        <v>1</v>
      </c>
      <c r="AI6" s="143" t="s">
        <v>85</v>
      </c>
      <c r="AJ6" s="143" t="s">
        <v>3</v>
      </c>
      <c r="AK6" s="145" t="s">
        <v>4</v>
      </c>
    </row>
    <row r="7" spans="1:37" ht="18">
      <c r="C7" s="138" t="s">
        <v>61</v>
      </c>
      <c r="D7" s="47">
        <f>0.1287-0.0101</f>
        <v>0.11860000000000001</v>
      </c>
      <c r="E7" s="47" t="s">
        <v>0</v>
      </c>
      <c r="F7" s="47" t="s">
        <v>1</v>
      </c>
      <c r="G7" s="138" t="s">
        <v>62</v>
      </c>
      <c r="H7" s="138" t="s">
        <v>63</v>
      </c>
      <c r="I7" s="138" t="s">
        <v>64</v>
      </c>
      <c r="J7" s="138" t="s">
        <v>61</v>
      </c>
      <c r="K7" s="138">
        <f>0.1317-0.0016</f>
        <v>0.13010000000000002</v>
      </c>
      <c r="L7" s="138" t="s">
        <v>0</v>
      </c>
      <c r="M7" s="138" t="s">
        <v>1</v>
      </c>
      <c r="N7" s="138" t="s">
        <v>62</v>
      </c>
      <c r="O7" s="138" t="s">
        <v>63</v>
      </c>
      <c r="P7" s="138" t="s">
        <v>64</v>
      </c>
      <c r="Q7" s="138" t="s">
        <v>74</v>
      </c>
      <c r="R7" s="138" t="s">
        <v>75</v>
      </c>
      <c r="Y7" s="143"/>
      <c r="Z7" s="143"/>
      <c r="AA7" s="143">
        <v>20</v>
      </c>
      <c r="AB7" s="143">
        <v>100</v>
      </c>
      <c r="AC7" s="143">
        <v>26.428868706754965</v>
      </c>
      <c r="AD7" s="143">
        <v>35.076385592006773</v>
      </c>
      <c r="AE7" s="143">
        <f>AD7-AC7</f>
        <v>8.6475168852518074</v>
      </c>
      <c r="AF7" s="143"/>
      <c r="AG7" s="143">
        <v>20</v>
      </c>
      <c r="AH7" s="143">
        <v>100</v>
      </c>
      <c r="AI7" s="143">
        <v>25.044550749334729</v>
      </c>
      <c r="AJ7" s="143">
        <v>32.944401827120892</v>
      </c>
      <c r="AK7" s="143">
        <f>AJ7-AI7</f>
        <v>7.8998510777861632</v>
      </c>
    </row>
    <row r="8" spans="1:37">
      <c r="C8" s="138" t="s">
        <v>65</v>
      </c>
      <c r="D8" s="138">
        <f>D7/20*80</f>
        <v>0.47440000000000004</v>
      </c>
      <c r="E8" s="47">
        <v>20</v>
      </c>
      <c r="F8" s="47">
        <v>100</v>
      </c>
      <c r="G8" s="48">
        <v>23.016781986760012</v>
      </c>
      <c r="H8" s="49">
        <v>29.834436168339035</v>
      </c>
      <c r="I8" s="47">
        <f>H8-G8</f>
        <v>6.817654181579023</v>
      </c>
      <c r="J8" s="138" t="s">
        <v>65</v>
      </c>
      <c r="K8" s="138">
        <f>K7/20*80</f>
        <v>0.52040000000000008</v>
      </c>
      <c r="L8" s="138">
        <v>20</v>
      </c>
      <c r="M8" s="138">
        <v>100</v>
      </c>
      <c r="N8" s="138">
        <v>24.422706629199183</v>
      </c>
      <c r="O8" s="138">
        <v>32.92428525831015</v>
      </c>
      <c r="P8" s="138">
        <f>O8-N8</f>
        <v>8.5015786291109663</v>
      </c>
      <c r="Q8" s="138">
        <f>AVERAGE(I8,P8)</f>
        <v>7.6596164053449947</v>
      </c>
      <c r="R8" s="138">
        <f>_xlfn.STDEV.S(P8,I8)</f>
        <v>1.1907143958556494</v>
      </c>
      <c r="Y8" s="143"/>
      <c r="Z8" s="144" t="s">
        <v>14</v>
      </c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</row>
    <row r="9" spans="1:37" ht="18">
      <c r="C9" s="138"/>
      <c r="D9" s="1" t="s">
        <v>14</v>
      </c>
      <c r="E9" s="47"/>
      <c r="F9" s="47"/>
      <c r="G9" s="47"/>
      <c r="H9" s="47"/>
      <c r="I9" s="47"/>
      <c r="J9" s="138"/>
      <c r="K9" s="138"/>
      <c r="L9" s="138"/>
      <c r="M9" s="138"/>
      <c r="N9" s="138"/>
      <c r="O9" s="138"/>
      <c r="P9" s="138"/>
      <c r="Y9" s="143"/>
      <c r="Z9" s="143">
        <f>0.073-0.0035</f>
        <v>6.9499999999999992E-2</v>
      </c>
      <c r="AA9" s="143" t="s">
        <v>0</v>
      </c>
      <c r="AB9" s="143" t="s">
        <v>1</v>
      </c>
      <c r="AC9" s="143" t="s">
        <v>85</v>
      </c>
      <c r="AD9" s="143" t="s">
        <v>3</v>
      </c>
      <c r="AE9" s="145" t="s">
        <v>4</v>
      </c>
      <c r="AF9" s="143">
        <f>0.053-0.0003</f>
        <v>5.2699999999999997E-2</v>
      </c>
      <c r="AG9" s="143" t="s">
        <v>0</v>
      </c>
      <c r="AH9" s="143" t="s">
        <v>1</v>
      </c>
      <c r="AI9" s="143" t="s">
        <v>85</v>
      </c>
      <c r="AJ9" s="143" t="s">
        <v>3</v>
      </c>
      <c r="AK9" s="145" t="s">
        <v>4</v>
      </c>
    </row>
    <row r="10" spans="1:37" ht="18">
      <c r="C10" s="138" t="s">
        <v>61</v>
      </c>
      <c r="D10" s="47">
        <f>0.0596-0.0031</f>
        <v>5.6500000000000002E-2</v>
      </c>
      <c r="E10" s="47" t="s">
        <v>0</v>
      </c>
      <c r="F10" s="47" t="s">
        <v>1</v>
      </c>
      <c r="G10" s="138" t="s">
        <v>62</v>
      </c>
      <c r="H10" s="138" t="s">
        <v>63</v>
      </c>
      <c r="I10" s="138" t="s">
        <v>64</v>
      </c>
      <c r="J10" s="138" t="s">
        <v>61</v>
      </c>
      <c r="K10" s="138">
        <f>0.069-0.0116</f>
        <v>5.7400000000000007E-2</v>
      </c>
      <c r="L10" s="138" t="s">
        <v>0</v>
      </c>
      <c r="M10" s="138" t="s">
        <v>1</v>
      </c>
      <c r="N10" s="138" t="s">
        <v>62</v>
      </c>
      <c r="O10" s="138" t="s">
        <v>63</v>
      </c>
      <c r="P10" s="138" t="s">
        <v>64</v>
      </c>
      <c r="Y10" s="143"/>
      <c r="Z10" s="143"/>
      <c r="AA10" s="143">
        <v>20</v>
      </c>
      <c r="AB10" s="143">
        <v>100</v>
      </c>
      <c r="AC10" s="143">
        <v>25.437103237933101</v>
      </c>
      <c r="AD10" s="143">
        <v>26.307796764838503</v>
      </c>
      <c r="AE10" s="143">
        <f>AD10-AC10</f>
        <v>0.87069352690540214</v>
      </c>
      <c r="AF10" s="143"/>
      <c r="AG10" s="143">
        <v>20</v>
      </c>
      <c r="AH10" s="143">
        <v>100</v>
      </c>
      <c r="AI10" s="143">
        <v>23.764820323277743</v>
      </c>
      <c r="AJ10" s="143">
        <v>24.775677906017176</v>
      </c>
      <c r="AK10" s="143">
        <f>AJ10-AI10</f>
        <v>1.0108575827394333</v>
      </c>
    </row>
    <row r="11" spans="1:37">
      <c r="C11" s="138" t="s">
        <v>65</v>
      </c>
      <c r="D11" s="138">
        <f>D10/20*80</f>
        <v>0.22600000000000003</v>
      </c>
      <c r="E11" s="47">
        <v>20</v>
      </c>
      <c r="F11" s="47">
        <v>100</v>
      </c>
      <c r="G11" s="51">
        <v>23.758021668077813</v>
      </c>
      <c r="H11" s="50">
        <v>24.430622871555258</v>
      </c>
      <c r="I11" s="47">
        <f>H11-G11</f>
        <v>0.6726012034774449</v>
      </c>
      <c r="J11" s="138" t="s">
        <v>65</v>
      </c>
      <c r="K11" s="138">
        <f>K10/20*80</f>
        <v>0.22960000000000003</v>
      </c>
      <c r="L11" s="138">
        <v>20</v>
      </c>
      <c r="M11" s="138">
        <v>100</v>
      </c>
      <c r="N11" s="138">
        <v>24.088361804983723</v>
      </c>
      <c r="O11" s="138">
        <v>24.764502034455656</v>
      </c>
      <c r="P11" s="138">
        <f>O11-N11</f>
        <v>0.6761402294719332</v>
      </c>
      <c r="Q11" s="138">
        <f>AVERAGE(I11,P11)</f>
        <v>0.67437071647468905</v>
      </c>
      <c r="R11" s="138">
        <f>_xlfn.STDEV.S(P11,I11)</f>
        <v>2.502469279498141E-3</v>
      </c>
      <c r="Y11" s="143"/>
      <c r="Z11" s="144" t="s">
        <v>15</v>
      </c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</row>
    <row r="12" spans="1:37" ht="18">
      <c r="C12" s="138"/>
      <c r="D12" s="1" t="s">
        <v>15</v>
      </c>
      <c r="E12" s="47"/>
      <c r="F12" s="47"/>
      <c r="G12" s="47"/>
      <c r="H12" s="47"/>
      <c r="I12" s="47"/>
      <c r="J12" s="138"/>
      <c r="K12" s="138"/>
      <c r="L12" s="138"/>
      <c r="M12" s="138"/>
      <c r="N12" s="138"/>
      <c r="O12" s="138"/>
      <c r="P12" s="138"/>
      <c r="Y12" s="143"/>
      <c r="Z12" s="143">
        <f>0.0603-0.0109</f>
        <v>4.9399999999999999E-2</v>
      </c>
      <c r="AA12" s="143" t="s">
        <v>0</v>
      </c>
      <c r="AB12" s="143" t="s">
        <v>1</v>
      </c>
      <c r="AC12" s="143" t="s">
        <v>85</v>
      </c>
      <c r="AD12" s="143" t="s">
        <v>3</v>
      </c>
      <c r="AE12" s="145" t="s">
        <v>4</v>
      </c>
      <c r="AF12" s="143">
        <f>0.053-0.001</f>
        <v>5.1999999999999998E-2</v>
      </c>
      <c r="AG12" s="143" t="s">
        <v>0</v>
      </c>
      <c r="AH12" s="143" t="s">
        <v>1</v>
      </c>
      <c r="AI12" s="143" t="s">
        <v>85</v>
      </c>
      <c r="AJ12" s="143" t="s">
        <v>3</v>
      </c>
      <c r="AK12" s="145" t="s">
        <v>4</v>
      </c>
    </row>
    <row r="13" spans="1:37" ht="18">
      <c r="C13" s="138" t="s">
        <v>61</v>
      </c>
      <c r="D13" s="47">
        <f>0.0507-0.0032</f>
        <v>4.7500000000000001E-2</v>
      </c>
      <c r="E13" s="47" t="s">
        <v>0</v>
      </c>
      <c r="F13" s="47" t="s">
        <v>1</v>
      </c>
      <c r="G13" s="138" t="s">
        <v>62</v>
      </c>
      <c r="H13" s="138" t="s">
        <v>63</v>
      </c>
      <c r="I13" s="138" t="s">
        <v>64</v>
      </c>
      <c r="J13" s="138" t="s">
        <v>61</v>
      </c>
      <c r="K13" s="138">
        <f>0.0511-0.0015</f>
        <v>4.9599999999999998E-2</v>
      </c>
      <c r="L13" s="138" t="s">
        <v>0</v>
      </c>
      <c r="M13" s="138" t="s">
        <v>1</v>
      </c>
      <c r="N13" s="138" t="s">
        <v>62</v>
      </c>
      <c r="O13" s="138" t="s">
        <v>63</v>
      </c>
      <c r="P13" s="138" t="s">
        <v>64</v>
      </c>
      <c r="Y13" s="143"/>
      <c r="Z13" s="143"/>
      <c r="AA13" s="143">
        <v>20</v>
      </c>
      <c r="AB13" s="143">
        <v>100</v>
      </c>
      <c r="AC13" s="143">
        <v>25.458896187478082</v>
      </c>
      <c r="AD13" s="143">
        <v>25.79305474716752</v>
      </c>
      <c r="AE13" s="143">
        <f>AD13-AC13</f>
        <v>0.33415855968943831</v>
      </c>
      <c r="AF13" s="143"/>
      <c r="AG13" s="143">
        <v>20</v>
      </c>
      <c r="AH13" s="143">
        <v>100</v>
      </c>
      <c r="AI13" s="143">
        <v>25.455450293746619</v>
      </c>
      <c r="AJ13" s="143">
        <v>26.120973445235091</v>
      </c>
      <c r="AK13" s="143">
        <f>AJ13-AI13</f>
        <v>0.66552315148847185</v>
      </c>
    </row>
    <row r="14" spans="1:37">
      <c r="C14" s="138" t="s">
        <v>65</v>
      </c>
      <c r="D14" s="138">
        <f>D13/20*80</f>
        <v>0.19</v>
      </c>
      <c r="E14" s="47">
        <v>20</v>
      </c>
      <c r="F14" s="47">
        <v>100</v>
      </c>
      <c r="G14" s="53">
        <v>24.434348162075764</v>
      </c>
      <c r="H14" s="52">
        <v>24.96017291904527</v>
      </c>
      <c r="I14" s="47">
        <f>H14-G14</f>
        <v>0.52582475696950581</v>
      </c>
      <c r="J14" s="138" t="s">
        <v>65</v>
      </c>
      <c r="K14" s="138">
        <f>K13/20*80</f>
        <v>0.19839999999999999</v>
      </c>
      <c r="L14" s="138">
        <v>20</v>
      </c>
      <c r="M14" s="138">
        <v>100</v>
      </c>
      <c r="N14" s="138">
        <v>24.091248905137125</v>
      </c>
      <c r="O14" s="138">
        <v>24.776702360910324</v>
      </c>
      <c r="P14" s="138">
        <f>O14-N14</f>
        <v>0.68545345577319949</v>
      </c>
      <c r="Q14" s="138">
        <f>AVERAGE(I14,P14)</f>
        <v>0.60563910637135265</v>
      </c>
      <c r="R14" s="138">
        <f>_xlfn.STDEV.S(P14,I14)</f>
        <v>0.11287453539607635</v>
      </c>
      <c r="Y14" s="143"/>
      <c r="Z14" s="144" t="s">
        <v>16</v>
      </c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</row>
    <row r="15" spans="1:37" ht="18">
      <c r="C15" s="138"/>
      <c r="D15" s="1" t="s">
        <v>16</v>
      </c>
      <c r="E15" s="47"/>
      <c r="F15" s="47"/>
      <c r="G15" s="47"/>
      <c r="H15" s="47"/>
      <c r="I15" s="47"/>
      <c r="J15" s="138"/>
      <c r="K15" s="138"/>
      <c r="L15" s="138"/>
      <c r="M15" s="138"/>
      <c r="N15" s="138"/>
      <c r="O15" s="138"/>
      <c r="P15" s="138"/>
      <c r="Y15" s="143"/>
      <c r="Z15" s="143">
        <f>0.0547-0.0032</f>
        <v>5.1499999999999997E-2</v>
      </c>
      <c r="AA15" s="143" t="s">
        <v>0</v>
      </c>
      <c r="AB15" s="143" t="s">
        <v>1</v>
      </c>
      <c r="AC15" s="143" t="s">
        <v>85</v>
      </c>
      <c r="AD15" s="143" t="s">
        <v>3</v>
      </c>
      <c r="AE15" s="145" t="s">
        <v>4</v>
      </c>
      <c r="AF15" s="143">
        <f>0.0493-0.0038</f>
        <v>4.5499999999999999E-2</v>
      </c>
      <c r="AG15" s="143" t="s">
        <v>0</v>
      </c>
      <c r="AH15" s="143" t="s">
        <v>1</v>
      </c>
      <c r="AI15" s="143" t="s">
        <v>85</v>
      </c>
      <c r="AJ15" s="143" t="s">
        <v>3</v>
      </c>
      <c r="AK15" s="145" t="s">
        <v>4</v>
      </c>
    </row>
    <row r="16" spans="1:37" ht="18">
      <c r="C16" s="138" t="s">
        <v>61</v>
      </c>
      <c r="D16" s="47">
        <f>0.0447-0.0032</f>
        <v>4.1499999999999995E-2</v>
      </c>
      <c r="E16" s="47" t="s">
        <v>0</v>
      </c>
      <c r="F16" s="47" t="s">
        <v>1</v>
      </c>
      <c r="G16" s="138" t="s">
        <v>62</v>
      </c>
      <c r="H16" s="138" t="s">
        <v>63</v>
      </c>
      <c r="I16" s="138" t="s">
        <v>64</v>
      </c>
      <c r="J16" s="138" t="s">
        <v>61</v>
      </c>
      <c r="K16" s="138">
        <f>0.0532-0.0003</f>
        <v>5.2899999999999996E-2</v>
      </c>
      <c r="L16" s="138" t="s">
        <v>0</v>
      </c>
      <c r="M16" s="138" t="s">
        <v>1</v>
      </c>
      <c r="N16" s="138" t="s">
        <v>62</v>
      </c>
      <c r="O16" s="138" t="s">
        <v>63</v>
      </c>
      <c r="P16" s="138" t="s">
        <v>64</v>
      </c>
      <c r="Y16" s="143"/>
      <c r="Z16" s="143"/>
      <c r="AA16" s="143">
        <v>20</v>
      </c>
      <c r="AB16" s="143">
        <v>100</v>
      </c>
      <c r="AC16" s="143">
        <v>25.334378351830157</v>
      </c>
      <c r="AD16" s="143">
        <v>25.619456208911902</v>
      </c>
      <c r="AE16" s="143">
        <f>AD16-AC16</f>
        <v>0.28507785708174538</v>
      </c>
      <c r="AF16" s="143"/>
      <c r="AG16" s="143">
        <v>20</v>
      </c>
      <c r="AH16" s="143">
        <v>100</v>
      </c>
      <c r="AI16" s="143">
        <v>25.445485141604241</v>
      </c>
      <c r="AJ16" s="143">
        <v>25.623833425273492</v>
      </c>
      <c r="AK16" s="143">
        <f>AJ16-AI16</f>
        <v>0.17834828366925137</v>
      </c>
    </row>
    <row r="17" spans="1:37">
      <c r="C17" s="138" t="s">
        <v>65</v>
      </c>
      <c r="D17" s="138">
        <f>D16/20*80</f>
        <v>0.16599999999999998</v>
      </c>
      <c r="E17" s="47">
        <v>20</v>
      </c>
      <c r="F17" s="47">
        <v>100</v>
      </c>
      <c r="G17" s="55">
        <v>24.773349599441858</v>
      </c>
      <c r="H17" s="54">
        <v>25.116262591854479</v>
      </c>
      <c r="I17" s="47">
        <f>H17-G17</f>
        <v>0.34291299241262152</v>
      </c>
      <c r="J17" s="138" t="s">
        <v>65</v>
      </c>
      <c r="K17" s="138">
        <f>K16/20*80</f>
        <v>0.21159999999999998</v>
      </c>
      <c r="L17" s="138">
        <v>20</v>
      </c>
      <c r="M17" s="138">
        <v>100</v>
      </c>
      <c r="N17" s="138">
        <v>25.445485141604241</v>
      </c>
      <c r="O17" s="138">
        <v>25.9238334252735</v>
      </c>
      <c r="P17" s="138">
        <f>O17-N17</f>
        <v>0.47834828366925919</v>
      </c>
      <c r="Q17" s="138">
        <f>AVERAGE(I17,P17)</f>
        <v>0.41063063804094035</v>
      </c>
      <c r="R17" s="138">
        <f>_xlfn.STDEV.S(P17,I17)</f>
        <v>9.576721285954376E-2</v>
      </c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</row>
    <row r="21" spans="1:37">
      <c r="A21" s="69" t="s">
        <v>86</v>
      </c>
      <c r="B21" s="69"/>
      <c r="C21" s="69"/>
      <c r="D21" s="69"/>
      <c r="E21" s="69"/>
      <c r="O21" s="2"/>
    </row>
    <row r="22" spans="1:37">
      <c r="A22" s="138" t="s">
        <v>40</v>
      </c>
      <c r="O22" s="46"/>
    </row>
    <row r="23" spans="1:37">
      <c r="D23" s="135"/>
    </row>
    <row r="26" spans="1:37">
      <c r="C26" s="72"/>
      <c r="D26" s="1" t="s">
        <v>13</v>
      </c>
      <c r="E26" s="72"/>
      <c r="F26" s="72"/>
      <c r="G26" s="72"/>
      <c r="H26" s="72"/>
      <c r="I26" s="72"/>
    </row>
    <row r="27" spans="1:37" ht="18">
      <c r="C27" s="138" t="s">
        <v>61</v>
      </c>
      <c r="D27" s="72">
        <f>0.1107-0.0008</f>
        <v>0.10990000000000001</v>
      </c>
      <c r="E27" s="72" t="s">
        <v>0</v>
      </c>
      <c r="F27" s="72" t="s">
        <v>1</v>
      </c>
      <c r="G27" s="138" t="s">
        <v>62</v>
      </c>
      <c r="H27" s="138" t="s">
        <v>63</v>
      </c>
      <c r="I27" s="138" t="s">
        <v>64</v>
      </c>
    </row>
    <row r="28" spans="1:37">
      <c r="C28" s="138" t="s">
        <v>65</v>
      </c>
      <c r="D28" s="138">
        <f>D27/20*80</f>
        <v>0.43960000000000005</v>
      </c>
      <c r="E28" s="72">
        <v>20</v>
      </c>
      <c r="F28" s="72">
        <v>100</v>
      </c>
      <c r="G28" s="74">
        <v>24.095905518287758</v>
      </c>
      <c r="H28" s="75">
        <v>31.817780841456717</v>
      </c>
      <c r="I28" s="72">
        <f>H28-G28</f>
        <v>7.721875323168959</v>
      </c>
    </row>
    <row r="29" spans="1:37">
      <c r="C29" s="138"/>
      <c r="D29" s="1" t="s">
        <v>14</v>
      </c>
      <c r="E29" s="72"/>
      <c r="F29" s="72"/>
      <c r="G29" s="72"/>
      <c r="H29" s="72"/>
      <c r="I29" s="72"/>
    </row>
    <row r="30" spans="1:37" ht="18">
      <c r="C30" s="138" t="s">
        <v>61</v>
      </c>
      <c r="D30" s="72">
        <f>0.0569-0.0012</f>
        <v>5.57E-2</v>
      </c>
      <c r="E30" s="72" t="s">
        <v>0</v>
      </c>
      <c r="F30" s="72" t="s">
        <v>1</v>
      </c>
      <c r="G30" s="138" t="s">
        <v>62</v>
      </c>
      <c r="H30" s="138" t="s">
        <v>63</v>
      </c>
      <c r="I30" s="138" t="s">
        <v>64</v>
      </c>
    </row>
    <row r="31" spans="1:37">
      <c r="C31" s="138" t="s">
        <v>65</v>
      </c>
      <c r="D31" s="138">
        <f>D30/20*80</f>
        <v>0.2228</v>
      </c>
      <c r="E31" s="72">
        <v>20</v>
      </c>
      <c r="F31" s="72">
        <v>100</v>
      </c>
      <c r="G31" s="77">
        <v>24.626293756144875</v>
      </c>
      <c r="H31" s="76">
        <v>25.199243438198771</v>
      </c>
      <c r="I31" s="72">
        <f>H31-G31</f>
        <v>0.57294968205389551</v>
      </c>
    </row>
    <row r="32" spans="1:37">
      <c r="C32" s="138"/>
      <c r="D32" s="1" t="s">
        <v>15</v>
      </c>
      <c r="E32" s="72"/>
      <c r="F32" s="72"/>
      <c r="G32" s="72"/>
      <c r="H32" s="72"/>
      <c r="I32" s="72"/>
    </row>
    <row r="33" spans="3:21" ht="18">
      <c r="C33" s="138" t="s">
        <v>61</v>
      </c>
      <c r="D33" s="72">
        <f>0.0499-0.0009</f>
        <v>4.9000000000000002E-2</v>
      </c>
      <c r="E33" s="72" t="s">
        <v>0</v>
      </c>
      <c r="F33" s="72" t="s">
        <v>1</v>
      </c>
      <c r="G33" s="138" t="s">
        <v>62</v>
      </c>
      <c r="H33" s="138" t="s">
        <v>63</v>
      </c>
      <c r="I33" s="138" t="s">
        <v>64</v>
      </c>
    </row>
    <row r="34" spans="3:21">
      <c r="C34" s="138" t="s">
        <v>65</v>
      </c>
      <c r="D34" s="138">
        <f>D33/20*80</f>
        <v>0.19600000000000001</v>
      </c>
      <c r="E34" s="72">
        <v>20</v>
      </c>
      <c r="F34" s="72">
        <v>100</v>
      </c>
      <c r="G34" s="79">
        <v>25.099312519986178</v>
      </c>
      <c r="H34" s="78">
        <v>25.620108134752986</v>
      </c>
      <c r="I34" s="72">
        <f>H34-G34</f>
        <v>0.5207956147668078</v>
      </c>
    </row>
    <row r="35" spans="3:21">
      <c r="C35" s="138"/>
      <c r="D35" s="1" t="s">
        <v>16</v>
      </c>
      <c r="E35" s="72"/>
      <c r="F35" s="72"/>
      <c r="G35" s="72"/>
      <c r="H35" s="72"/>
      <c r="I35" s="72"/>
      <c r="S35" s="56"/>
      <c r="U35" s="56"/>
    </row>
    <row r="36" spans="3:21" ht="18">
      <c r="C36" s="138" t="s">
        <v>61</v>
      </c>
      <c r="D36" s="72">
        <f>0.0545-0.0144</f>
        <v>4.0099999999999997E-2</v>
      </c>
      <c r="E36" s="72" t="s">
        <v>0</v>
      </c>
      <c r="F36" s="72" t="s">
        <v>1</v>
      </c>
      <c r="G36" s="138" t="s">
        <v>62</v>
      </c>
      <c r="H36" s="138" t="s">
        <v>63</v>
      </c>
      <c r="I36" s="138" t="s">
        <v>64</v>
      </c>
    </row>
    <row r="37" spans="3:21">
      <c r="C37" s="138" t="s">
        <v>65</v>
      </c>
      <c r="D37" s="138">
        <f>D36/20*80</f>
        <v>0.16039999999999999</v>
      </c>
      <c r="E37" s="72">
        <v>20</v>
      </c>
      <c r="F37" s="72">
        <v>100</v>
      </c>
      <c r="G37" s="81">
        <v>24.691206943464696</v>
      </c>
      <c r="H37" s="80">
        <v>25.052746388479846</v>
      </c>
      <c r="I37" s="72">
        <f>H37-G37</f>
        <v>0.36153944501515056</v>
      </c>
    </row>
    <row r="38" spans="3:21">
      <c r="D38" s="47"/>
      <c r="U38" s="56"/>
    </row>
    <row r="39" spans="3:21">
      <c r="D39" s="47"/>
    </row>
    <row r="40" spans="3:21">
      <c r="D40" s="47"/>
    </row>
    <row r="41" spans="3:21">
      <c r="D41" s="47"/>
      <c r="S41" s="56"/>
      <c r="U41" s="56"/>
    </row>
    <row r="42" spans="3:21">
      <c r="D42" s="47"/>
    </row>
    <row r="43" spans="3:21">
      <c r="D43" s="47"/>
    </row>
    <row r="44" spans="3:21">
      <c r="D44" s="47"/>
      <c r="S44" s="56"/>
      <c r="U44" s="56"/>
    </row>
    <row r="51" spans="4:17">
      <c r="L51" s="72"/>
      <c r="M51" s="72"/>
      <c r="N51" s="72"/>
      <c r="O51" s="72"/>
      <c r="P51" s="72"/>
      <c r="Q51" s="72"/>
    </row>
    <row r="52" spans="4:17">
      <c r="L52" s="72"/>
      <c r="M52" s="72"/>
      <c r="N52" s="72"/>
      <c r="O52" s="72"/>
      <c r="P52" s="72"/>
      <c r="Q52" s="2"/>
    </row>
    <row r="53" spans="4:17">
      <c r="L53" s="72"/>
      <c r="M53" s="72"/>
      <c r="N53" s="72"/>
      <c r="O53" s="72"/>
      <c r="P53" s="72"/>
      <c r="Q53" s="72"/>
    </row>
    <row r="54" spans="4:17">
      <c r="L54" s="72"/>
      <c r="M54" s="72"/>
      <c r="N54" s="72"/>
      <c r="O54" s="72"/>
      <c r="P54" s="72"/>
      <c r="Q54" s="72"/>
    </row>
    <row r="55" spans="4:17">
      <c r="L55" s="72"/>
      <c r="M55" s="72"/>
      <c r="N55" s="72"/>
      <c r="O55" s="72"/>
      <c r="P55" s="72"/>
      <c r="Q55" s="2"/>
    </row>
    <row r="56" spans="4:17">
      <c r="L56" s="72"/>
      <c r="M56" s="72"/>
      <c r="N56" s="72"/>
      <c r="O56" s="72"/>
      <c r="P56" s="72"/>
      <c r="Q56" s="72"/>
    </row>
    <row r="57" spans="4:17">
      <c r="L57" s="72"/>
      <c r="M57" s="72"/>
      <c r="N57" s="72"/>
      <c r="O57" s="72"/>
      <c r="P57" s="72"/>
      <c r="Q57" s="72"/>
    </row>
    <row r="58" spans="4:17">
      <c r="L58" s="72"/>
      <c r="M58" s="72"/>
      <c r="N58" s="72"/>
      <c r="O58" s="72"/>
      <c r="P58" s="72"/>
      <c r="Q58" s="2"/>
    </row>
    <row r="59" spans="4:17">
      <c r="L59" s="72"/>
      <c r="M59" s="72"/>
      <c r="N59" s="72"/>
      <c r="O59" s="72"/>
      <c r="P59" s="72"/>
      <c r="Q59" s="72"/>
    </row>
    <row r="60" spans="4:17">
      <c r="L60" s="72"/>
      <c r="M60" s="72"/>
      <c r="N60" s="72"/>
      <c r="O60" s="72"/>
      <c r="P60" s="72"/>
      <c r="Q60" s="72"/>
    </row>
    <row r="61" spans="4:17">
      <c r="L61" s="72"/>
      <c r="M61" s="72"/>
      <c r="N61" s="72"/>
      <c r="O61" s="72"/>
      <c r="P61" s="72"/>
      <c r="Q61" s="2"/>
    </row>
    <row r="62" spans="4:17">
      <c r="L62" s="72"/>
      <c r="M62" s="72"/>
      <c r="N62" s="72"/>
      <c r="O62" s="72"/>
      <c r="P62" s="72"/>
      <c r="Q62" s="72"/>
    </row>
    <row r="63" spans="4:17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</row>
  </sheetData>
  <mergeCells count="1">
    <mergeCell ref="G6:I6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workbookViewId="0">
      <selection activeCell="T5" sqref="T5:U6"/>
    </sheetView>
  </sheetViews>
  <sheetFormatPr defaultRowHeight="15"/>
  <cols>
    <col min="6" max="6" width="18.85546875" customWidth="1"/>
  </cols>
  <sheetData>
    <row r="1" spans="1:21">
      <c r="A1" s="69" t="s">
        <v>87</v>
      </c>
      <c r="B1" s="69"/>
      <c r="C1" s="69"/>
      <c r="D1" s="69"/>
      <c r="E1" s="69"/>
    </row>
    <row r="2" spans="1:21">
      <c r="A2" s="138" t="s">
        <v>40</v>
      </c>
      <c r="E2" s="135"/>
    </row>
    <row r="4" spans="1:21">
      <c r="E4" s="81"/>
      <c r="F4" s="81"/>
      <c r="G4" s="1" t="s">
        <v>25</v>
      </c>
      <c r="H4" s="81"/>
      <c r="I4" s="81"/>
      <c r="J4" s="149" t="s">
        <v>78</v>
      </c>
      <c r="K4" s="149"/>
      <c r="L4" s="149"/>
      <c r="M4" s="81"/>
      <c r="N4" s="81"/>
      <c r="O4" s="81"/>
      <c r="P4" s="81"/>
      <c r="Q4" s="149" t="s">
        <v>80</v>
      </c>
      <c r="R4" s="149"/>
      <c r="S4" s="149"/>
    </row>
    <row r="5" spans="1:21" ht="18">
      <c r="E5" s="81"/>
      <c r="F5" s="138" t="s">
        <v>61</v>
      </c>
      <c r="G5" s="81">
        <f>0.1494-0.0336</f>
        <v>0.11580000000000001</v>
      </c>
      <c r="H5" s="81" t="s">
        <v>0</v>
      </c>
      <c r="I5" s="81" t="s">
        <v>1</v>
      </c>
      <c r="J5" s="138" t="s">
        <v>62</v>
      </c>
      <c r="K5" s="138" t="s">
        <v>63</v>
      </c>
      <c r="L5" s="138" t="s">
        <v>64</v>
      </c>
      <c r="M5" s="138" t="s">
        <v>61</v>
      </c>
      <c r="N5" s="138">
        <f>0.1428-0.0158</f>
        <v>0.127</v>
      </c>
      <c r="O5" s="138" t="s">
        <v>0</v>
      </c>
      <c r="P5" s="138" t="s">
        <v>1</v>
      </c>
      <c r="Q5" s="138" t="s">
        <v>62</v>
      </c>
      <c r="R5" s="138" t="s">
        <v>63</v>
      </c>
      <c r="S5" s="138" t="s">
        <v>64</v>
      </c>
      <c r="T5" s="138" t="s">
        <v>74</v>
      </c>
      <c r="U5" s="138" t="s">
        <v>75</v>
      </c>
    </row>
    <row r="6" spans="1:21">
      <c r="E6" s="81"/>
      <c r="F6" s="138" t="s">
        <v>65</v>
      </c>
      <c r="G6" s="138">
        <f>G5/20*100</f>
        <v>0.57900000000000007</v>
      </c>
      <c r="H6" s="81">
        <v>20</v>
      </c>
      <c r="I6" s="81">
        <v>100</v>
      </c>
      <c r="J6" s="82">
        <v>23.74377243183687</v>
      </c>
      <c r="K6" s="83">
        <v>31.065830949892458</v>
      </c>
      <c r="L6" s="81">
        <f>K6-J6</f>
        <v>7.3220585180555879</v>
      </c>
      <c r="M6" s="138" t="s">
        <v>65</v>
      </c>
      <c r="N6" s="138">
        <f>N5/20*100</f>
        <v>0.63500000000000001</v>
      </c>
      <c r="O6" s="138">
        <v>20</v>
      </c>
      <c r="P6" s="138">
        <v>100</v>
      </c>
      <c r="Q6" s="138">
        <v>24.415442312684188</v>
      </c>
      <c r="R6" s="138">
        <v>31.206553799304604</v>
      </c>
      <c r="S6" s="138">
        <f>R6-Q6</f>
        <v>6.7911114866204159</v>
      </c>
      <c r="T6" s="138">
        <f>AVERAGE(L6,S6)</f>
        <v>7.0565850023380019</v>
      </c>
      <c r="U6" s="138">
        <f>_xlfn.STDEV.S(S6,L6)</f>
        <v>0.37543624637867717</v>
      </c>
    </row>
    <row r="7" spans="1:21">
      <c r="E7" s="81"/>
      <c r="F7" s="138"/>
      <c r="G7" s="1" t="s">
        <v>26</v>
      </c>
      <c r="H7" s="81"/>
      <c r="I7" s="81"/>
      <c r="J7" s="81"/>
      <c r="K7" s="81"/>
      <c r="L7" s="81"/>
      <c r="M7" s="138"/>
      <c r="N7" s="138"/>
      <c r="O7" s="138"/>
      <c r="P7" s="138"/>
      <c r="Q7" s="138"/>
      <c r="R7" s="138"/>
      <c r="S7" s="138"/>
    </row>
    <row r="8" spans="1:21" ht="18">
      <c r="E8" s="81"/>
      <c r="F8" s="138" t="s">
        <v>61</v>
      </c>
      <c r="G8" s="81">
        <f>0.057-0.0071</f>
        <v>4.99E-2</v>
      </c>
      <c r="H8" s="81" t="s">
        <v>0</v>
      </c>
      <c r="I8" s="81" t="s">
        <v>1</v>
      </c>
      <c r="J8" s="138" t="s">
        <v>62</v>
      </c>
      <c r="K8" s="138" t="s">
        <v>63</v>
      </c>
      <c r="L8" s="138" t="s">
        <v>64</v>
      </c>
      <c r="M8" s="138" t="s">
        <v>61</v>
      </c>
      <c r="N8" s="138">
        <f>0.0482-0.0008</f>
        <v>4.7399999999999998E-2</v>
      </c>
      <c r="O8" s="138" t="s">
        <v>0</v>
      </c>
      <c r="P8" s="138" t="s">
        <v>1</v>
      </c>
      <c r="Q8" s="138" t="s">
        <v>62</v>
      </c>
      <c r="R8" s="138" t="s">
        <v>63</v>
      </c>
      <c r="S8" s="138" t="s">
        <v>64</v>
      </c>
    </row>
    <row r="9" spans="1:21">
      <c r="E9" s="81"/>
      <c r="F9" s="138" t="s">
        <v>65</v>
      </c>
      <c r="G9" s="138">
        <f>G8/20*100</f>
        <v>0.24949999999999997</v>
      </c>
      <c r="H9" s="81">
        <v>20</v>
      </c>
      <c r="I9" s="81">
        <v>100</v>
      </c>
      <c r="J9" s="85">
        <v>25.468023149253327</v>
      </c>
      <c r="K9" s="84">
        <v>26.987103491252856</v>
      </c>
      <c r="L9" s="81">
        <f>K9-J9</f>
        <v>1.5190803419995298</v>
      </c>
      <c r="M9" s="138" t="s">
        <v>65</v>
      </c>
      <c r="N9" s="138">
        <f>N8/20*100</f>
        <v>0.23699999999999996</v>
      </c>
      <c r="O9" s="138">
        <v>20</v>
      </c>
      <c r="P9" s="138">
        <v>100</v>
      </c>
      <c r="Q9" s="138">
        <v>24.572835837175589</v>
      </c>
      <c r="R9" s="138">
        <v>26.297459083644089</v>
      </c>
      <c r="S9" s="138">
        <f>R9-Q9</f>
        <v>1.7246232464685001</v>
      </c>
      <c r="T9" s="138">
        <f>AVERAGE(L9,S9)</f>
        <v>1.6218517942340149</v>
      </c>
      <c r="U9" s="138">
        <f>_xlfn.STDEV.S(S9,L9)</f>
        <v>0.14534078157478761</v>
      </c>
    </row>
    <row r="10" spans="1:21">
      <c r="E10" s="81"/>
      <c r="F10" s="138"/>
      <c r="G10" s="1" t="s">
        <v>27</v>
      </c>
      <c r="H10" s="81"/>
      <c r="I10" s="81"/>
      <c r="J10" s="81"/>
      <c r="K10" s="81"/>
      <c r="L10" s="81"/>
      <c r="M10" s="138"/>
      <c r="N10" s="138"/>
      <c r="O10" s="138"/>
      <c r="P10" s="138"/>
      <c r="Q10" s="138"/>
      <c r="R10" s="138"/>
      <c r="S10" s="138"/>
    </row>
    <row r="11" spans="1:21" ht="18">
      <c r="E11" s="81"/>
      <c r="F11" s="138" t="s">
        <v>61</v>
      </c>
      <c r="G11" s="81">
        <f>0.0568-0.0077</f>
        <v>4.9100000000000005E-2</v>
      </c>
      <c r="H11" s="81" t="s">
        <v>0</v>
      </c>
      <c r="I11" s="81" t="s">
        <v>1</v>
      </c>
      <c r="J11" s="138" t="s">
        <v>62</v>
      </c>
      <c r="K11" s="138" t="s">
        <v>63</v>
      </c>
      <c r="L11" s="138" t="s">
        <v>64</v>
      </c>
      <c r="M11" s="138" t="s">
        <v>61</v>
      </c>
      <c r="N11" s="138">
        <f>0.0471-0.0013</f>
        <v>4.58E-2</v>
      </c>
      <c r="O11" s="138" t="s">
        <v>0</v>
      </c>
      <c r="P11" s="138" t="s">
        <v>1</v>
      </c>
      <c r="Q11" s="138" t="s">
        <v>62</v>
      </c>
      <c r="R11" s="138" t="s">
        <v>63</v>
      </c>
      <c r="S11" s="138" t="s">
        <v>64</v>
      </c>
    </row>
    <row r="12" spans="1:21">
      <c r="E12" s="81"/>
      <c r="F12" s="138" t="s">
        <v>65</v>
      </c>
      <c r="G12" s="138">
        <f>G11/20*100</f>
        <v>0.24550000000000002</v>
      </c>
      <c r="H12" s="81">
        <v>20</v>
      </c>
      <c r="I12" s="81">
        <v>100</v>
      </c>
      <c r="J12" s="87">
        <v>25.102199620139583</v>
      </c>
      <c r="K12" s="86">
        <v>25.449489828913791</v>
      </c>
      <c r="L12" s="81">
        <f>K12-J12</f>
        <v>0.3472902087742078</v>
      </c>
      <c r="M12" s="138" t="s">
        <v>65</v>
      </c>
      <c r="N12" s="138">
        <f>N11/20*100</f>
        <v>0.22899999999999998</v>
      </c>
      <c r="O12" s="138">
        <v>20</v>
      </c>
      <c r="P12" s="138">
        <v>100</v>
      </c>
      <c r="Q12" s="138">
        <v>24.753791824209198</v>
      </c>
      <c r="R12" s="138">
        <v>25.449117299861751</v>
      </c>
      <c r="S12" s="138">
        <f>R12-Q12</f>
        <v>0.69532547565255243</v>
      </c>
      <c r="T12" s="138">
        <f>AVERAGE(L12,S12)</f>
        <v>0.52130784221338011</v>
      </c>
      <c r="U12" s="138">
        <f>_xlfn.STDEV.S(S12,L12)</f>
        <v>0.24609809730174728</v>
      </c>
    </row>
    <row r="13" spans="1:21">
      <c r="E13" s="81"/>
      <c r="F13" s="138"/>
      <c r="G13" s="1" t="s">
        <v>28</v>
      </c>
      <c r="H13" s="81"/>
      <c r="I13" s="81"/>
      <c r="J13" s="81"/>
      <c r="K13" s="81"/>
      <c r="L13" s="81"/>
      <c r="M13" s="138"/>
      <c r="N13" s="138"/>
      <c r="O13" s="138"/>
      <c r="P13" s="138"/>
      <c r="Q13" s="138"/>
      <c r="R13" s="138"/>
      <c r="S13" s="138"/>
    </row>
    <row r="14" spans="1:21" ht="18">
      <c r="E14" s="81"/>
      <c r="F14" s="138" t="s">
        <v>61</v>
      </c>
      <c r="G14" s="81">
        <f>0.049-0.0111</f>
        <v>3.7900000000000003E-2</v>
      </c>
      <c r="H14" s="81" t="s">
        <v>0</v>
      </c>
      <c r="I14" s="81" t="s">
        <v>1</v>
      </c>
      <c r="J14" s="138" t="s">
        <v>62</v>
      </c>
      <c r="K14" s="138" t="s">
        <v>63</v>
      </c>
      <c r="L14" s="138" t="s">
        <v>64</v>
      </c>
      <c r="M14" s="138" t="s">
        <v>61</v>
      </c>
      <c r="N14" s="138">
        <f>0.0457-0.0003</f>
        <v>4.5399999999999996E-2</v>
      </c>
      <c r="O14" s="138" t="s">
        <v>0</v>
      </c>
      <c r="P14" s="138" t="s">
        <v>1</v>
      </c>
      <c r="Q14" s="138" t="s">
        <v>62</v>
      </c>
      <c r="R14" s="138" t="s">
        <v>63</v>
      </c>
      <c r="S14" s="138" t="s">
        <v>64</v>
      </c>
    </row>
    <row r="15" spans="1:21">
      <c r="E15" s="81"/>
      <c r="F15" s="138" t="s">
        <v>65</v>
      </c>
      <c r="G15" s="138">
        <f>G14/20*100</f>
        <v>0.18950000000000003</v>
      </c>
      <c r="H15" s="81">
        <v>20</v>
      </c>
      <c r="I15" s="81">
        <v>100</v>
      </c>
      <c r="J15" s="89">
        <v>24.764036373140591</v>
      </c>
      <c r="K15" s="88">
        <v>25.443715628607013</v>
      </c>
      <c r="L15" s="81">
        <f>K15-J15</f>
        <v>0.67967925546642149</v>
      </c>
      <c r="M15" s="138" t="s">
        <v>65</v>
      </c>
      <c r="N15" s="138">
        <f>N14/20*100</f>
        <v>0.22699999999999998</v>
      </c>
      <c r="O15" s="138">
        <v>20</v>
      </c>
      <c r="P15" s="138">
        <v>100</v>
      </c>
      <c r="Q15" s="138">
        <v>25.462900874787632</v>
      </c>
      <c r="R15" s="138">
        <v>25.969633517839515</v>
      </c>
      <c r="S15" s="138">
        <f>R15-Q15</f>
        <v>0.50673264305188326</v>
      </c>
      <c r="T15" s="138">
        <f>AVERAGE(L15,S15)</f>
        <v>0.59320594925915238</v>
      </c>
      <c r="U15" s="138">
        <f>_xlfn.STDEV.S(S15,L15)</f>
        <v>0.12229172242156178</v>
      </c>
    </row>
    <row r="17" spans="1:20">
      <c r="A17" s="69" t="s">
        <v>88</v>
      </c>
      <c r="B17" s="69"/>
      <c r="C17" s="69"/>
      <c r="D17" s="69"/>
      <c r="E17" s="142"/>
    </row>
    <row r="18" spans="1:20">
      <c r="A18" s="138" t="s">
        <v>40</v>
      </c>
      <c r="F18" t="s">
        <v>29</v>
      </c>
    </row>
    <row r="19" spans="1:20">
      <c r="F19" s="90"/>
      <c r="G19" s="1" t="s">
        <v>25</v>
      </c>
      <c r="H19" s="90"/>
      <c r="I19" s="90"/>
      <c r="J19" s="90"/>
      <c r="K19" s="90"/>
      <c r="L19" s="90"/>
    </row>
    <row r="20" spans="1:20" ht="18">
      <c r="F20" s="138" t="s">
        <v>61</v>
      </c>
      <c r="G20" s="90">
        <f>0.1394-0.006</f>
        <v>0.13339999999999999</v>
      </c>
      <c r="H20" s="90" t="s">
        <v>0</v>
      </c>
      <c r="I20" s="90" t="s">
        <v>1</v>
      </c>
      <c r="J20" s="138" t="s">
        <v>62</v>
      </c>
      <c r="K20" s="138" t="s">
        <v>63</v>
      </c>
      <c r="L20" s="138" t="s">
        <v>64</v>
      </c>
      <c r="M20" s="92">
        <f>0.1519-0.0086</f>
        <v>0.14330000000000001</v>
      </c>
      <c r="N20" s="92" t="s">
        <v>0</v>
      </c>
      <c r="O20" s="92" t="s">
        <v>1</v>
      </c>
      <c r="P20" s="138" t="s">
        <v>62</v>
      </c>
      <c r="Q20" s="138" t="s">
        <v>63</v>
      </c>
      <c r="R20" s="138" t="s">
        <v>64</v>
      </c>
      <c r="S20" s="138" t="s">
        <v>74</v>
      </c>
      <c r="T20" s="138" t="s">
        <v>75</v>
      </c>
    </row>
    <row r="21" spans="1:20">
      <c r="F21" s="138" t="s">
        <v>65</v>
      </c>
      <c r="G21" s="138">
        <f>G20/20*100</f>
        <v>0.66699999999999993</v>
      </c>
      <c r="H21" s="90">
        <v>20</v>
      </c>
      <c r="I21" s="90">
        <v>100</v>
      </c>
      <c r="J21" s="92">
        <v>24.113041854682077</v>
      </c>
      <c r="K21" s="91">
        <v>33.114647603908047</v>
      </c>
      <c r="L21" s="90">
        <f>K21-J21</f>
        <v>9.0016057492259698</v>
      </c>
      <c r="M21" s="138">
        <f>M20/20*100</f>
        <v>0.71650000000000003</v>
      </c>
      <c r="N21" s="92">
        <v>20</v>
      </c>
      <c r="O21" s="92">
        <v>100</v>
      </c>
      <c r="P21" s="94">
        <v>24.435372616968916</v>
      </c>
      <c r="Q21" s="93">
        <v>33.140165843973506</v>
      </c>
      <c r="R21" s="92">
        <f>Q21-P21</f>
        <v>8.7047932270045898</v>
      </c>
      <c r="S21" s="138">
        <f>AVERAGE(L21,R21)</f>
        <v>8.8531994881152798</v>
      </c>
      <c r="T21" s="138">
        <f>_xlfn.STDEV.S(R21,L21)</f>
        <v>0.20987814720382061</v>
      </c>
    </row>
    <row r="22" spans="1:20">
      <c r="F22" s="138"/>
      <c r="G22" s="1" t="s">
        <v>26</v>
      </c>
      <c r="H22" s="90"/>
      <c r="I22" s="90"/>
      <c r="J22" s="90"/>
      <c r="K22" s="90"/>
      <c r="L22" s="90"/>
      <c r="M22" s="92"/>
      <c r="N22" s="92"/>
      <c r="O22" s="92"/>
      <c r="P22" s="92"/>
      <c r="Q22" s="92"/>
      <c r="R22" s="92"/>
      <c r="S22" s="138"/>
      <c r="T22" s="138"/>
    </row>
    <row r="23" spans="1:20" ht="18">
      <c r="F23" s="138" t="s">
        <v>61</v>
      </c>
      <c r="G23" s="90">
        <f>0.0503-0.0037</f>
        <v>4.6599999999999996E-2</v>
      </c>
      <c r="H23" s="90" t="s">
        <v>0</v>
      </c>
      <c r="I23" s="90" t="s">
        <v>1</v>
      </c>
      <c r="J23" s="138" t="s">
        <v>62</v>
      </c>
      <c r="K23" s="138" t="s">
        <v>63</v>
      </c>
      <c r="L23" s="138" t="s">
        <v>64</v>
      </c>
      <c r="M23" s="92">
        <f>0.0622-0.0128</f>
        <v>4.9399999999999999E-2</v>
      </c>
      <c r="N23" s="92" t="s">
        <v>0</v>
      </c>
      <c r="O23" s="92" t="s">
        <v>1</v>
      </c>
      <c r="P23" s="138" t="s">
        <v>62</v>
      </c>
      <c r="Q23" s="138" t="s">
        <v>63</v>
      </c>
      <c r="R23" s="138" t="s">
        <v>64</v>
      </c>
      <c r="S23" s="138"/>
      <c r="T23" s="138"/>
    </row>
    <row r="24" spans="1:20">
      <c r="F24" s="138" t="s">
        <v>65</v>
      </c>
      <c r="G24" s="138">
        <f>G23/20*100</f>
        <v>0.23299999999999996</v>
      </c>
      <c r="H24" s="90">
        <v>20</v>
      </c>
      <c r="I24" s="90">
        <v>100</v>
      </c>
      <c r="J24" s="96">
        <v>24.109689093213611</v>
      </c>
      <c r="K24" s="95">
        <v>25.127065934363959</v>
      </c>
      <c r="L24" s="90">
        <f>K24-J24</f>
        <v>1.0173768411503481</v>
      </c>
      <c r="M24" s="138">
        <f>M23/20*100</f>
        <v>0.247</v>
      </c>
      <c r="N24" s="92">
        <v>20</v>
      </c>
      <c r="O24" s="92">
        <v>100</v>
      </c>
      <c r="P24" s="98">
        <v>24.437887188070253</v>
      </c>
      <c r="Q24" s="97">
        <v>26.064907822901475</v>
      </c>
      <c r="R24" s="92">
        <f>Q24-P24</f>
        <v>1.6270206348312222</v>
      </c>
      <c r="S24" s="138">
        <f>AVERAGE(L24,R24)</f>
        <v>1.3221987379907851</v>
      </c>
      <c r="T24" s="138">
        <f>_xlfn.STDEV.S(R24,L24)</f>
        <v>0.43108326062003877</v>
      </c>
    </row>
    <row r="25" spans="1:20">
      <c r="F25" s="138"/>
      <c r="G25" s="1" t="s">
        <v>27</v>
      </c>
      <c r="H25" s="90"/>
      <c r="I25" s="90"/>
      <c r="J25" s="90"/>
      <c r="K25" s="90"/>
      <c r="L25" s="90"/>
      <c r="M25" s="92"/>
      <c r="N25" s="92"/>
      <c r="O25" s="92"/>
      <c r="P25" s="92"/>
      <c r="Q25" s="92"/>
      <c r="R25" s="92"/>
      <c r="S25" s="138"/>
      <c r="T25" s="138"/>
    </row>
    <row r="26" spans="1:20" ht="18">
      <c r="F26" s="138" t="s">
        <v>61</v>
      </c>
      <c r="G26" s="90">
        <f>0.0629-0.0154</f>
        <v>4.7500000000000001E-2</v>
      </c>
      <c r="H26" s="90" t="s">
        <v>0</v>
      </c>
      <c r="I26" s="90" t="s">
        <v>1</v>
      </c>
      <c r="J26" s="138" t="s">
        <v>62</v>
      </c>
      <c r="K26" s="138" t="s">
        <v>63</v>
      </c>
      <c r="L26" s="138" t="s">
        <v>64</v>
      </c>
      <c r="M26" s="92">
        <f>0.0602-0.0146</f>
        <v>4.5599999999999995E-2</v>
      </c>
      <c r="N26" s="92" t="s">
        <v>0</v>
      </c>
      <c r="O26" s="92" t="s">
        <v>1</v>
      </c>
      <c r="P26" s="138" t="s">
        <v>62</v>
      </c>
      <c r="Q26" s="138" t="s">
        <v>63</v>
      </c>
      <c r="R26" s="138" t="s">
        <v>64</v>
      </c>
      <c r="S26" s="138"/>
      <c r="T26" s="138"/>
    </row>
    <row r="27" spans="1:20">
      <c r="F27" s="138" t="s">
        <v>65</v>
      </c>
      <c r="G27" s="138">
        <f>G26/20*100</f>
        <v>0.23749999999999999</v>
      </c>
      <c r="H27" s="90">
        <v>20</v>
      </c>
      <c r="I27" s="90">
        <v>100</v>
      </c>
      <c r="J27" s="100">
        <v>24.453533408256384</v>
      </c>
      <c r="K27" s="99">
        <v>24.792721110148499</v>
      </c>
      <c r="L27" s="90">
        <f>K27-J27</f>
        <v>0.339187701892115</v>
      </c>
      <c r="M27" s="138">
        <f>M26/20*100</f>
        <v>0.22799999999999998</v>
      </c>
      <c r="N27" s="92">
        <v>20</v>
      </c>
      <c r="O27" s="92">
        <v>100</v>
      </c>
      <c r="P27" s="102">
        <v>24.443009462535947</v>
      </c>
      <c r="Q27" s="101">
        <v>24.783873545162294</v>
      </c>
      <c r="R27" s="92">
        <f>Q27-P27</f>
        <v>0.34086408262634649</v>
      </c>
      <c r="S27" s="138">
        <f>AVERAGE(L27,R27)</f>
        <v>0.34002589225923074</v>
      </c>
      <c r="T27" s="138">
        <f>_xlfn.STDEV.S(R27,L27)</f>
        <v>1.1853801850255676E-3</v>
      </c>
    </row>
    <row r="28" spans="1:20">
      <c r="F28" s="138"/>
      <c r="G28" s="1" t="s">
        <v>28</v>
      </c>
      <c r="H28" s="90"/>
      <c r="I28" s="90"/>
      <c r="J28" s="90"/>
      <c r="K28" s="90"/>
      <c r="L28" s="90"/>
      <c r="M28" s="92"/>
      <c r="N28" s="92"/>
      <c r="O28" s="92"/>
      <c r="P28" s="92"/>
      <c r="Q28" s="92"/>
      <c r="R28" s="92"/>
      <c r="S28" s="138"/>
      <c r="T28" s="138"/>
    </row>
    <row r="29" spans="1:20" ht="18">
      <c r="F29" s="138" t="s">
        <v>61</v>
      </c>
      <c r="G29" s="90">
        <f>0.039-0.0029</f>
        <v>3.61E-2</v>
      </c>
      <c r="H29" s="90" t="s">
        <v>0</v>
      </c>
      <c r="I29" s="90" t="s">
        <v>1</v>
      </c>
      <c r="J29" s="138" t="s">
        <v>62</v>
      </c>
      <c r="K29" s="138" t="s">
        <v>63</v>
      </c>
      <c r="L29" s="138" t="s">
        <v>64</v>
      </c>
      <c r="M29" s="92">
        <f>0.0497-0.0165</f>
        <v>3.32E-2</v>
      </c>
      <c r="N29" s="92" t="s">
        <v>0</v>
      </c>
      <c r="O29" s="92" t="s">
        <v>1</v>
      </c>
      <c r="P29" s="138" t="s">
        <v>62</v>
      </c>
      <c r="Q29" s="138" t="s">
        <v>63</v>
      </c>
      <c r="R29" s="138" t="s">
        <v>64</v>
      </c>
      <c r="S29" s="138"/>
      <c r="T29" s="138"/>
    </row>
    <row r="30" spans="1:20">
      <c r="F30" s="138" t="s">
        <v>65</v>
      </c>
      <c r="G30" s="138">
        <f>G29/20*100</f>
        <v>0.18049999999999999</v>
      </c>
      <c r="H30" s="90">
        <v>20</v>
      </c>
      <c r="I30" s="90">
        <v>100</v>
      </c>
      <c r="J30" s="104">
        <v>24.429784681188156</v>
      </c>
      <c r="K30" s="103">
        <v>24.754909411365347</v>
      </c>
      <c r="L30" s="90">
        <f>K30-J30</f>
        <v>0.32512473017719046</v>
      </c>
      <c r="M30" s="138">
        <f>M29/20*100</f>
        <v>0.16600000000000001</v>
      </c>
      <c r="N30" s="92">
        <v>20</v>
      </c>
      <c r="O30" s="92">
        <v>100</v>
      </c>
      <c r="P30" s="106">
        <v>24.434627558864808</v>
      </c>
      <c r="Q30" s="105">
        <v>24.790299671310159</v>
      </c>
      <c r="R30" s="92">
        <f>Q30-P30</f>
        <v>0.35567211244535102</v>
      </c>
      <c r="S30" s="138">
        <f>AVERAGE(L30,R30)</f>
        <v>0.34039842131127074</v>
      </c>
      <c r="T30" s="138">
        <f>_xlfn.STDEV.S(R30,L30)</f>
        <v>2.1600261149314032E-2</v>
      </c>
    </row>
  </sheetData>
  <mergeCells count="2">
    <mergeCell ref="J4:L4"/>
    <mergeCell ref="Q4:S4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O20" sqref="O20"/>
    </sheetView>
  </sheetViews>
  <sheetFormatPr defaultRowHeight="15"/>
  <cols>
    <col min="4" max="4" width="15.28515625" customWidth="1"/>
  </cols>
  <sheetData>
    <row r="1" spans="1:19" s="138" customFormat="1">
      <c r="A1" s="69" t="s">
        <v>89</v>
      </c>
      <c r="B1" s="69"/>
      <c r="C1" s="69"/>
      <c r="D1" s="69"/>
      <c r="E1" s="69"/>
    </row>
    <row r="2" spans="1:19" s="138" customFormat="1">
      <c r="A2" s="138" t="s">
        <v>40</v>
      </c>
    </row>
    <row r="3" spans="1:19" ht="18">
      <c r="C3" s="135"/>
      <c r="E3" t="s">
        <v>34</v>
      </c>
      <c r="F3" s="116" t="s">
        <v>0</v>
      </c>
      <c r="G3" s="116" t="s">
        <v>1</v>
      </c>
      <c r="H3" s="138" t="s">
        <v>62</v>
      </c>
      <c r="I3" s="138" t="s">
        <v>63</v>
      </c>
      <c r="J3" s="138" t="s">
        <v>64</v>
      </c>
    </row>
    <row r="4" spans="1:19">
      <c r="F4" s="116">
        <v>20</v>
      </c>
      <c r="G4" s="116">
        <v>100</v>
      </c>
      <c r="H4" s="118">
        <v>24.105963802693104</v>
      </c>
      <c r="I4" s="117">
        <v>24.110247886791697</v>
      </c>
      <c r="J4" s="116">
        <f>I4-H4</f>
        <v>4.284084098593155E-3</v>
      </c>
    </row>
    <row r="6" spans="1:19">
      <c r="E6" s="1" t="s">
        <v>30</v>
      </c>
      <c r="F6" s="106"/>
      <c r="G6" s="106"/>
      <c r="H6" s="149" t="s">
        <v>78</v>
      </c>
      <c r="I6" s="149"/>
      <c r="J6" s="149"/>
      <c r="K6" s="106"/>
      <c r="L6" s="106"/>
      <c r="M6" s="106"/>
      <c r="N6" s="106"/>
      <c r="O6" s="149" t="s">
        <v>80</v>
      </c>
      <c r="P6" s="149"/>
      <c r="Q6" s="149"/>
    </row>
    <row r="7" spans="1:19" ht="18">
      <c r="D7" s="138" t="s">
        <v>61</v>
      </c>
      <c r="E7" s="106">
        <f>0.1241-0.024</f>
        <v>0.10009999999999999</v>
      </c>
      <c r="F7" s="106" t="s">
        <v>0</v>
      </c>
      <c r="G7" s="106" t="s">
        <v>1</v>
      </c>
      <c r="H7" s="138" t="s">
        <v>62</v>
      </c>
      <c r="I7" s="138" t="s">
        <v>63</v>
      </c>
      <c r="J7" s="138" t="s">
        <v>64</v>
      </c>
      <c r="K7" s="138" t="s">
        <v>61</v>
      </c>
      <c r="L7" s="138">
        <f>0.1528-0.0315</f>
        <v>0.12129999999999999</v>
      </c>
      <c r="M7" s="138" t="s">
        <v>0</v>
      </c>
      <c r="N7" s="138" t="s">
        <v>1</v>
      </c>
      <c r="O7" s="138" t="s">
        <v>62</v>
      </c>
      <c r="P7" s="138" t="s">
        <v>63</v>
      </c>
      <c r="Q7" s="138" t="s">
        <v>64</v>
      </c>
      <c r="R7" s="138" t="s">
        <v>74</v>
      </c>
      <c r="S7" s="138" t="s">
        <v>75</v>
      </c>
    </row>
    <row r="8" spans="1:19">
      <c r="D8" s="138" t="s">
        <v>65</v>
      </c>
      <c r="E8" s="138">
        <f>E7/20*120</f>
        <v>0.60060000000000002</v>
      </c>
      <c r="F8" s="106">
        <v>20</v>
      </c>
      <c r="G8" s="106">
        <v>100</v>
      </c>
      <c r="H8" s="107">
        <v>21.731836153974307</v>
      </c>
      <c r="I8" s="108">
        <v>31.239336355885055</v>
      </c>
      <c r="J8" s="106">
        <f>I8-H8</f>
        <v>9.507500201910748</v>
      </c>
      <c r="K8" s="138" t="s">
        <v>65</v>
      </c>
      <c r="L8" s="138">
        <f>L7/20*120</f>
        <v>0.72779999999999989</v>
      </c>
      <c r="M8" s="138">
        <v>20</v>
      </c>
      <c r="N8" s="138">
        <v>100</v>
      </c>
      <c r="O8" s="138">
        <v>26.638881959848522</v>
      </c>
      <c r="P8" s="138">
        <v>36.347454717603597</v>
      </c>
      <c r="Q8" s="138">
        <f>P8-O8</f>
        <v>9.7085727577550749</v>
      </c>
      <c r="R8" s="138">
        <f>AVERAGE(J8,Q8)</f>
        <v>9.6080364798329114</v>
      </c>
      <c r="S8" s="138">
        <f>_xlfn.STDEV.S(Q8,J8)</f>
        <v>0.14217976774803434</v>
      </c>
    </row>
    <row r="9" spans="1:19">
      <c r="D9" s="138"/>
      <c r="E9" s="1" t="s">
        <v>31</v>
      </c>
      <c r="F9" s="106"/>
      <c r="G9" s="106"/>
      <c r="H9" s="106"/>
      <c r="I9" s="106"/>
      <c r="J9" s="106"/>
      <c r="K9" s="138"/>
      <c r="L9" s="138"/>
      <c r="M9" s="138"/>
      <c r="N9" s="138"/>
      <c r="O9" s="138"/>
      <c r="P9" s="138"/>
      <c r="Q9" s="138"/>
    </row>
    <row r="10" spans="1:19" ht="18">
      <c r="D10" s="138" t="s">
        <v>61</v>
      </c>
      <c r="E10" s="106">
        <f>0.0771-0.0157</f>
        <v>6.1400000000000003E-2</v>
      </c>
      <c r="F10" s="106" t="s">
        <v>0</v>
      </c>
      <c r="G10" s="106" t="s">
        <v>1</v>
      </c>
      <c r="H10" s="138" t="s">
        <v>62</v>
      </c>
      <c r="I10" s="138" t="s">
        <v>63</v>
      </c>
      <c r="J10" s="138" t="s">
        <v>64</v>
      </c>
      <c r="K10" s="138" t="s">
        <v>61</v>
      </c>
      <c r="L10" s="138">
        <f>0.0577-0.0061</f>
        <v>5.16E-2</v>
      </c>
      <c r="M10" s="138" t="s">
        <v>0</v>
      </c>
      <c r="N10" s="138" t="s">
        <v>1</v>
      </c>
      <c r="O10" s="138" t="s">
        <v>62</v>
      </c>
      <c r="P10" s="138" t="s">
        <v>63</v>
      </c>
      <c r="Q10" s="138" t="s">
        <v>64</v>
      </c>
    </row>
    <row r="11" spans="1:19">
      <c r="D11" s="138" t="s">
        <v>65</v>
      </c>
      <c r="E11" s="138">
        <f>E10/20*120</f>
        <v>0.36840000000000001</v>
      </c>
      <c r="F11" s="106">
        <v>20</v>
      </c>
      <c r="G11" s="106">
        <v>100</v>
      </c>
      <c r="H11" s="110">
        <v>25.625509806007724</v>
      </c>
      <c r="I11" s="109">
        <v>25.969912914628559</v>
      </c>
      <c r="J11" s="106">
        <f>I11-H11</f>
        <v>0.34440310862083479</v>
      </c>
      <c r="K11" s="138" t="s">
        <v>65</v>
      </c>
      <c r="L11" s="138">
        <f>L10/20*120</f>
        <v>0.30959999999999999</v>
      </c>
      <c r="M11" s="138">
        <v>20</v>
      </c>
      <c r="N11" s="138">
        <v>100</v>
      </c>
      <c r="O11" s="138">
        <v>26.292709338230459</v>
      </c>
      <c r="P11" s="138">
        <v>26.631990172385596</v>
      </c>
      <c r="Q11" s="138">
        <f>P11-O11</f>
        <v>0.33928083415513655</v>
      </c>
      <c r="R11" s="138">
        <f>AVERAGE(J11,Q11)</f>
        <v>0.34184197138798567</v>
      </c>
      <c r="S11" s="138">
        <f>_xlfn.STDEV.S(Q11,J11)</f>
        <v>3.621995009793925E-3</v>
      </c>
    </row>
    <row r="12" spans="1:19">
      <c r="D12" s="138"/>
      <c r="E12" s="1" t="s">
        <v>32</v>
      </c>
      <c r="F12" s="106"/>
      <c r="G12" s="106"/>
      <c r="H12" s="106"/>
      <c r="I12" s="106"/>
      <c r="J12" s="106"/>
      <c r="K12" s="138"/>
      <c r="L12" s="138"/>
      <c r="M12" s="138"/>
      <c r="N12" s="138"/>
      <c r="O12" s="138"/>
      <c r="P12" s="138"/>
      <c r="Q12" s="138"/>
    </row>
    <row r="13" spans="1:19" ht="18">
      <c r="D13" s="138" t="s">
        <v>61</v>
      </c>
      <c r="E13" s="106">
        <f>0.0547-0.0038</f>
        <v>5.0900000000000001E-2</v>
      </c>
      <c r="F13" s="106" t="s">
        <v>0</v>
      </c>
      <c r="G13" s="106" t="s">
        <v>1</v>
      </c>
      <c r="H13" s="138" t="s">
        <v>62</v>
      </c>
      <c r="I13" s="138" t="s">
        <v>63</v>
      </c>
      <c r="J13" s="138" t="s">
        <v>64</v>
      </c>
      <c r="K13" s="138" t="s">
        <v>61</v>
      </c>
      <c r="L13" s="138">
        <f>0.0527-0.0015</f>
        <v>5.1199999999999996E-2</v>
      </c>
      <c r="M13" s="138" t="s">
        <v>0</v>
      </c>
      <c r="N13" s="138" t="s">
        <v>1</v>
      </c>
      <c r="O13" s="138" t="s">
        <v>62</v>
      </c>
      <c r="P13" s="138" t="s">
        <v>63</v>
      </c>
      <c r="Q13" s="138" t="s">
        <v>64</v>
      </c>
    </row>
    <row r="14" spans="1:19">
      <c r="D14" s="138" t="s">
        <v>65</v>
      </c>
      <c r="E14" s="138">
        <f>E13/20*120</f>
        <v>0.3054</v>
      </c>
      <c r="F14" s="106">
        <v>20</v>
      </c>
      <c r="G14" s="106">
        <v>100</v>
      </c>
      <c r="H14" s="112">
        <v>25.092141335734208</v>
      </c>
      <c r="I14" s="111">
        <v>25.358499607950424</v>
      </c>
      <c r="J14" s="112">
        <f>I14-H14</f>
        <v>0.26635827221621611</v>
      </c>
      <c r="K14" s="138" t="s">
        <v>65</v>
      </c>
      <c r="L14" s="138">
        <f>L13/20*120</f>
        <v>0.30719999999999997</v>
      </c>
      <c r="M14" s="138">
        <v>20</v>
      </c>
      <c r="N14" s="138">
        <v>100</v>
      </c>
      <c r="O14" s="138">
        <v>26.040414037729139</v>
      </c>
      <c r="P14" s="138">
        <v>26.304257738844019</v>
      </c>
      <c r="Q14" s="138">
        <f>P14-O14</f>
        <v>0.26384370111487954</v>
      </c>
      <c r="R14" s="138">
        <f>AVERAGE(J14,Q14)</f>
        <v>0.26510098666554782</v>
      </c>
      <c r="S14" s="138">
        <f>_xlfn.STDEV.S(Q14,J14)</f>
        <v>1.7780702775308146E-3</v>
      </c>
    </row>
    <row r="15" spans="1:19">
      <c r="D15" s="138"/>
      <c r="E15" s="1" t="s">
        <v>33</v>
      </c>
      <c r="F15" s="106"/>
      <c r="G15" s="106"/>
      <c r="H15" s="106"/>
      <c r="I15" s="106"/>
      <c r="J15" s="106"/>
      <c r="K15" s="138"/>
      <c r="L15" s="138"/>
      <c r="M15" s="138"/>
      <c r="N15" s="138"/>
      <c r="O15" s="138"/>
      <c r="P15" s="138"/>
      <c r="Q15" s="138"/>
    </row>
    <row r="16" spans="1:19" ht="18">
      <c r="D16" s="138" t="s">
        <v>61</v>
      </c>
      <c r="E16" s="106">
        <f>0.0513-0.0052</f>
        <v>4.6100000000000002E-2</v>
      </c>
      <c r="F16" s="106" t="s">
        <v>0</v>
      </c>
      <c r="G16" s="106" t="s">
        <v>1</v>
      </c>
      <c r="H16" s="138" t="s">
        <v>62</v>
      </c>
      <c r="I16" s="138" t="s">
        <v>63</v>
      </c>
      <c r="J16" s="138" t="s">
        <v>64</v>
      </c>
      <c r="K16" s="138" t="s">
        <v>61</v>
      </c>
      <c r="L16" s="138">
        <f>0.0524-0.0078</f>
        <v>4.4600000000000001E-2</v>
      </c>
      <c r="M16" s="138" t="s">
        <v>0</v>
      </c>
      <c r="N16" s="138" t="s">
        <v>1</v>
      </c>
      <c r="O16" s="138" t="s">
        <v>62</v>
      </c>
      <c r="P16" s="138" t="s">
        <v>63</v>
      </c>
      <c r="Q16" s="138" t="s">
        <v>64</v>
      </c>
    </row>
    <row r="17" spans="4:19">
      <c r="D17" s="138" t="s">
        <v>65</v>
      </c>
      <c r="E17" s="138">
        <f>E16/20*120</f>
        <v>0.27660000000000001</v>
      </c>
      <c r="F17" s="106">
        <v>20</v>
      </c>
      <c r="G17" s="106">
        <v>100</v>
      </c>
      <c r="H17" s="115">
        <v>25.445671406130288</v>
      </c>
      <c r="I17" s="114">
        <v>25.638548322829497</v>
      </c>
      <c r="J17" s="115">
        <f>I17-H17</f>
        <v>0.19287691669920903</v>
      </c>
      <c r="K17" s="138" t="s">
        <v>65</v>
      </c>
      <c r="L17" s="138">
        <f>L16/20*120</f>
        <v>0.2676</v>
      </c>
      <c r="M17" s="138">
        <v>20</v>
      </c>
      <c r="N17" s="138">
        <v>100</v>
      </c>
      <c r="O17" s="138">
        <v>27.330389012717543</v>
      </c>
      <c r="P17" s="138">
        <v>27.334579964553114</v>
      </c>
      <c r="Q17" s="138">
        <f>P17-O17</f>
        <v>4.1909518355716102E-3</v>
      </c>
      <c r="R17" s="138">
        <f>AVERAGE(J17,Q17)</f>
        <v>9.8533934267390322E-2</v>
      </c>
      <c r="S17" s="138">
        <f>_xlfn.STDEV.S(Q17,J17)</f>
        <v>0.13342112526980465</v>
      </c>
    </row>
  </sheetData>
  <mergeCells count="2">
    <mergeCell ref="H6:J6"/>
    <mergeCell ref="O6:Q6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topLeftCell="A52" workbookViewId="0">
      <selection activeCell="L51" sqref="L51"/>
    </sheetView>
  </sheetViews>
  <sheetFormatPr defaultRowHeight="15"/>
  <cols>
    <col min="1" max="1" width="10.42578125" bestFit="1" customWidth="1"/>
    <col min="2" max="2" width="14.42578125" customWidth="1"/>
    <col min="3" max="3" width="15.7109375" customWidth="1"/>
    <col min="5" max="5" width="16.5703125" customWidth="1"/>
    <col min="8" max="8" width="14.140625" customWidth="1"/>
    <col min="12" max="12" width="18.140625" customWidth="1"/>
  </cols>
  <sheetData>
    <row r="1" spans="1:20">
      <c r="A1" s="146" t="s">
        <v>95</v>
      </c>
      <c r="B1" s="69"/>
      <c r="C1" s="69"/>
      <c r="D1" s="69"/>
      <c r="E1" s="69"/>
    </row>
    <row r="2" spans="1:20">
      <c r="A2" s="138" t="s">
        <v>40</v>
      </c>
      <c r="E2" s="135"/>
    </row>
    <row r="3" spans="1:20">
      <c r="E3" s="122"/>
      <c r="F3" s="1" t="s">
        <v>35</v>
      </c>
      <c r="G3" s="122"/>
      <c r="H3" s="122"/>
      <c r="I3" s="149" t="s">
        <v>78</v>
      </c>
      <c r="J3" s="149"/>
      <c r="K3" s="149"/>
      <c r="L3" s="138"/>
      <c r="M3" s="138"/>
      <c r="N3" s="138"/>
      <c r="O3" s="138"/>
      <c r="P3" s="149" t="s">
        <v>80</v>
      </c>
      <c r="Q3" s="149"/>
      <c r="R3" s="149"/>
    </row>
    <row r="4" spans="1:20" ht="18">
      <c r="E4" s="138" t="s">
        <v>61</v>
      </c>
      <c r="F4" s="122">
        <f>0.1405-0.0066</f>
        <v>0.13390000000000002</v>
      </c>
      <c r="G4" s="122" t="s">
        <v>0</v>
      </c>
      <c r="H4" s="122" t="s">
        <v>1</v>
      </c>
      <c r="I4" s="138" t="s">
        <v>62</v>
      </c>
      <c r="J4" s="138" t="s">
        <v>63</v>
      </c>
      <c r="K4" s="138" t="s">
        <v>64</v>
      </c>
      <c r="L4" s="138" t="s">
        <v>61</v>
      </c>
      <c r="M4" s="138">
        <f>0.1529-0.0196</f>
        <v>0.1333</v>
      </c>
      <c r="N4" s="138" t="s">
        <v>0</v>
      </c>
      <c r="O4" s="138" t="s">
        <v>1</v>
      </c>
      <c r="P4" s="138" t="s">
        <v>62</v>
      </c>
      <c r="Q4" s="138" t="s">
        <v>63</v>
      </c>
      <c r="R4" s="138" t="s">
        <v>64</v>
      </c>
      <c r="S4" s="138" t="s">
        <v>74</v>
      </c>
      <c r="T4" s="138" t="s">
        <v>75</v>
      </c>
    </row>
    <row r="5" spans="1:20">
      <c r="E5" s="138" t="s">
        <v>65</v>
      </c>
      <c r="F5" s="138">
        <f>F4/20*140</f>
        <v>0.93730000000000013</v>
      </c>
      <c r="G5" s="122">
        <v>20</v>
      </c>
      <c r="H5" s="122">
        <v>100</v>
      </c>
      <c r="I5" s="123">
        <v>26.285445021715464</v>
      </c>
      <c r="J5" s="124">
        <v>36.785362618289163</v>
      </c>
      <c r="K5" s="122">
        <f>J5-I5</f>
        <v>10.499917596573699</v>
      </c>
      <c r="L5" s="138" t="s">
        <v>65</v>
      </c>
      <c r="M5" s="138">
        <f>M4/20*140</f>
        <v>0.93310000000000004</v>
      </c>
      <c r="N5" s="138">
        <v>20</v>
      </c>
      <c r="O5" s="138">
        <v>100</v>
      </c>
      <c r="P5" s="138">
        <v>26.305002796948123</v>
      </c>
      <c r="Q5" s="138">
        <v>37.202408892059843</v>
      </c>
      <c r="R5" s="138">
        <f>Q5-P5</f>
        <v>10.89740609511172</v>
      </c>
      <c r="S5" s="138">
        <f>AVERAGE(K5,R5)</f>
        <v>10.698661845842709</v>
      </c>
      <c r="T5" s="138">
        <f>_xlfn.STDEV.S(R5,K5)</f>
        <v>0.28106681275989354</v>
      </c>
    </row>
    <row r="6" spans="1:20">
      <c r="E6" s="138"/>
      <c r="F6" s="1" t="s">
        <v>36</v>
      </c>
      <c r="G6" s="122"/>
      <c r="H6" s="122"/>
      <c r="I6" s="122"/>
      <c r="J6" s="122"/>
      <c r="K6" s="122"/>
      <c r="L6" s="138"/>
      <c r="M6" s="138"/>
      <c r="N6" s="138"/>
      <c r="O6" s="138"/>
      <c r="P6" s="138"/>
      <c r="Q6" s="138"/>
      <c r="R6" s="138"/>
      <c r="S6" s="138"/>
      <c r="T6" s="138"/>
    </row>
    <row r="7" spans="1:20" ht="18">
      <c r="E7" s="138" t="s">
        <v>61</v>
      </c>
      <c r="F7" s="122">
        <f>0.0628-0.0006</f>
        <v>6.2199999999999991E-2</v>
      </c>
      <c r="G7" s="122" t="s">
        <v>0</v>
      </c>
      <c r="H7" s="122" t="s">
        <v>1</v>
      </c>
      <c r="I7" s="138" t="s">
        <v>62</v>
      </c>
      <c r="J7" s="138" t="s">
        <v>63</v>
      </c>
      <c r="K7" s="138" t="s">
        <v>64</v>
      </c>
      <c r="L7" s="138" t="s">
        <v>61</v>
      </c>
      <c r="M7" s="138">
        <f>0.0581-0.0001</f>
        <v>5.7999999999999996E-2</v>
      </c>
      <c r="N7" s="138" t="s">
        <v>0</v>
      </c>
      <c r="O7" s="138" t="s">
        <v>1</v>
      </c>
      <c r="P7" s="138" t="s">
        <v>62</v>
      </c>
      <c r="Q7" s="138" t="s">
        <v>63</v>
      </c>
      <c r="R7" s="138" t="s">
        <v>64</v>
      </c>
      <c r="S7" s="138"/>
      <c r="T7" s="138"/>
    </row>
    <row r="8" spans="1:20">
      <c r="D8" s="126"/>
      <c r="E8" s="138" t="s">
        <v>65</v>
      </c>
      <c r="F8" s="138">
        <f>F7/20*140</f>
        <v>0.43539999999999995</v>
      </c>
      <c r="G8" s="122">
        <v>20</v>
      </c>
      <c r="H8" s="122">
        <v>100</v>
      </c>
      <c r="I8" s="126">
        <v>25.624112822062536</v>
      </c>
      <c r="J8" s="125">
        <v>26.304164606581022</v>
      </c>
      <c r="K8" s="122">
        <f>J8-I8</f>
        <v>0.68005178451848636</v>
      </c>
      <c r="L8" s="138" t="s">
        <v>65</v>
      </c>
      <c r="M8" s="138">
        <f>M7/20*140</f>
        <v>0.40599999999999997</v>
      </c>
      <c r="N8" s="138">
        <v>20</v>
      </c>
      <c r="O8" s="138">
        <v>100</v>
      </c>
      <c r="P8" s="138">
        <v>26.638602563059479</v>
      </c>
      <c r="Q8" s="138">
        <v>26.986730962200816</v>
      </c>
      <c r="R8" s="138">
        <f>Q8-P8</f>
        <v>0.34812839914133775</v>
      </c>
      <c r="S8" s="138">
        <f>AVERAGE(K8,R8)</f>
        <v>0.51409009182991205</v>
      </c>
      <c r="T8" s="138">
        <f>_xlfn.STDEV.S(R8,K8)</f>
        <v>0.2347052766345776</v>
      </c>
    </row>
    <row r="9" spans="1:20">
      <c r="E9" s="138"/>
      <c r="F9" s="1" t="s">
        <v>37</v>
      </c>
      <c r="G9" s="122"/>
      <c r="H9" s="122"/>
      <c r="I9" s="122"/>
      <c r="J9" s="122"/>
      <c r="K9" s="122"/>
      <c r="L9" s="138"/>
      <c r="M9" s="138"/>
      <c r="N9" s="138"/>
      <c r="O9" s="138"/>
      <c r="P9" s="138"/>
      <c r="Q9" s="138"/>
      <c r="R9" s="138"/>
      <c r="S9" s="138"/>
      <c r="T9" s="138"/>
    </row>
    <row r="10" spans="1:20" ht="18">
      <c r="E10" s="138" t="s">
        <v>61</v>
      </c>
      <c r="F10" s="122">
        <f>0.0516-0.0015</f>
        <v>5.0099999999999999E-2</v>
      </c>
      <c r="G10" s="122" t="s">
        <v>0</v>
      </c>
      <c r="H10" s="122" t="s">
        <v>1</v>
      </c>
      <c r="I10" s="138" t="s">
        <v>62</v>
      </c>
      <c r="J10" s="138" t="s">
        <v>63</v>
      </c>
      <c r="K10" s="138" t="s">
        <v>64</v>
      </c>
      <c r="L10" s="138" t="s">
        <v>61</v>
      </c>
      <c r="M10" s="138">
        <f>0.0519-0</f>
        <v>5.1900000000000002E-2</v>
      </c>
      <c r="N10" s="138" t="s">
        <v>0</v>
      </c>
      <c r="O10" s="138" t="s">
        <v>1</v>
      </c>
      <c r="P10" s="138" t="s">
        <v>62</v>
      </c>
      <c r="Q10" s="138" t="s">
        <v>63</v>
      </c>
      <c r="R10" s="138" t="s">
        <v>64</v>
      </c>
      <c r="S10" s="138"/>
      <c r="T10" s="138"/>
    </row>
    <row r="11" spans="1:20">
      <c r="E11" s="138" t="s">
        <v>65</v>
      </c>
      <c r="F11" s="138">
        <f>F10/20*140</f>
        <v>0.35069999999999996</v>
      </c>
      <c r="G11" s="122">
        <v>20</v>
      </c>
      <c r="H11" s="122">
        <v>100</v>
      </c>
      <c r="I11" s="128">
        <v>25.624951012429666</v>
      </c>
      <c r="J11" s="127">
        <v>25.960227159275252</v>
      </c>
      <c r="K11" s="122">
        <f>J11-I11</f>
        <v>0.33527614684558671</v>
      </c>
      <c r="L11" s="138" t="s">
        <v>65</v>
      </c>
      <c r="M11" s="138">
        <f>M10/20*140</f>
        <v>0.36330000000000001</v>
      </c>
      <c r="N11" s="138">
        <v>20</v>
      </c>
      <c r="O11" s="138">
        <v>100</v>
      </c>
      <c r="P11" s="138">
        <v>26.297459083644089</v>
      </c>
      <c r="Q11" s="138">
        <v>26.304257738844019</v>
      </c>
      <c r="R11" s="138">
        <f>Q11-P11</f>
        <v>6.7986551999297262E-3</v>
      </c>
      <c r="S11" s="138">
        <f>AVERAGE(K11,R11)</f>
        <v>0.17103740102275822</v>
      </c>
      <c r="T11" s="138">
        <f>_xlfn.STDEV.S(R11,K11)</f>
        <v>0.23226866180979158</v>
      </c>
    </row>
    <row r="12" spans="1:20">
      <c r="E12" s="138"/>
      <c r="F12" s="1" t="s">
        <v>38</v>
      </c>
      <c r="G12" s="122"/>
      <c r="H12" s="122"/>
      <c r="I12" s="122"/>
      <c r="J12" s="122"/>
      <c r="K12" s="122"/>
      <c r="L12" s="138"/>
      <c r="M12" s="138"/>
      <c r="N12" s="138"/>
      <c r="O12" s="138"/>
      <c r="P12" s="138"/>
      <c r="Q12" s="138"/>
      <c r="R12" s="138"/>
      <c r="S12" s="138"/>
      <c r="T12" s="138"/>
    </row>
    <row r="13" spans="1:20" ht="18">
      <c r="E13" s="138" t="s">
        <v>61</v>
      </c>
      <c r="F13" s="122">
        <f>0.0436-0.001</f>
        <v>4.2599999999999999E-2</v>
      </c>
      <c r="G13" s="122" t="s">
        <v>0</v>
      </c>
      <c r="H13" s="122" t="s">
        <v>1</v>
      </c>
      <c r="I13" s="138" t="s">
        <v>62</v>
      </c>
      <c r="J13" s="138" t="s">
        <v>63</v>
      </c>
      <c r="K13" s="138" t="s">
        <v>64</v>
      </c>
      <c r="L13" s="138" t="s">
        <v>61</v>
      </c>
      <c r="M13" s="138">
        <f>0.0524-0.0078</f>
        <v>4.4600000000000001E-2</v>
      </c>
      <c r="N13" s="138" t="s">
        <v>0</v>
      </c>
      <c r="O13" s="138" t="s">
        <v>1</v>
      </c>
      <c r="P13" s="138" t="s">
        <v>62</v>
      </c>
      <c r="Q13" s="138" t="s">
        <v>63</v>
      </c>
      <c r="R13" s="138" t="s">
        <v>64</v>
      </c>
      <c r="S13" s="138"/>
      <c r="T13" s="138"/>
    </row>
    <row r="14" spans="1:20">
      <c r="E14" s="138" t="s">
        <v>65</v>
      </c>
      <c r="F14" s="138">
        <f>F13/20*140</f>
        <v>0.29820000000000002</v>
      </c>
      <c r="G14" s="122">
        <v>20</v>
      </c>
      <c r="H14" s="122">
        <v>100</v>
      </c>
      <c r="I14" s="130">
        <v>25.621598250961199</v>
      </c>
      <c r="J14" s="129">
        <v>25.971030501784703</v>
      </c>
      <c r="K14" s="122">
        <f>J14-I14</f>
        <v>0.34943225082350438</v>
      </c>
      <c r="L14" s="138" t="s">
        <v>65</v>
      </c>
      <c r="M14" s="138">
        <f>M13/20*140</f>
        <v>0.31220000000000003</v>
      </c>
      <c r="N14" s="138">
        <v>20</v>
      </c>
      <c r="O14" s="138">
        <v>100</v>
      </c>
      <c r="P14" s="138"/>
      <c r="Q14" s="138"/>
      <c r="R14" s="138">
        <f>Q14-P14</f>
        <v>0</v>
      </c>
      <c r="S14" s="138">
        <f>AVERAGE(K14,R14)</f>
        <v>0.17471612541175219</v>
      </c>
      <c r="T14" s="138">
        <f>_xlfn.STDEV.S(R14,K14)</f>
        <v>0.24708591412257849</v>
      </c>
    </row>
    <row r="21" spans="2:9">
      <c r="B21" t="s">
        <v>94</v>
      </c>
    </row>
    <row r="22" spans="2:9">
      <c r="C22" t="s">
        <v>90</v>
      </c>
    </row>
    <row r="23" spans="2:9" ht="18">
      <c r="C23" s="138" t="s">
        <v>61</v>
      </c>
      <c r="D23" s="113">
        <f>0.1386-0.0006</f>
        <v>0.13800000000000001</v>
      </c>
      <c r="E23" s="113" t="s">
        <v>0</v>
      </c>
      <c r="F23" s="113" t="s">
        <v>1</v>
      </c>
      <c r="G23" s="138" t="s">
        <v>62</v>
      </c>
      <c r="H23" s="138" t="s">
        <v>63</v>
      </c>
      <c r="I23" s="138" t="s">
        <v>64</v>
      </c>
    </row>
    <row r="24" spans="2:9">
      <c r="C24" s="138" t="s">
        <v>65</v>
      </c>
      <c r="D24" s="113">
        <v>0</v>
      </c>
      <c r="E24" s="113">
        <v>20</v>
      </c>
      <c r="F24" s="113">
        <v>100</v>
      </c>
      <c r="G24" s="120">
        <v>23.875740848525808</v>
      </c>
      <c r="H24" s="119">
        <v>24.099351412019221</v>
      </c>
      <c r="I24" s="113">
        <f>H24-G24</f>
        <v>0.22361056349341268</v>
      </c>
    </row>
    <row r="25" spans="2:9">
      <c r="C25" t="s">
        <v>91</v>
      </c>
    </row>
    <row r="26" spans="2:9" ht="18">
      <c r="C26" s="138" t="s">
        <v>61</v>
      </c>
      <c r="D26">
        <f>0.0637-0.0039</f>
        <v>5.9800000000000006E-2</v>
      </c>
      <c r="E26" s="120" t="s">
        <v>0</v>
      </c>
      <c r="F26" s="120" t="s">
        <v>1</v>
      </c>
      <c r="G26" s="138" t="s">
        <v>62</v>
      </c>
      <c r="H26" s="138" t="s">
        <v>63</v>
      </c>
      <c r="I26" s="138" t="s">
        <v>64</v>
      </c>
    </row>
    <row r="27" spans="2:9">
      <c r="C27" s="138" t="s">
        <v>65</v>
      </c>
      <c r="D27">
        <v>0</v>
      </c>
      <c r="E27" s="120">
        <v>20</v>
      </c>
      <c r="F27" s="120">
        <v>100</v>
      </c>
      <c r="G27" s="122">
        <v>24.947786328064581</v>
      </c>
      <c r="H27" s="121">
        <v>25.083666299800047</v>
      </c>
      <c r="I27" s="120">
        <f>H27-G27</f>
        <v>0.1358799717354664</v>
      </c>
    </row>
    <row r="33" spans="1:8">
      <c r="A33" s="146" t="s">
        <v>96</v>
      </c>
      <c r="B33" s="69"/>
      <c r="C33" s="69"/>
      <c r="D33" s="69"/>
      <c r="E33" s="69"/>
      <c r="F33" s="69"/>
    </row>
    <row r="34" spans="1:8">
      <c r="A34" s="138" t="s">
        <v>40</v>
      </c>
      <c r="B34" s="138"/>
      <c r="C34" s="138"/>
      <c r="D34" s="138"/>
      <c r="E34" s="138"/>
      <c r="F34" s="138"/>
      <c r="G34" s="138"/>
    </row>
    <row r="35" spans="1:8">
      <c r="B35" s="115" t="s">
        <v>92</v>
      </c>
    </row>
    <row r="36" spans="1:8" ht="18">
      <c r="B36" s="138" t="s">
        <v>61</v>
      </c>
      <c r="C36" s="115">
        <f>0.1431-0.0194</f>
        <v>0.1237</v>
      </c>
      <c r="D36" s="115" t="s">
        <v>0</v>
      </c>
      <c r="E36" s="115" t="s">
        <v>1</v>
      </c>
      <c r="F36" s="138" t="s">
        <v>62</v>
      </c>
      <c r="G36" s="138" t="s">
        <v>63</v>
      </c>
      <c r="H36" s="138" t="s">
        <v>64</v>
      </c>
    </row>
    <row r="37" spans="1:8">
      <c r="B37" s="138" t="s">
        <v>65</v>
      </c>
      <c r="C37" s="115">
        <v>0</v>
      </c>
      <c r="D37" s="115">
        <v>20</v>
      </c>
      <c r="E37" s="115">
        <v>100</v>
      </c>
      <c r="F37" s="115">
        <v>24.418795074152655</v>
      </c>
      <c r="G37" s="115">
        <v>24.426618184245708</v>
      </c>
      <c r="H37" s="115">
        <f>G37-F37</f>
        <v>7.8231100930530317E-3</v>
      </c>
    </row>
    <row r="38" spans="1:8">
      <c r="B38" s="115" t="s">
        <v>93</v>
      </c>
    </row>
    <row r="39" spans="1:8" ht="18">
      <c r="B39" s="138" t="s">
        <v>61</v>
      </c>
      <c r="C39" s="115">
        <f>0.0745-0.0071</f>
        <v>6.7400000000000002E-2</v>
      </c>
      <c r="D39" s="115" t="s">
        <v>0</v>
      </c>
      <c r="E39" s="115" t="s">
        <v>1</v>
      </c>
      <c r="F39" s="138" t="s">
        <v>62</v>
      </c>
      <c r="G39" s="138" t="s">
        <v>63</v>
      </c>
      <c r="H39" s="138" t="s">
        <v>64</v>
      </c>
    </row>
    <row r="40" spans="1:8">
      <c r="B40" s="138" t="s">
        <v>65</v>
      </c>
      <c r="C40" s="115">
        <v>0</v>
      </c>
      <c r="D40" s="115">
        <v>20</v>
      </c>
      <c r="E40" s="115">
        <v>100</v>
      </c>
      <c r="F40" s="115">
        <v>24.42764263913886</v>
      </c>
      <c r="G40" s="115">
        <v>24.428387697242965</v>
      </c>
      <c r="H40" s="115">
        <f>G40-F40</f>
        <v>7.4505810410485651E-4</v>
      </c>
    </row>
    <row r="42" spans="1:8">
      <c r="A42" s="146" t="s">
        <v>98</v>
      </c>
      <c r="B42" s="69"/>
      <c r="C42" s="69"/>
      <c r="D42" s="69"/>
      <c r="E42" s="69"/>
      <c r="F42" s="69"/>
    </row>
    <row r="43" spans="1:8">
      <c r="A43" s="138" t="s">
        <v>40</v>
      </c>
    </row>
    <row r="44" spans="1:8">
      <c r="B44" s="130" t="s">
        <v>99</v>
      </c>
    </row>
    <row r="45" spans="1:8" ht="18">
      <c r="B45" s="138" t="s">
        <v>61</v>
      </c>
      <c r="C45" s="130">
        <f>0.1279-0.0002</f>
        <v>0.12770000000000001</v>
      </c>
      <c r="D45" s="130" t="s">
        <v>0</v>
      </c>
      <c r="E45" s="130" t="s">
        <v>1</v>
      </c>
      <c r="F45" s="130" t="s">
        <v>2</v>
      </c>
      <c r="G45" s="130" t="s">
        <v>3</v>
      </c>
      <c r="H45" s="2" t="s">
        <v>4</v>
      </c>
    </row>
    <row r="46" spans="1:8">
      <c r="B46" s="130"/>
      <c r="C46" s="130"/>
      <c r="D46" s="130">
        <v>20</v>
      </c>
      <c r="E46" s="130">
        <v>100</v>
      </c>
      <c r="F46" s="132">
        <v>25.968981591998432</v>
      </c>
      <c r="G46" s="131">
        <v>25.971403030836772</v>
      </c>
      <c r="H46" s="130">
        <f>G46-F46</f>
        <v>2.4214388383398955E-3</v>
      </c>
    </row>
    <row r="47" spans="1:8">
      <c r="B47" s="138" t="s">
        <v>100</v>
      </c>
    </row>
    <row r="48" spans="1:8" ht="18">
      <c r="B48" s="138" t="s">
        <v>61</v>
      </c>
      <c r="C48" s="130">
        <f>0.0516-0.0009</f>
        <v>5.0700000000000002E-2</v>
      </c>
      <c r="D48" s="130" t="s">
        <v>0</v>
      </c>
      <c r="E48" s="130" t="s">
        <v>1</v>
      </c>
      <c r="F48" s="130" t="s">
        <v>2</v>
      </c>
      <c r="G48" s="130" t="s">
        <v>3</v>
      </c>
      <c r="H48" s="2" t="s">
        <v>4</v>
      </c>
    </row>
    <row r="49" spans="1:9">
      <c r="D49" s="130">
        <v>20</v>
      </c>
      <c r="E49" s="130">
        <v>100</v>
      </c>
      <c r="F49" s="134">
        <v>26.13336003621578</v>
      </c>
      <c r="G49" s="133">
        <v>26.157481292336076</v>
      </c>
      <c r="H49" s="130">
        <f>G49-F49</f>
        <v>2.4121256120295698E-2</v>
      </c>
    </row>
    <row r="50" spans="1:9">
      <c r="A50" s="146" t="s">
        <v>101</v>
      </c>
      <c r="B50" s="69"/>
      <c r="C50" s="69"/>
      <c r="D50" s="69"/>
      <c r="E50" s="69"/>
      <c r="F50" s="69"/>
    </row>
    <row r="51" spans="1:9">
      <c r="B51" s="138" t="s">
        <v>99</v>
      </c>
      <c r="C51" s="138"/>
      <c r="D51" s="138"/>
      <c r="E51" s="138"/>
      <c r="F51" s="138"/>
      <c r="G51" s="138"/>
      <c r="H51" s="138"/>
    </row>
    <row r="52" spans="1:9" ht="18">
      <c r="B52" s="138" t="s">
        <v>61</v>
      </c>
      <c r="C52" s="138">
        <v>0.11899999999999999</v>
      </c>
      <c r="D52" s="138" t="s">
        <v>0</v>
      </c>
      <c r="E52" s="138" t="s">
        <v>1</v>
      </c>
      <c r="F52" s="138" t="s">
        <v>2</v>
      </c>
      <c r="G52" s="138" t="s">
        <v>3</v>
      </c>
      <c r="H52" s="2" t="s">
        <v>4</v>
      </c>
    </row>
    <row r="53" spans="1:9">
      <c r="B53" s="138"/>
      <c r="C53" s="138"/>
      <c r="D53" s="138">
        <v>20</v>
      </c>
      <c r="E53" s="138">
        <v>100</v>
      </c>
      <c r="F53" s="138">
        <v>25.965200540000001</v>
      </c>
      <c r="G53" s="138">
        <v>25.986714540000001</v>
      </c>
      <c r="H53" s="138">
        <f>G53-F53</f>
        <v>2.1513999999999811E-2</v>
      </c>
    </row>
    <row r="54" spans="1:9">
      <c r="B54" s="138" t="s">
        <v>100</v>
      </c>
      <c r="C54" s="138"/>
      <c r="D54" s="138"/>
      <c r="E54" s="138"/>
      <c r="F54" s="138"/>
      <c r="G54" s="138"/>
      <c r="H54" s="138"/>
    </row>
    <row r="55" spans="1:9" ht="18">
      <c r="B55" s="138" t="s">
        <v>61</v>
      </c>
      <c r="C55" s="138">
        <v>5.1799999999999999E-2</v>
      </c>
      <c r="D55" s="138" t="s">
        <v>0</v>
      </c>
      <c r="E55" s="138" t="s">
        <v>1</v>
      </c>
      <c r="F55" s="138" t="s">
        <v>2</v>
      </c>
      <c r="G55" s="138" t="s">
        <v>3</v>
      </c>
      <c r="H55" s="2" t="s">
        <v>4</v>
      </c>
    </row>
    <row r="56" spans="1:9">
      <c r="B56" s="138"/>
      <c r="C56" s="138"/>
      <c r="D56" s="138">
        <v>20</v>
      </c>
      <c r="E56" s="138">
        <v>100</v>
      </c>
      <c r="F56" s="138">
        <v>26.362158130000001</v>
      </c>
      <c r="G56" s="138">
        <v>26.374731130000001</v>
      </c>
      <c r="H56" s="138">
        <f>G56-F56</f>
        <v>1.2572999999999723E-2</v>
      </c>
      <c r="I56" s="138"/>
    </row>
    <row r="57" spans="1:9">
      <c r="B57" s="138" t="s">
        <v>102</v>
      </c>
      <c r="C57" s="138"/>
      <c r="D57" s="138"/>
      <c r="E57" s="138"/>
      <c r="F57" s="138"/>
      <c r="G57" s="138"/>
      <c r="H57" s="138"/>
    </row>
    <row r="58" spans="1:9" ht="18">
      <c r="B58" s="138" t="s">
        <v>61</v>
      </c>
      <c r="C58" s="138">
        <v>4.0300000000000002E-2</v>
      </c>
      <c r="D58" s="138" t="s">
        <v>0</v>
      </c>
      <c r="E58" s="138" t="s">
        <v>1</v>
      </c>
      <c r="F58" s="138" t="s">
        <v>2</v>
      </c>
      <c r="G58" s="138" t="s">
        <v>3</v>
      </c>
      <c r="H58" s="2" t="s">
        <v>4</v>
      </c>
    </row>
    <row r="59" spans="1:9">
      <c r="B59" s="138"/>
      <c r="C59" s="138"/>
      <c r="D59" s="138">
        <v>20</v>
      </c>
      <c r="E59" s="138">
        <v>100</v>
      </c>
      <c r="F59" s="138">
        <v>26.160033330000001</v>
      </c>
      <c r="G59" s="138">
        <v>26.19391233</v>
      </c>
      <c r="H59" s="138">
        <f>G59-F59</f>
        <v>3.3878999999998882E-2</v>
      </c>
      <c r="I59" s="138"/>
    </row>
    <row r="60" spans="1:9">
      <c r="B60" s="138" t="s">
        <v>103</v>
      </c>
      <c r="C60" s="138"/>
      <c r="D60" s="138"/>
      <c r="E60" s="138"/>
      <c r="F60" s="138"/>
      <c r="G60" s="138"/>
      <c r="H60" s="138"/>
    </row>
    <row r="61" spans="1:9" ht="18">
      <c r="B61" s="138" t="s">
        <v>61</v>
      </c>
      <c r="C61" s="138">
        <v>5.1299999999999998E-2</v>
      </c>
      <c r="D61" s="138" t="s">
        <v>0</v>
      </c>
      <c r="E61" s="138" t="s">
        <v>1</v>
      </c>
      <c r="F61" s="138" t="s">
        <v>2</v>
      </c>
      <c r="G61" s="138" t="s">
        <v>3</v>
      </c>
      <c r="H61" s="2" t="s">
        <v>4</v>
      </c>
    </row>
    <row r="62" spans="1:9">
      <c r="B62" s="138"/>
      <c r="C62" s="138"/>
      <c r="D62" s="138">
        <v>20</v>
      </c>
      <c r="E62" s="138">
        <v>100</v>
      </c>
      <c r="F62" s="138">
        <v>26.621513329999999</v>
      </c>
      <c r="G62" s="138">
        <v>26.807964330000001</v>
      </c>
      <c r="H62" s="138">
        <f>G62-F62</f>
        <v>0.1864510000000017</v>
      </c>
      <c r="I62" s="138"/>
    </row>
  </sheetData>
  <mergeCells count="2">
    <mergeCell ref="I3:K3"/>
    <mergeCell ref="P3:R3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A7" workbookViewId="0">
      <selection activeCell="E31" sqref="E31"/>
    </sheetView>
  </sheetViews>
  <sheetFormatPr defaultRowHeight="15"/>
  <cols>
    <col min="2" max="2" width="13.28515625" customWidth="1"/>
    <col min="5" max="5" width="13" customWidth="1"/>
    <col min="8" max="8" width="13.28515625" customWidth="1"/>
    <col min="14" max="14" width="13.5703125" customWidth="1"/>
    <col min="15" max="15" width="14.5703125" customWidth="1"/>
    <col min="17" max="17" width="12.42578125" customWidth="1"/>
  </cols>
  <sheetData>
    <row r="1" spans="1:18">
      <c r="A1" s="69" t="s">
        <v>21</v>
      </c>
      <c r="M1" s="69" t="s">
        <v>22</v>
      </c>
    </row>
    <row r="2" spans="1:18">
      <c r="B2" t="s">
        <v>17</v>
      </c>
      <c r="D2" t="s">
        <v>18</v>
      </c>
      <c r="G2" t="s">
        <v>20</v>
      </c>
      <c r="N2" t="s">
        <v>17</v>
      </c>
    </row>
    <row r="3" spans="1:18">
      <c r="B3" s="64" t="s">
        <v>19</v>
      </c>
      <c r="C3" s="57" t="s">
        <v>4</v>
      </c>
      <c r="E3" s="64" t="s">
        <v>19</v>
      </c>
      <c r="F3" s="57" t="s">
        <v>4</v>
      </c>
      <c r="H3" s="64" t="s">
        <v>19</v>
      </c>
      <c r="I3" s="57" t="s">
        <v>4</v>
      </c>
      <c r="N3" s="64" t="s">
        <v>19</v>
      </c>
      <c r="O3" s="57" t="s">
        <v>4</v>
      </c>
      <c r="Q3" s="64" t="s">
        <v>19</v>
      </c>
      <c r="R3" s="57" t="s">
        <v>4</v>
      </c>
    </row>
    <row r="4" spans="1:18">
      <c r="B4" s="65">
        <v>0.46970297029702979</v>
      </c>
      <c r="C4" s="66">
        <v>8.6475168852518074</v>
      </c>
      <c r="E4" s="65">
        <v>6.7449999999999996E-2</v>
      </c>
      <c r="F4" s="66">
        <v>0.43613838768833446</v>
      </c>
      <c r="H4" s="60">
        <v>3.6</v>
      </c>
      <c r="I4" s="61">
        <v>87.542650851169299</v>
      </c>
      <c r="N4" s="58">
        <v>4.6215139442231087E-2</v>
      </c>
      <c r="O4" s="59">
        <v>0.90310355443381596</v>
      </c>
      <c r="Q4" s="58">
        <v>8.1699999999999995E-2</v>
      </c>
      <c r="R4" s="59">
        <v>0.15851111164754528</v>
      </c>
    </row>
    <row r="5" spans="1:18">
      <c r="B5" s="65">
        <v>0.34957816377171219</v>
      </c>
      <c r="C5" s="66">
        <v>7.5051565471384691</v>
      </c>
      <c r="E5" s="65">
        <v>0.13500000000000001</v>
      </c>
      <c r="F5" s="66">
        <v>3.7367457888571067</v>
      </c>
      <c r="H5" s="60">
        <v>2.7</v>
      </c>
      <c r="I5" s="61">
        <v>63.387122058100829</v>
      </c>
      <c r="N5" s="60">
        <v>0.123</v>
      </c>
      <c r="O5" s="61">
        <v>0.68033118130750481</v>
      </c>
      <c r="P5" s="72"/>
      <c r="Q5" s="62">
        <v>0.29199999999999998</v>
      </c>
      <c r="R5" s="63">
        <v>0.33397229516339522</v>
      </c>
    </row>
    <row r="6" spans="1:18">
      <c r="B6" s="65">
        <v>0.25970149253731345</v>
      </c>
      <c r="C6" s="66">
        <v>6.6314827878166938</v>
      </c>
      <c r="E6" s="65">
        <v>0.26800000000000002</v>
      </c>
      <c r="F6" s="66">
        <v>8.2934280212776663</v>
      </c>
      <c r="H6" s="60">
        <v>3</v>
      </c>
      <c r="I6" s="61">
        <v>69.632105954414953</v>
      </c>
      <c r="N6" s="60">
        <v>0.16320000000000001</v>
      </c>
      <c r="O6" s="61">
        <v>1.2064353350660539</v>
      </c>
      <c r="P6" s="72"/>
    </row>
    <row r="7" spans="1:18">
      <c r="B7" s="65">
        <v>0.12698254364089775</v>
      </c>
      <c r="C7" s="66">
        <v>4.4333751161918009</v>
      </c>
      <c r="E7" s="65">
        <v>0.39929999999999999</v>
      </c>
      <c r="F7" s="66">
        <v>11.895970219133513</v>
      </c>
      <c r="H7" s="60">
        <v>3.3</v>
      </c>
      <c r="I7" s="61">
        <v>86.276797132301155</v>
      </c>
      <c r="N7" s="60">
        <v>0.22600000000000003</v>
      </c>
      <c r="O7" s="61">
        <v>0.6726012034774449</v>
      </c>
      <c r="P7" s="72"/>
    </row>
    <row r="8" spans="1:18">
      <c r="B8" s="62">
        <v>0.65876543209876537</v>
      </c>
      <c r="C8" s="63">
        <v>9.3220585180555897</v>
      </c>
      <c r="D8" s="75"/>
      <c r="E8" s="65">
        <v>0.53359999999999996</v>
      </c>
      <c r="F8" s="66">
        <v>20.463952151772489</v>
      </c>
      <c r="H8" s="60">
        <v>4.2</v>
      </c>
      <c r="I8" s="61">
        <v>109.97858553997196</v>
      </c>
      <c r="N8" s="60">
        <v>0.16289999999999999</v>
      </c>
      <c r="O8" s="61">
        <v>1.1897646599867713</v>
      </c>
      <c r="P8" s="72"/>
    </row>
    <row r="9" spans="1:18">
      <c r="B9" s="108">
        <v>0.59085095917363506</v>
      </c>
      <c r="C9" s="90">
        <v>9.507500201910748</v>
      </c>
      <c r="E9" s="67">
        <v>0.66500000000000004</v>
      </c>
      <c r="F9" s="68">
        <v>30.359068832341961</v>
      </c>
      <c r="H9" s="60">
        <v>4.0999999999999996</v>
      </c>
      <c r="I9" s="61">
        <v>97.12000025033953</v>
      </c>
      <c r="N9">
        <v>0.51839999999999997</v>
      </c>
      <c r="O9">
        <v>1.5460886982732021</v>
      </c>
      <c r="P9" s="72"/>
    </row>
    <row r="10" spans="1:18">
      <c r="B10" s="90">
        <v>0.71598622725036898</v>
      </c>
      <c r="C10" s="90">
        <v>9.7085727577550749</v>
      </c>
      <c r="H10" s="62">
        <v>2.8</v>
      </c>
      <c r="I10" s="63">
        <v>73.783476578204429</v>
      </c>
      <c r="P10" s="72"/>
    </row>
    <row r="11" spans="1:18">
      <c r="B11" s="124">
        <v>0.91177042801556429</v>
      </c>
      <c r="C11" s="124">
        <v>10.499917596573699</v>
      </c>
    </row>
    <row r="12" spans="1:18">
      <c r="B12" s="90"/>
      <c r="C12" s="90"/>
      <c r="N12" s="126"/>
    </row>
    <row r="35" spans="1:18">
      <c r="A35" s="69" t="s">
        <v>23</v>
      </c>
      <c r="M35" s="69" t="s">
        <v>24</v>
      </c>
    </row>
    <row r="36" spans="1:18">
      <c r="B36" s="72" t="s">
        <v>17</v>
      </c>
      <c r="C36" s="72"/>
      <c r="E36" t="s">
        <v>18</v>
      </c>
      <c r="N36" s="72" t="s">
        <v>17</v>
      </c>
      <c r="O36" s="72"/>
      <c r="P36" s="72"/>
      <c r="Q36" s="72" t="s">
        <v>18</v>
      </c>
      <c r="R36" s="72"/>
    </row>
    <row r="37" spans="1:18">
      <c r="B37" s="64" t="s">
        <v>19</v>
      </c>
      <c r="C37" s="57" t="s">
        <v>4</v>
      </c>
      <c r="E37" s="64" t="s">
        <v>19</v>
      </c>
      <c r="F37" s="57" t="s">
        <v>4</v>
      </c>
      <c r="N37" s="64" t="s">
        <v>19</v>
      </c>
      <c r="O37" s="57" t="s">
        <v>4</v>
      </c>
      <c r="P37" s="72"/>
      <c r="Q37" s="64" t="s">
        <v>19</v>
      </c>
      <c r="R37" s="57" t="s">
        <v>4</v>
      </c>
    </row>
    <row r="38" spans="1:18">
      <c r="B38" s="71">
        <v>4.5219123505976094E-2</v>
      </c>
      <c r="C38" s="73">
        <v>0.72512779981660458</v>
      </c>
      <c r="E38" s="71">
        <v>3.5700000000000003E-2</v>
      </c>
      <c r="F38" s="73">
        <v>0.16363338611324352</v>
      </c>
      <c r="N38" s="71">
        <v>5.6899999999999999E-2</v>
      </c>
      <c r="O38" s="73">
        <v>0.68210069430473297</v>
      </c>
      <c r="Q38" s="71">
        <v>2.5700000000000001E-2</v>
      </c>
      <c r="R38" s="73">
        <v>0.3519468219248445</v>
      </c>
    </row>
    <row r="39" spans="1:18">
      <c r="B39" s="65">
        <v>0.1144</v>
      </c>
      <c r="C39" s="66">
        <v>0.34132974394140803</v>
      </c>
      <c r="D39" s="72"/>
      <c r="E39" s="65">
        <v>7.1400000000000005E-2</v>
      </c>
      <c r="F39" s="66">
        <v>9.5926230903096155E-3</v>
      </c>
      <c r="N39" s="65">
        <v>8.0799999999999983E-2</v>
      </c>
      <c r="O39" s="66">
        <v>0.68442900088007619</v>
      </c>
      <c r="P39" s="72"/>
      <c r="Q39" s="65">
        <v>5.1400000000000001E-2</v>
      </c>
      <c r="R39" s="66">
        <v>3.6321582574849742E-3</v>
      </c>
    </row>
    <row r="40" spans="1:18">
      <c r="B40" s="65">
        <v>0.1042</v>
      </c>
      <c r="C40" s="66">
        <v>0.51576647256413466</v>
      </c>
      <c r="D40" s="72"/>
      <c r="E40" s="67">
        <v>0.34450000000000003</v>
      </c>
      <c r="F40" s="68">
        <v>0.25229530050131999</v>
      </c>
      <c r="N40" s="65">
        <v>9.4400000000000012E-2</v>
      </c>
      <c r="O40" s="66">
        <v>0.86603691375474057</v>
      </c>
      <c r="P40" s="72"/>
      <c r="Q40" s="67">
        <v>0.42000000000000004</v>
      </c>
      <c r="R40" s="68">
        <v>0.37476422636294515</v>
      </c>
    </row>
    <row r="41" spans="1:18">
      <c r="B41" s="65">
        <v>0.15930000000000002</v>
      </c>
      <c r="C41" s="66">
        <v>0.95609581208800876</v>
      </c>
      <c r="D41" s="72"/>
      <c r="N41" s="65">
        <v>0.13109999999999999</v>
      </c>
      <c r="O41" s="66">
        <v>1.2816862035802643</v>
      </c>
      <c r="P41" s="72"/>
    </row>
    <row r="42" spans="1:18">
      <c r="B42" s="65">
        <v>0.14909999999999998</v>
      </c>
      <c r="C42" s="66">
        <v>0.85569923256035096</v>
      </c>
      <c r="D42" s="72"/>
      <c r="N42" s="65">
        <v>0.13589999999999999</v>
      </c>
      <c r="O42" s="66">
        <v>1.1942350086113578</v>
      </c>
      <c r="P42" s="72"/>
    </row>
    <row r="43" spans="1:18">
      <c r="B43" s="65">
        <v>0.19</v>
      </c>
      <c r="C43" s="66">
        <v>0.52582475696950581</v>
      </c>
      <c r="D43" s="72"/>
      <c r="N43" s="65">
        <v>0.16599999999999998</v>
      </c>
      <c r="O43" s="66">
        <v>0.34291299241262152</v>
      </c>
      <c r="P43" s="72"/>
    </row>
    <row r="44" spans="1:18">
      <c r="B44" s="65">
        <v>0.19839999999999999</v>
      </c>
      <c r="C44" s="66">
        <v>0.68545345577319949</v>
      </c>
      <c r="D44" s="72"/>
      <c r="N44" s="65">
        <v>0.21159999999999998</v>
      </c>
      <c r="O44" s="66">
        <v>0.47834828366925919</v>
      </c>
      <c r="P44" s="72"/>
    </row>
    <row r="45" spans="1:18">
      <c r="B45" s="62">
        <v>0.23284313725490199</v>
      </c>
      <c r="C45" s="63">
        <v>0.339187701892115</v>
      </c>
      <c r="N45" s="62">
        <v>0.16274509803921569</v>
      </c>
      <c r="O45" s="63">
        <v>0.35567211244535102</v>
      </c>
    </row>
  </sheetData>
  <phoneticPr fontId="4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ReadMe</vt:lpstr>
      <vt:lpstr>Stock1</vt:lpstr>
      <vt:lpstr>Stock2</vt:lpstr>
      <vt:lpstr>Stock3</vt:lpstr>
      <vt:lpstr>Stock 4</vt:lpstr>
      <vt:lpstr>Stock 5</vt:lpstr>
      <vt:lpstr>Stock 6</vt:lpstr>
      <vt:lpstr>Stock7</vt:lpstr>
      <vt:lpstr>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CHLabData</dc:creator>
  <cp:lastModifiedBy>Yang He</cp:lastModifiedBy>
  <cp:lastPrinted>2015-04-14T16:52:25Z</cp:lastPrinted>
  <dcterms:created xsi:type="dcterms:W3CDTF">2015-04-06T16:57:04Z</dcterms:created>
  <dcterms:modified xsi:type="dcterms:W3CDTF">2017-07-11T16:42:01Z</dcterms:modified>
</cp:coreProperties>
</file>