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pdatedFiles\"/>
    </mc:Choice>
  </mc:AlternateContent>
  <bookViews>
    <workbookView xWindow="0" yWindow="0" windowWidth="20490" windowHeight="7755" firstSheet="2" activeTab="8"/>
  </bookViews>
  <sheets>
    <sheet name="ReadMe" sheetId="16" r:id="rId1"/>
    <sheet name="Stock1" sheetId="1" r:id="rId2"/>
    <sheet name="Stock2" sheetId="2" r:id="rId3"/>
    <sheet name="Stock3" sheetId="4" r:id="rId4"/>
    <sheet name="Stock 4" sheetId="5" r:id="rId5"/>
    <sheet name="Stock 5" sheetId="6" r:id="rId6"/>
    <sheet name="Stock6" sheetId="7" r:id="rId7"/>
    <sheet name="Stock7" sheetId="8" r:id="rId8"/>
    <sheet name="Plot" sheetId="3" r:id="rId9"/>
    <sheet name="lowconcentration" sheetId="14" r:id="rId10"/>
  </sheets>
  <externalReferences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4" l="1"/>
  <c r="U13" i="14"/>
  <c r="U10" i="14"/>
  <c r="U7" i="14"/>
  <c r="U16" i="4" l="1"/>
  <c r="U13" i="4"/>
  <c r="U10" i="4"/>
  <c r="N15" i="4"/>
  <c r="N12" i="4"/>
  <c r="N9" i="4"/>
  <c r="G9" i="4"/>
  <c r="G8" i="4"/>
  <c r="K13" i="2"/>
  <c r="U5" i="2"/>
  <c r="Z6" i="5" l="1"/>
  <c r="S6" i="5"/>
  <c r="L6" i="5"/>
  <c r="U4" i="5"/>
  <c r="U5" i="5" s="1"/>
  <c r="Z5" i="5"/>
  <c r="Z6" i="4"/>
  <c r="S6" i="4"/>
  <c r="L6" i="4"/>
  <c r="U5" i="4"/>
  <c r="U6" i="4" s="1"/>
  <c r="Z5" i="4"/>
  <c r="R6" i="2"/>
  <c r="K6" i="2"/>
  <c r="S6" i="2" s="1"/>
  <c r="Z5" i="2"/>
  <c r="R42" i="1"/>
  <c r="K42" i="1"/>
  <c r="S42" i="1" s="1"/>
  <c r="T42" i="1" l="1"/>
  <c r="T6" i="2"/>
  <c r="AB6" i="5"/>
  <c r="AA6" i="5"/>
  <c r="AB6" i="4"/>
  <c r="AA6" i="4"/>
  <c r="H43" i="14"/>
  <c r="E50" i="14"/>
  <c r="E51" i="14"/>
  <c r="E52" i="14"/>
  <c r="E53" i="14"/>
  <c r="E54" i="14"/>
  <c r="E55" i="14"/>
  <c r="E49" i="14"/>
  <c r="E41" i="14"/>
  <c r="E42" i="14"/>
  <c r="E43" i="14"/>
  <c r="E44" i="14"/>
  <c r="E45" i="14"/>
  <c r="E46" i="14"/>
  <c r="E40" i="14"/>
  <c r="H34" i="14"/>
  <c r="E32" i="14"/>
  <c r="E33" i="14"/>
  <c r="E34" i="14"/>
  <c r="E35" i="14"/>
  <c r="E36" i="14"/>
  <c r="E37" i="14"/>
  <c r="E31" i="14"/>
  <c r="F38" i="14" s="1"/>
  <c r="G29" i="14" s="1"/>
  <c r="G30" i="14" s="1"/>
  <c r="G52" i="14"/>
  <c r="H52" i="14" s="1"/>
  <c r="G43" i="14"/>
  <c r="G34" i="14"/>
  <c r="F56" i="14" l="1"/>
  <c r="I47" i="14" s="1"/>
  <c r="I48" i="14" s="1"/>
  <c r="F47" i="14"/>
  <c r="I38" i="14" s="1"/>
  <c r="I39" i="14" s="1"/>
  <c r="J49" i="3" l="1"/>
  <c r="M20" i="3" l="1"/>
  <c r="O10" i="3" l="1"/>
  <c r="U15" i="14" l="1"/>
  <c r="U12" i="14"/>
  <c r="Z17" i="14"/>
  <c r="Z16" i="14"/>
  <c r="Z15" i="14"/>
  <c r="U9" i="14"/>
  <c r="Z14" i="14"/>
  <c r="Z13" i="14"/>
  <c r="Z12" i="14"/>
  <c r="U6" i="14"/>
  <c r="Z11" i="14"/>
  <c r="Z10" i="14"/>
  <c r="Z9" i="14"/>
  <c r="Z8" i="14" l="1"/>
  <c r="Z7" i="14"/>
  <c r="Z6" i="14"/>
  <c r="M15" i="14" l="1"/>
  <c r="M16" i="14" s="1"/>
  <c r="M12" i="14"/>
  <c r="M13" i="14" s="1"/>
  <c r="M9" i="14" l="1"/>
  <c r="R12" i="14"/>
  <c r="R13" i="14"/>
  <c r="R14" i="14"/>
  <c r="R15" i="14"/>
  <c r="R16" i="14"/>
  <c r="R17" i="14"/>
  <c r="R11" i="14"/>
  <c r="R10" i="14"/>
  <c r="M10" i="14" l="1"/>
  <c r="R9" i="14"/>
  <c r="P34" i="3" l="1"/>
  <c r="P35" i="3"/>
  <c r="P36" i="3"/>
  <c r="P37" i="3"/>
  <c r="P38" i="3"/>
  <c r="P33" i="3"/>
  <c r="S34" i="3"/>
  <c r="S35" i="3"/>
  <c r="S36" i="3"/>
  <c r="S37" i="3"/>
  <c r="S33" i="3"/>
  <c r="H22" i="14" l="1"/>
  <c r="H21" i="14"/>
  <c r="H20" i="14"/>
  <c r="C20" i="14"/>
  <c r="M6" i="14" l="1"/>
  <c r="M7" i="14" s="1"/>
  <c r="H19" i="14"/>
  <c r="H18" i="14"/>
  <c r="H17" i="14"/>
  <c r="C17" i="14"/>
  <c r="H16" i="14"/>
  <c r="H15" i="14"/>
  <c r="C11" i="14"/>
  <c r="H14" i="14"/>
  <c r="C14" i="14"/>
  <c r="R8" i="14"/>
  <c r="R7" i="14"/>
  <c r="R6" i="14"/>
  <c r="H13" i="14"/>
  <c r="H12" i="14"/>
  <c r="H11" i="14"/>
  <c r="H10" i="14"/>
  <c r="H9" i="14"/>
  <c r="C9" i="14"/>
  <c r="H8" i="14"/>
  <c r="H7" i="14"/>
  <c r="C7" i="14"/>
  <c r="H6" i="14"/>
  <c r="C6" i="14"/>
  <c r="H5" i="14"/>
  <c r="C5" i="14"/>
  <c r="U4" i="2" l="1"/>
  <c r="Z4" i="2"/>
  <c r="AA7" i="2" s="1"/>
  <c r="AA4" i="2" l="1"/>
  <c r="Y4" i="1"/>
  <c r="Z4" i="1" s="1"/>
  <c r="T4" i="1"/>
  <c r="T3" i="1" l="1"/>
  <c r="Y3" i="1"/>
  <c r="Z3" i="1" l="1"/>
  <c r="X7" i="1"/>
  <c r="Z7" i="1"/>
  <c r="AE10" i="5" l="1"/>
  <c r="AJ10" i="5"/>
  <c r="AK10" i="5" l="1"/>
  <c r="AE9" i="5"/>
  <c r="AJ9" i="5"/>
  <c r="AE8" i="5"/>
  <c r="AJ8" i="5"/>
  <c r="AE7" i="5"/>
  <c r="Q52" i="3"/>
  <c r="E73" i="3"/>
  <c r="Q49" i="3"/>
  <c r="Q50" i="3"/>
  <c r="Q48" i="3"/>
  <c r="Q51" i="3"/>
  <c r="AK9" i="5" l="1"/>
  <c r="AK8" i="5"/>
  <c r="E74" i="3"/>
  <c r="J76" i="3"/>
  <c r="J77" i="3" s="1"/>
  <c r="J74" i="3"/>
  <c r="J75" i="3" s="1"/>
  <c r="E67" i="3"/>
  <c r="E68" i="3" s="1"/>
  <c r="J70" i="3"/>
  <c r="J71" i="3" s="1"/>
  <c r="J68" i="3"/>
  <c r="J69" i="3" s="1"/>
  <c r="K74" i="3" l="1"/>
  <c r="K75" i="3" s="1"/>
  <c r="K76" i="3"/>
  <c r="K77" i="3" s="1"/>
  <c r="K68" i="3"/>
  <c r="K69" i="3" s="1"/>
  <c r="K70" i="3"/>
  <c r="K71" i="3" s="1"/>
  <c r="AE5" i="5"/>
  <c r="AE4" i="5"/>
  <c r="AE3" i="5"/>
  <c r="AK3" i="5" s="1"/>
  <c r="AJ7" i="5"/>
  <c r="AK7" i="5" s="1"/>
  <c r="AJ5" i="5"/>
  <c r="AJ4" i="5"/>
  <c r="AJ3" i="5"/>
  <c r="AK4" i="5" l="1"/>
  <c r="AK5" i="5"/>
  <c r="E59" i="3" l="1"/>
  <c r="E53" i="3"/>
  <c r="E54" i="3" s="1"/>
  <c r="J62" i="3"/>
  <c r="J63" i="3" s="1"/>
  <c r="J60" i="3"/>
  <c r="J61" i="3" s="1"/>
  <c r="E60" i="3"/>
  <c r="J56" i="3"/>
  <c r="J57" i="3" s="1"/>
  <c r="J54" i="3"/>
  <c r="J55" i="3" s="1"/>
  <c r="J50" i="3"/>
  <c r="E47" i="3"/>
  <c r="E48" i="3" s="1"/>
  <c r="J48" i="3"/>
  <c r="J51" i="3" s="1"/>
  <c r="K50" i="3" l="1"/>
  <c r="K51" i="3" s="1"/>
  <c r="K48" i="3"/>
  <c r="K49" i="3" s="1"/>
  <c r="K60" i="3"/>
  <c r="K61" i="3" s="1"/>
  <c r="K62" i="3"/>
  <c r="K63" i="3" s="1"/>
  <c r="K56" i="3"/>
  <c r="K57" i="3" s="1"/>
  <c r="K54" i="3"/>
  <c r="K55" i="3" s="1"/>
  <c r="I38" i="4"/>
  <c r="N38" i="4"/>
  <c r="N37" i="4"/>
  <c r="I37" i="4"/>
  <c r="N36" i="4"/>
  <c r="I36" i="4"/>
  <c r="N35" i="4"/>
  <c r="I35" i="4"/>
  <c r="AB27" i="2" l="1"/>
  <c r="AB25" i="2"/>
  <c r="AG28" i="2"/>
  <c r="AG26" i="2"/>
  <c r="AB23" i="2"/>
  <c r="AG24" i="2"/>
  <c r="AA9" i="1" l="1"/>
  <c r="AF10" i="1"/>
  <c r="U23" i="8" l="1"/>
  <c r="Z24" i="8"/>
  <c r="N23" i="8" l="1"/>
  <c r="S24" i="8"/>
  <c r="G23" i="8" l="1"/>
  <c r="L24" i="8"/>
  <c r="U29" i="8" l="1"/>
  <c r="Z30" i="8"/>
  <c r="N29" i="8"/>
  <c r="M29" i="2"/>
  <c r="M30" i="2" s="1"/>
  <c r="S30" i="8"/>
  <c r="L30" i="8" l="1"/>
  <c r="G29" i="8"/>
  <c r="AI13" i="8"/>
  <c r="AI14" i="8" s="1"/>
  <c r="AN14" i="8"/>
  <c r="U20" i="8"/>
  <c r="Z21" i="8"/>
  <c r="AI7" i="8"/>
  <c r="AI8" i="8" s="1"/>
  <c r="AN8" i="8"/>
  <c r="AB13" i="8" l="1"/>
  <c r="AB14" i="8" s="1"/>
  <c r="AG14" i="8"/>
  <c r="U13" i="8"/>
  <c r="U14" i="8" s="1"/>
  <c r="Z14" i="8"/>
  <c r="U26" i="8" l="1"/>
  <c r="U28" i="8" s="1"/>
  <c r="Z27" i="8"/>
  <c r="N26" i="8"/>
  <c r="N25" i="8" s="1"/>
  <c r="S27" i="8"/>
  <c r="G26" i="8"/>
  <c r="AI10" i="8"/>
  <c r="AI11" i="8" s="1"/>
  <c r="AN11" i="8"/>
  <c r="AG8" i="8"/>
  <c r="AB7" i="8"/>
  <c r="AB8" i="8" s="1"/>
  <c r="N20" i="8"/>
  <c r="S21" i="8"/>
  <c r="G20" i="8"/>
  <c r="L21" i="8"/>
  <c r="U7" i="8" l="1"/>
  <c r="U8" i="8" s="1"/>
  <c r="Z8" i="8"/>
  <c r="AI4" i="8"/>
  <c r="AI5" i="8" s="1"/>
  <c r="AN5" i="8"/>
  <c r="N13" i="8" l="1"/>
  <c r="N14" i="8" s="1"/>
  <c r="G13" i="8"/>
  <c r="G14" i="8" s="1"/>
  <c r="AB10" i="8"/>
  <c r="AB11" i="8" s="1"/>
  <c r="AG11" i="8"/>
  <c r="U10" i="8"/>
  <c r="U11" i="8" s="1"/>
  <c r="Z11" i="8"/>
  <c r="N10" i="8"/>
  <c r="N11" i="8" s="1"/>
  <c r="G10" i="8"/>
  <c r="G11" i="8" s="1"/>
  <c r="N7" i="8"/>
  <c r="N8" i="8" s="1"/>
  <c r="G7" i="8"/>
  <c r="G8" i="8" s="1"/>
  <c r="AB4" i="8"/>
  <c r="AB5" i="8" s="1"/>
  <c r="AG5" i="8"/>
  <c r="U4" i="8"/>
  <c r="U5" i="8" s="1"/>
  <c r="Z5" i="8"/>
  <c r="G4" i="8"/>
  <c r="N4" i="8"/>
  <c r="N5" i="8" s="1"/>
  <c r="S5" i="8"/>
  <c r="G5" i="8" l="1"/>
  <c r="I3" i="8"/>
  <c r="S14" i="8"/>
  <c r="L14" i="8"/>
  <c r="S11" i="8"/>
  <c r="L11" i="8"/>
  <c r="S8" i="8"/>
  <c r="L8" i="8"/>
  <c r="L5" i="8"/>
  <c r="N30" i="7" l="1"/>
  <c r="G30" i="7"/>
  <c r="N27" i="7"/>
  <c r="S23" i="7" s="1"/>
  <c r="G27" i="7"/>
  <c r="N24" i="7"/>
  <c r="G24" i="7" l="1"/>
  <c r="M22" i="7" s="1"/>
  <c r="G21" i="7"/>
  <c r="S31" i="7"/>
  <c r="L31" i="7"/>
  <c r="S28" i="7"/>
  <c r="L28" i="7"/>
  <c r="S25" i="7"/>
  <c r="L25" i="7"/>
  <c r="L22" i="7"/>
  <c r="N11" i="7" l="1"/>
  <c r="N12" i="7" s="1"/>
  <c r="S12" i="7"/>
  <c r="G11" i="7"/>
  <c r="G12" i="7" s="1"/>
  <c r="Q18" i="3"/>
  <c r="N8" i="7"/>
  <c r="N9" i="7" s="1"/>
  <c r="S9" i="7"/>
  <c r="G8" i="7"/>
  <c r="G9" i="7" s="1"/>
  <c r="N5" i="7"/>
  <c r="N6" i="7" s="1"/>
  <c r="G5" i="7"/>
  <c r="G6" i="7" s="1"/>
  <c r="S6" i="7"/>
  <c r="S15" i="7"/>
  <c r="L15" i="7"/>
  <c r="N14" i="7"/>
  <c r="N15" i="7" s="1"/>
  <c r="G14" i="7"/>
  <c r="G15" i="7" s="1"/>
  <c r="L12" i="7"/>
  <c r="L9" i="7"/>
  <c r="L6" i="7"/>
  <c r="N30" i="6" l="1"/>
  <c r="N31" i="6" s="1"/>
  <c r="G30" i="6"/>
  <c r="G31" i="6" s="1"/>
  <c r="S31" i="6"/>
  <c r="L31" i="6"/>
  <c r="N27" i="6"/>
  <c r="N28" i="6" s="1"/>
  <c r="G27" i="6"/>
  <c r="G28" i="6" s="1"/>
  <c r="N24" i="6"/>
  <c r="N25" i="6" s="1"/>
  <c r="G24" i="6"/>
  <c r="G25" i="6" s="1"/>
  <c r="G21" i="6"/>
  <c r="G22" i="6" s="1"/>
  <c r="S28" i="6"/>
  <c r="L28" i="6"/>
  <c r="S25" i="6"/>
  <c r="L25" i="6"/>
  <c r="L22" i="6"/>
  <c r="N14" i="6" l="1"/>
  <c r="N15" i="6" s="1"/>
  <c r="G14" i="6"/>
  <c r="G15" i="6" s="1"/>
  <c r="U11" i="6"/>
  <c r="U12" i="6" s="1"/>
  <c r="Z12" i="6"/>
  <c r="N11" i="6"/>
  <c r="N12" i="6" s="1"/>
  <c r="G11" i="6"/>
  <c r="G12" i="6" s="1"/>
  <c r="U8" i="6"/>
  <c r="U9" i="6" s="1"/>
  <c r="Z9" i="6"/>
  <c r="S9" i="6" l="1"/>
  <c r="N8" i="6" l="1"/>
  <c r="N9" i="6" s="1"/>
  <c r="G8" i="6"/>
  <c r="G9" i="6" s="1"/>
  <c r="N5" i="6" l="1"/>
  <c r="N6" i="6" s="1"/>
  <c r="G5" i="6"/>
  <c r="S15" i="6"/>
  <c r="L15" i="6"/>
  <c r="AA15" i="6" s="1"/>
  <c r="S12" i="6"/>
  <c r="AB12" i="6" s="1"/>
  <c r="L12" i="6"/>
  <c r="AA12" i="6" s="1"/>
  <c r="L9" i="6"/>
  <c r="S6" i="6"/>
  <c r="AB6" i="6" s="1"/>
  <c r="L6" i="6"/>
  <c r="AA9" i="6" l="1"/>
  <c r="AB9" i="6"/>
  <c r="AB15" i="6"/>
  <c r="G6" i="6"/>
  <c r="H3" i="6"/>
  <c r="AA6" i="6"/>
  <c r="G47" i="2"/>
  <c r="G44" i="2"/>
  <c r="G41" i="2"/>
  <c r="G38" i="2"/>
  <c r="L48" i="2"/>
  <c r="L45" i="2"/>
  <c r="L42" i="2"/>
  <c r="L39" i="2"/>
  <c r="AD12" i="5" l="1"/>
  <c r="AI13" i="5"/>
  <c r="G12" i="5"/>
  <c r="G13" i="5" s="1"/>
  <c r="AI16" i="5"/>
  <c r="AD15" i="5"/>
  <c r="N15" i="5"/>
  <c r="N16" i="5" s="1"/>
  <c r="G15" i="5"/>
  <c r="G16" i="5" s="1"/>
  <c r="N8" i="5"/>
  <c r="N9" i="5" s="1"/>
  <c r="G8" i="5"/>
  <c r="G9" i="5" s="1"/>
  <c r="N4" i="5"/>
  <c r="N5" i="5" s="1"/>
  <c r="G4" i="5"/>
  <c r="S13" i="5"/>
  <c r="L13" i="5"/>
  <c r="N12" i="5"/>
  <c r="N13" i="5" s="1"/>
  <c r="S16" i="5"/>
  <c r="L16" i="5"/>
  <c r="S9" i="5"/>
  <c r="L9" i="5"/>
  <c r="S5" i="5"/>
  <c r="L5" i="5"/>
  <c r="AB16" i="5" l="1"/>
  <c r="AA16" i="5"/>
  <c r="AB13" i="5"/>
  <c r="AA13" i="5"/>
  <c r="AB5" i="5"/>
  <c r="AA5" i="5"/>
  <c r="AB9" i="5"/>
  <c r="AA9" i="5"/>
  <c r="G5" i="5"/>
  <c r="D34" i="1"/>
  <c r="D31" i="1"/>
  <c r="D28" i="1"/>
  <c r="D25" i="1"/>
  <c r="I35" i="1"/>
  <c r="I32" i="1"/>
  <c r="I29" i="1"/>
  <c r="I26" i="1"/>
  <c r="N26" i="4" l="1"/>
  <c r="N27" i="4" s="1"/>
  <c r="G26" i="4"/>
  <c r="G27" i="4" s="1"/>
  <c r="U29" i="4"/>
  <c r="U30" i="4" s="1"/>
  <c r="Z30" i="4"/>
  <c r="N29" i="4"/>
  <c r="N30" i="4" s="1"/>
  <c r="G29" i="4"/>
  <c r="G30" i="4" s="1"/>
  <c r="G23" i="4"/>
  <c r="G24" i="4" s="1"/>
  <c r="G20" i="4"/>
  <c r="G21" i="4" s="1"/>
  <c r="S27" i="4"/>
  <c r="L27" i="4"/>
  <c r="S30" i="4"/>
  <c r="L30" i="4"/>
  <c r="L24" i="4"/>
  <c r="L21" i="4"/>
  <c r="Z15" i="4" l="1"/>
  <c r="G14" i="4"/>
  <c r="G15" i="4" s="1"/>
  <c r="Z12" i="4"/>
  <c r="L12" i="4"/>
  <c r="G11" i="4"/>
  <c r="G12" i="4" s="1"/>
  <c r="Z9" i="4"/>
  <c r="S9" i="4"/>
  <c r="L9" i="4"/>
  <c r="N5" i="4"/>
  <c r="N6" i="4" s="1"/>
  <c r="G4" i="4"/>
  <c r="S15" i="4"/>
  <c r="L15" i="4"/>
  <c r="S12" i="4"/>
  <c r="S5" i="4"/>
  <c r="L5" i="4"/>
  <c r="AA9" i="4" l="1"/>
  <c r="AB9" i="4"/>
  <c r="AA5" i="4"/>
  <c r="AB5" i="4"/>
  <c r="AA15" i="4"/>
  <c r="AB15" i="4"/>
  <c r="AB12" i="4"/>
  <c r="AA12" i="4"/>
  <c r="G5" i="4"/>
  <c r="E9" i="3"/>
  <c r="F29" i="2"/>
  <c r="F30" i="2" s="1"/>
  <c r="M26" i="2"/>
  <c r="M27" i="2" s="1"/>
  <c r="F26" i="2"/>
  <c r="F27" i="2" s="1"/>
  <c r="U23" i="2"/>
  <c r="U22" i="2" s="1"/>
  <c r="Z24" i="2"/>
  <c r="M23" i="2"/>
  <c r="M24" i="2" s="1"/>
  <c r="F23" i="2"/>
  <c r="F24" i="2" s="1"/>
  <c r="M20" i="2"/>
  <c r="M21" i="2" s="1"/>
  <c r="F20" i="2"/>
  <c r="F21" i="2" s="1"/>
  <c r="R30" i="2"/>
  <c r="K30" i="2"/>
  <c r="R27" i="2"/>
  <c r="K27" i="2"/>
  <c r="R24" i="2"/>
  <c r="K24" i="2"/>
  <c r="R21" i="2"/>
  <c r="K21" i="2"/>
  <c r="M15" i="2" l="1"/>
  <c r="M16" i="2" s="1"/>
  <c r="F15" i="2"/>
  <c r="F16" i="2" s="1"/>
  <c r="M12" i="2"/>
  <c r="M13" i="2" s="1"/>
  <c r="F12" i="2"/>
  <c r="F13" i="2" s="1"/>
  <c r="U9" i="2"/>
  <c r="Z10" i="2"/>
  <c r="M9" i="2"/>
  <c r="M10" i="2" s="1"/>
  <c r="F9" i="2"/>
  <c r="F10" i="2" s="1"/>
  <c r="M5" i="2"/>
  <c r="M6" i="2" s="1"/>
  <c r="F5" i="2" l="1"/>
  <c r="F6" i="2" s="1"/>
  <c r="F41" i="1"/>
  <c r="F42" i="1" s="1"/>
  <c r="R16" i="2" l="1"/>
  <c r="T16" i="2" s="1"/>
  <c r="K16" i="2"/>
  <c r="R13" i="2"/>
  <c r="R10" i="2"/>
  <c r="K10" i="2"/>
  <c r="S10" i="2" s="1"/>
  <c r="R7" i="2"/>
  <c r="K7" i="2"/>
  <c r="S7" i="2" s="1"/>
  <c r="T10" i="2" l="1"/>
  <c r="S13" i="2"/>
  <c r="T13" i="2"/>
  <c r="S16" i="2"/>
  <c r="T7" i="2"/>
  <c r="M51" i="1"/>
  <c r="M52" i="1" s="1"/>
  <c r="R52" i="1"/>
  <c r="T52" i="1" s="1"/>
  <c r="F51" i="1"/>
  <c r="F52" i="1" s="1"/>
  <c r="M48" i="1"/>
  <c r="M49" i="1" s="1"/>
  <c r="R49" i="1"/>
  <c r="F48" i="1"/>
  <c r="F49" i="1" s="1"/>
  <c r="T9" i="1"/>
  <c r="Y10" i="1"/>
  <c r="M45" i="1"/>
  <c r="M46" i="1" s="1"/>
  <c r="R46" i="1"/>
  <c r="T46" i="1" s="1"/>
  <c r="F45" i="1"/>
  <c r="F46" i="1" s="1"/>
  <c r="M41" i="1"/>
  <c r="M42" i="1" s="1"/>
  <c r="R43" i="1"/>
  <c r="K52" i="1"/>
  <c r="K49" i="1"/>
  <c r="S49" i="1" s="1"/>
  <c r="K46" i="1"/>
  <c r="K43" i="1"/>
  <c r="S43" i="1" s="1"/>
  <c r="S46" i="1" l="1"/>
  <c r="S52" i="1"/>
  <c r="T49" i="1"/>
  <c r="T43" i="1"/>
  <c r="G39" i="1"/>
  <c r="H39" i="1" s="1"/>
</calcChain>
</file>

<file path=xl/sharedStrings.xml><?xml version="1.0" encoding="utf-8"?>
<sst xmlns="http://schemas.openxmlformats.org/spreadsheetml/2006/main" count="1179" uniqueCount="150">
  <si>
    <t>Crystal (20mg/20g)</t>
  </si>
  <si>
    <t>Time (s)</t>
  </si>
  <si>
    <t>Power (W)</t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</si>
  <si>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</si>
  <si>
    <t>T</t>
  </si>
  <si>
    <t>∆T</t>
  </si>
  <si>
    <t>SiL-250 (20mg/20g)</t>
  </si>
  <si>
    <t>SiL-90 (20mg/20g)</t>
  </si>
  <si>
    <t>SiL-40 (20mg/20g)</t>
  </si>
  <si>
    <t>Crystal (40mg/20g)</t>
  </si>
  <si>
    <t>SiL-250 (40mg/20g)</t>
  </si>
  <si>
    <t>SiL-90 (40mg/20g)</t>
  </si>
  <si>
    <t>SiL-40 (40mg/20g)</t>
  </si>
  <si>
    <t>MWCNT (mg)</t>
  </si>
  <si>
    <t>Sil250</t>
  </si>
  <si>
    <t>Crystal (60mg/20g)</t>
  </si>
  <si>
    <t>SiL-250 (60mg/20g)</t>
  </si>
  <si>
    <t>SiL-90 (60mg/20g)</t>
  </si>
  <si>
    <t>SiL-40 (60mg/20g)</t>
  </si>
  <si>
    <t>Sand+CTAB (No MWCNT)</t>
  </si>
  <si>
    <t xml:space="preserve">Crystal </t>
  </si>
  <si>
    <t xml:space="preserve">SiL-250 </t>
  </si>
  <si>
    <t xml:space="preserve">SiL-90 </t>
  </si>
  <si>
    <t xml:space="preserve">SiL-40 </t>
  </si>
  <si>
    <t>Crystal (80mg/20g)</t>
  </si>
  <si>
    <t>SiL-250 (80mg/20g)</t>
  </si>
  <si>
    <t>SiL-90 (80mg/20g)</t>
  </si>
  <si>
    <t>SiL-40 (80mg/20g)</t>
  </si>
  <si>
    <t>Crystal (100mg/20g)</t>
  </si>
  <si>
    <t>SiL-250 (100mg/20g)</t>
  </si>
  <si>
    <t>SiL-90 (100mg/20g)</t>
  </si>
  <si>
    <t>SiL-40 (100mg/20g)</t>
  </si>
  <si>
    <t>Crystal (120mg/20g)</t>
  </si>
  <si>
    <t>SiL-250 (120mg/20g)</t>
  </si>
  <si>
    <t>SiL-90 (120mg/20g)</t>
  </si>
  <si>
    <t>SiL-40 (120mg/20g)</t>
  </si>
  <si>
    <t>MWCNT</t>
  </si>
  <si>
    <t>Mass</t>
  </si>
  <si>
    <t>Delta T</t>
  </si>
  <si>
    <t>Drymix</t>
  </si>
  <si>
    <t>SDBS</t>
  </si>
  <si>
    <t>Crystal (140mg/20g)</t>
  </si>
  <si>
    <t>SiL-250 (140mg/20g)</t>
  </si>
  <si>
    <t>SiL-90 (140mg/20g)</t>
  </si>
  <si>
    <t>Sil90</t>
  </si>
  <si>
    <t>SiL-40 (140mg/20g)</t>
  </si>
  <si>
    <t>sil40</t>
  </si>
  <si>
    <r>
      <t>T</t>
    </r>
    <r>
      <rPr>
        <vertAlign val="subscript"/>
        <sz val="11"/>
        <color rgb="FFFF0000"/>
        <rFont val="Calibri"/>
        <family val="2"/>
        <scheme val="minor"/>
      </rPr>
      <t>o</t>
    </r>
  </si>
  <si>
    <t>SiL90</t>
  </si>
  <si>
    <t>SiL40</t>
  </si>
  <si>
    <t>mass</t>
  </si>
  <si>
    <t>delta T</t>
  </si>
  <si>
    <t>CTAB/Crystal</t>
  </si>
  <si>
    <t>Validation</t>
  </si>
  <si>
    <t>MWCNT Added (mg)</t>
  </si>
  <si>
    <t>Calibration curve:</t>
  </si>
  <si>
    <t>y=21.899x+2.0194</t>
  </si>
  <si>
    <t>Difference (%)</t>
  </si>
  <si>
    <t>CTAB/MWCNT-Crystal</t>
  </si>
  <si>
    <t>SWCNT/CTAB</t>
  </si>
  <si>
    <t>crystal 40mg/20g</t>
  </si>
  <si>
    <t>4mg mwcnt/20g sand</t>
  </si>
  <si>
    <t>soil</t>
  </si>
  <si>
    <t>Reading from curves (mg)</t>
    <phoneticPr fontId="3" type="noConversion"/>
  </si>
  <si>
    <t>100W20S</t>
    <phoneticPr fontId="3" type="noConversion"/>
  </si>
  <si>
    <t>130W20S</t>
    <phoneticPr fontId="3" type="noConversion"/>
  </si>
  <si>
    <t>130W30S</t>
    <phoneticPr fontId="3" type="noConversion"/>
  </si>
  <si>
    <t>133W, 15sec</t>
  </si>
  <si>
    <t>Low Concentration</t>
  </si>
  <si>
    <t>df=</t>
  </si>
  <si>
    <r>
      <t>t</t>
    </r>
    <r>
      <rPr>
        <vertAlign val="subscript"/>
        <sz val="11"/>
        <color theme="1"/>
        <rFont val="Times New Roman"/>
        <family val="1"/>
      </rPr>
      <t>0.99</t>
    </r>
  </si>
  <si>
    <t>MDL=STD*t value=</t>
  </si>
  <si>
    <t>mgMWCNT/0.1gsoil</t>
  </si>
  <si>
    <t>MWCNT(mg)</t>
  </si>
  <si>
    <t>∆T (℃)</t>
  </si>
  <si>
    <t>Sample1</t>
  </si>
  <si>
    <t>Sample2</t>
  </si>
  <si>
    <t>Sample3</t>
  </si>
  <si>
    <t>Sample4</t>
  </si>
  <si>
    <t>Sample5</t>
  </si>
  <si>
    <t>Sample6</t>
  </si>
  <si>
    <t>Sample7</t>
  </si>
  <si>
    <t>STD</t>
  </si>
  <si>
    <t>SWCNT(mg)</t>
  </si>
  <si>
    <t>M-COOH</t>
  </si>
  <si>
    <t>M-COOH(mg)</t>
  </si>
  <si>
    <t>ugMWCNT/gsand</t>
  </si>
  <si>
    <t>ugSWCNT/gsand</t>
  </si>
  <si>
    <t>ugM-COOH/gsand</t>
  </si>
  <si>
    <t>AVE</t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</si>
  <si>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</si>
  <si>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</si>
  <si>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</si>
  <si>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</si>
  <si>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Yang He</t>
  </si>
  <si>
    <t>Balances: AB54, used for weighing CNTs and environmental samples in nanohood</t>
    <phoneticPr fontId="1" type="noConversion"/>
  </si>
  <si>
    <t>Microwave induced heating system: Lab 131. Microwave condition: Power /Time</t>
  </si>
  <si>
    <t>Abbreviations</t>
    <phoneticPr fontId="1" type="noConversion"/>
  </si>
  <si>
    <t>CNT: Carbon nanotubes</t>
    <phoneticPr fontId="1" type="noConversion"/>
  </si>
  <si>
    <t>MWCNT:Multi walled CNT</t>
    <phoneticPr fontId="1" type="noConversion"/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</si>
  <si>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: initial temperature of the sample before the microwave irradiation</t>
    </r>
  </si>
  <si>
    <t>T: final temperature of the sample after the microwave irradiation</t>
  </si>
  <si>
    <r>
      <rPr>
        <sz val="11"/>
        <color theme="1"/>
        <rFont val="Calibri"/>
        <family val="2"/>
      </rPr>
      <t>∆T: temperautre changes between the T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and T</t>
    </r>
  </si>
  <si>
    <t>Power: microwave energy power</t>
  </si>
  <si>
    <t>Time: microwave exposure time</t>
  </si>
  <si>
    <t>CTAB: Cetyltrimethylammonium bromide</t>
    <phoneticPr fontId="3" type="noConversion"/>
  </si>
  <si>
    <t>Sample mass(g)</t>
    <phoneticPr fontId="3" type="noConversion"/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</si>
  <si>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3"/>
        <charset val="134"/>
        <scheme val="minor"/>
      </rPr>
      <t>(◦C)</t>
    </r>
    <phoneticPr fontId="3" type="noConversion"/>
  </si>
  <si>
    <t>T (◦C)</t>
    <phoneticPr fontId="3" type="noConversion"/>
  </si>
  <si>
    <t>∆T (◦C)</t>
    <phoneticPr fontId="3" type="noConversion"/>
  </si>
  <si>
    <t>5-1-2015 Microwave resposne of sand plus surfactant CTAB</t>
    <phoneticPr fontId="3" type="noConversion"/>
  </si>
  <si>
    <t>Analyst:Yang He</t>
    <phoneticPr fontId="3" type="noConversion"/>
  </si>
  <si>
    <t>CTAB (0.1%) was used to disperse MWCNT, then the dispersion was mixed with sand</t>
    <phoneticPr fontId="3" type="noConversion"/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</si>
  <si>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3"/>
        <charset val="134"/>
        <scheme val="minor"/>
      </rPr>
      <t>(◦C)</t>
    </r>
    <phoneticPr fontId="3" type="noConversion"/>
  </si>
  <si>
    <t>T (◦C)</t>
    <phoneticPr fontId="3" type="noConversion"/>
  </si>
  <si>
    <t>∆T (◦C)</t>
    <phoneticPr fontId="3" type="noConversion"/>
  </si>
  <si>
    <t>MWCNT mass (mg)</t>
    <phoneticPr fontId="3" type="noConversion"/>
  </si>
  <si>
    <t>Replicate 1</t>
    <phoneticPr fontId="3" type="noConversion"/>
  </si>
  <si>
    <t>Replicate 2</t>
    <phoneticPr fontId="3" type="noConversion"/>
  </si>
  <si>
    <t>ave</t>
    <phoneticPr fontId="3" type="noConversion"/>
  </si>
  <si>
    <t>std</t>
    <phoneticPr fontId="3" type="noConversion"/>
  </si>
  <si>
    <r>
      <t>T</t>
    </r>
    <r>
      <rPr>
        <vertAlign val="subscript"/>
        <sz val="11"/>
        <color rgb="FF7030A0"/>
        <rFont val="Calibri"/>
        <family val="2"/>
        <scheme val="minor"/>
      </rPr>
      <t>o</t>
    </r>
  </si>
  <si>
    <t>Replicate 3</t>
    <phoneticPr fontId="3" type="noConversion"/>
  </si>
  <si>
    <t>5/11/2015 Microwave response of CTAB dispersed MWCNT in sand (Stock2-CTAB)</t>
    <phoneticPr fontId="3" type="noConversion"/>
  </si>
  <si>
    <t>5/26/2015 Microwave response of CTAB dispersed MWCNT in sand (Stock 4-CTAB)</t>
    <phoneticPr fontId="3" type="noConversion"/>
  </si>
  <si>
    <t>5/18/2015 Micrwave response of CTAB dispersed MWCNT in sand (Stock3-CTAB)</t>
    <phoneticPr fontId="3" type="noConversion"/>
  </si>
  <si>
    <t>5/19/2015 Micrwave response of CTAB dispersed MWCNT in sand (Stock3-CTAB)</t>
    <phoneticPr fontId="3" type="noConversion"/>
  </si>
  <si>
    <t>5/13/2015 Microwave response of CTAB dispersed MWCNT in sand (Stock2-CTAB)</t>
    <phoneticPr fontId="3" type="noConversion"/>
  </si>
  <si>
    <t>5-8-2015 Microwave response of CTAB suspended MWCNT in sand samples (Stock1-CTAB)</t>
    <phoneticPr fontId="3" type="noConversion"/>
  </si>
  <si>
    <t>6/1/2015 Microwave response of CTAB dispersed MWCNT in sand (Stock 5-CTAB)</t>
    <phoneticPr fontId="3" type="noConversion"/>
  </si>
  <si>
    <t>6/2/2015 Microwave response of CTAB dispersed MWCNT in sand (Stock 5-CTAB)</t>
    <phoneticPr fontId="3" type="noConversion"/>
  </si>
  <si>
    <t>6/11/2015 Microwave response of CTAB dispersed MWCNT in sand (Stock 6-CTAB)</t>
    <phoneticPr fontId="3" type="noConversion"/>
  </si>
  <si>
    <t>7/8/2015 Microwave response of CTAB dispersed MWCNT in sand (Stock 7-CTAB)</t>
    <phoneticPr fontId="3" type="noConversion"/>
  </si>
  <si>
    <t>Replicate 4</t>
    <phoneticPr fontId="3" type="noConversion"/>
  </si>
  <si>
    <t>Replicate 5</t>
    <phoneticPr fontId="3" type="noConversion"/>
  </si>
  <si>
    <t>10/27/2015 Microwave response of MWCNT (dispersed by CTAB) in crystal sand</t>
  </si>
  <si>
    <t>Analyst:Yang He</t>
  </si>
  <si>
    <t>replicate1</t>
  </si>
  <si>
    <t>replicate2</t>
  </si>
  <si>
    <t>replicate3</t>
  </si>
  <si>
    <t>replicate4</t>
  </si>
  <si>
    <t>replicate5</t>
  </si>
  <si>
    <t>replicate6</t>
  </si>
  <si>
    <t>replicate7</t>
  </si>
  <si>
    <t>replicate8</t>
  </si>
  <si>
    <r>
      <t>T</t>
    </r>
    <r>
      <rPr>
        <vertAlign val="subscript"/>
        <sz val="11"/>
        <rFont val="Times New Roman"/>
        <family val="1"/>
      </rPr>
      <t>o</t>
    </r>
  </si>
  <si>
    <t>11/17/2015 Microwave response of MWCNT (dispersed by CTAB) in crystal sand</t>
  </si>
  <si>
    <t>8.1mgMWCNT/20gsand</t>
  </si>
  <si>
    <t>12.2mg/20gsand</t>
  </si>
  <si>
    <t>11/30/2015 Microwave response of MWCNT (dispersed by CTAB) in crystal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</si>
</sst>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vertAlign val="subscript"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1"/>
      <color rgb="FF00B050"/>
      <name val="Times New Roman"/>
      <family val="1"/>
    </font>
    <font>
      <vertAlign val="subscript"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7030A0"/>
      <name val="Times New Roman"/>
      <family val="1"/>
    </font>
    <font>
      <vertAlign val="subscript"/>
      <sz val="11"/>
      <color theme="1"/>
      <name val="Calibri"/>
      <family val="2"/>
    </font>
    <font>
      <sz val="11"/>
      <color theme="1"/>
      <name val="Calibri"/>
      <family val="3"/>
      <charset val="134"/>
      <scheme val="minor"/>
    </font>
    <font>
      <sz val="11"/>
      <color rgb="FF7030A0"/>
      <name val="Calibri"/>
      <family val="2"/>
      <scheme val="minor"/>
    </font>
    <font>
      <vertAlign val="subscript"/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sz val="11"/>
      <name val="Times New Roman"/>
      <family val="1"/>
    </font>
    <font>
      <vertAlign val="subscript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3" xfId="0" applyFill="1" applyBorder="1"/>
    <xf numFmtId="0" fontId="4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4" fillId="0" borderId="0" xfId="0" applyNumberFormat="1" applyFont="1"/>
    <xf numFmtId="0" fontId="0" fillId="0" borderId="4" xfId="0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2" borderId="0" xfId="0" applyFont="1" applyFill="1" applyAlignment="1">
      <alignment horizontal="center"/>
    </xf>
    <xf numFmtId="0" fontId="10" fillId="0" borderId="3" xfId="0" applyFont="1" applyBorder="1"/>
    <xf numFmtId="0" fontId="10" fillId="0" borderId="5" xfId="0" applyFont="1" applyBorder="1"/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11" xfId="0" applyBorder="1"/>
    <xf numFmtId="0" fontId="0" fillId="0" borderId="0" xfId="0" applyBorder="1"/>
    <xf numFmtId="0" fontId="9" fillId="0" borderId="3" xfId="0" applyFont="1" applyBorder="1"/>
    <xf numFmtId="0" fontId="0" fillId="0" borderId="4" xfId="0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8" fillId="3" borderId="7" xfId="0" applyFont="1" applyFill="1" applyBorder="1"/>
    <xf numFmtId="0" fontId="8" fillId="3" borderId="11" xfId="0" applyFont="1" applyFill="1" applyBorder="1"/>
    <xf numFmtId="0" fontId="8" fillId="3" borderId="8" xfId="0" applyFont="1" applyFill="1" applyBorder="1"/>
    <xf numFmtId="0" fontId="8" fillId="3" borderId="3" xfId="0" applyFont="1" applyFill="1" applyBorder="1"/>
    <xf numFmtId="0" fontId="8" fillId="3" borderId="0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8" fillId="3" borderId="9" xfId="0" applyFont="1" applyFill="1" applyBorder="1"/>
    <xf numFmtId="0" fontId="8" fillId="3" borderId="6" xfId="0" applyFont="1" applyFill="1" applyBorder="1"/>
    <xf numFmtId="0" fontId="8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8" fillId="2" borderId="0" xfId="0" applyFont="1" applyFill="1"/>
    <xf numFmtId="0" fontId="8" fillId="0" borderId="7" xfId="0" applyFont="1" applyBorder="1"/>
    <xf numFmtId="0" fontId="8" fillId="0" borderId="8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0" xfId="0" applyFont="1"/>
    <xf numFmtId="0" fontId="0" fillId="4" borderId="0" xfId="0" applyFill="1"/>
    <xf numFmtId="16" fontId="0" fillId="4" borderId="0" xfId="0" applyNumberFormat="1" applyFill="1"/>
    <xf numFmtId="0" fontId="0" fillId="0" borderId="0" xfId="0" applyFont="1" applyAlignment="1"/>
    <xf numFmtId="16" fontId="16" fillId="0" borderId="0" xfId="0" applyNumberFormat="1" applyFont="1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5" fillId="4" borderId="0" xfId="0" applyNumberFormat="1" applyFont="1" applyFill="1"/>
    <xf numFmtId="0" fontId="5" fillId="4" borderId="0" xfId="0" applyFont="1" applyFill="1"/>
    <xf numFmtId="0" fontId="19" fillId="0" borderId="0" xfId="0" applyFont="1"/>
    <xf numFmtId="0" fontId="19" fillId="0" borderId="3" xfId="0" applyFont="1" applyBorder="1"/>
    <xf numFmtId="0" fontId="19" fillId="0" borderId="0" xfId="0" applyFont="1" applyBorder="1"/>
    <xf numFmtId="0" fontId="19" fillId="0" borderId="7" xfId="0" applyFont="1" applyBorder="1"/>
    <xf numFmtId="0" fontId="19" fillId="0" borderId="11" xfId="0" applyFont="1" applyBorder="1"/>
    <xf numFmtId="0" fontId="19" fillId="0" borderId="5" xfId="0" applyFont="1" applyFill="1" applyBorder="1"/>
    <xf numFmtId="0" fontId="19" fillId="0" borderId="9" xfId="0" applyFont="1" applyFill="1" applyBorder="1"/>
    <xf numFmtId="0" fontId="19" fillId="0" borderId="9" xfId="0" applyFont="1" applyBorder="1"/>
    <xf numFmtId="0" fontId="19" fillId="0" borderId="0" xfId="0" applyFont="1" applyFill="1" applyBorder="1"/>
    <xf numFmtId="0" fontId="19" fillId="0" borderId="1" xfId="0" applyFont="1" applyBorder="1"/>
    <xf numFmtId="0" fontId="19" fillId="0" borderId="10" xfId="0" applyFont="1" applyBorder="1"/>
    <xf numFmtId="16" fontId="19" fillId="4" borderId="0" xfId="0" applyNumberFormat="1" applyFont="1" applyFill="1"/>
    <xf numFmtId="0" fontId="19" fillId="0" borderId="6" xfId="0" applyFont="1" applyBorder="1"/>
    <xf numFmtId="16" fontId="1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 -Crystal sand</a:t>
            </a:r>
          </a:p>
        </c:rich>
      </c:tx>
      <c:layout>
        <c:manualLayout>
          <c:xMode val="edge"/>
          <c:yMode val="edge"/>
          <c:x val="0.32507498400155815"/>
          <c:y val="1.296026248031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60381268130957"/>
          <c:y val="6.6965295916100676E-2"/>
          <c:w val="0.84203018372703409"/>
          <c:h val="0.77281771808127631"/>
        </c:manualLayout>
      </c:layout>
      <c:scatterChart>
        <c:scatterStyle val="lineMarker"/>
        <c:varyColors val="0"/>
        <c:ser>
          <c:idx val="3"/>
          <c:order val="3"/>
          <c:tx>
            <c:v>100W, 20s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4881417504063785"/>
                  <c:y val="0.398772121306618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Plot!$E$2:$E$10</c:f>
              <c:numCache>
                <c:formatCode>General</c:formatCode>
                <c:ptCount val="9"/>
                <c:pt idx="0">
                  <c:v>0</c:v>
                </c:pt>
                <c:pt idx="1">
                  <c:v>8.5630407616780699E-4</c:v>
                </c:pt>
                <c:pt idx="2">
                  <c:v>7.8000000000000014E-2</c:v>
                </c:pt>
                <c:pt idx="3">
                  <c:v>5.2000000000000005E-2</c:v>
                </c:pt>
                <c:pt idx="4">
                  <c:v>2.7639999999999998E-2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  <c:pt idx="8">
                  <c:v>0.51200000000000001</c:v>
                </c:pt>
              </c:numCache>
            </c:numRef>
          </c:xVal>
          <c:yVal>
            <c:numRef>
              <c:f>Plot!$F$2:$F$10</c:f>
              <c:numCache>
                <c:formatCode>General</c:formatCode>
                <c:ptCount val="9"/>
                <c:pt idx="0">
                  <c:v>0</c:v>
                </c:pt>
                <c:pt idx="1">
                  <c:v>0.33695252757982175</c:v>
                </c:pt>
                <c:pt idx="2">
                  <c:v>1.7786951140969101</c:v>
                </c:pt>
                <c:pt idx="3">
                  <c:v>1.3043395143697001</c:v>
                </c:pt>
                <c:pt idx="4">
                  <c:v>0.83735217674686169</c:v>
                </c:pt>
                <c:pt idx="5">
                  <c:v>3.4894560867223801</c:v>
                </c:pt>
                <c:pt idx="6">
                  <c:v>8.5324985404311668</c:v>
                </c:pt>
                <c:pt idx="7">
                  <c:v>11.719857109776587</c:v>
                </c:pt>
                <c:pt idx="8">
                  <c:v>15.110709673804624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BB-4B6E-8BF0-BC747C14E5D5}"/>
            </c:ext>
          </c:extLst>
        </c:ser>
        <c:ser>
          <c:idx val="4"/>
          <c:order val="4"/>
          <c:tx>
            <c:v>130W, 20s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4881417504063785"/>
                  <c:y val="0.370652789688417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Plot!$E$2:$E$10</c:f>
              <c:numCache>
                <c:formatCode>General</c:formatCode>
                <c:ptCount val="9"/>
                <c:pt idx="0">
                  <c:v>0</c:v>
                </c:pt>
                <c:pt idx="1">
                  <c:v>8.5630407616780699E-4</c:v>
                </c:pt>
                <c:pt idx="2">
                  <c:v>7.8000000000000014E-2</c:v>
                </c:pt>
                <c:pt idx="3">
                  <c:v>5.2000000000000005E-2</c:v>
                </c:pt>
                <c:pt idx="4">
                  <c:v>2.7639999999999998E-2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  <c:pt idx="8">
                  <c:v>0.51200000000000001</c:v>
                </c:pt>
              </c:numCache>
            </c:numRef>
          </c:xVal>
          <c:yVal>
            <c:numRef>
              <c:f>Plot!$G$2:$G$10</c:f>
              <c:numCache>
                <c:formatCode>General</c:formatCode>
                <c:ptCount val="9"/>
                <c:pt idx="0">
                  <c:v>0</c:v>
                </c:pt>
                <c:pt idx="1">
                  <c:v>0.51678900000000005</c:v>
                </c:pt>
                <c:pt idx="2">
                  <c:v>2.3925875470584299</c:v>
                </c:pt>
                <c:pt idx="3">
                  <c:v>1.5218471897749699</c:v>
                </c:pt>
                <c:pt idx="4">
                  <c:v>1.2157935926791299</c:v>
                </c:pt>
                <c:pt idx="5">
                  <c:v>3.8758400000000002</c:v>
                </c:pt>
                <c:pt idx="6">
                  <c:v>9.7290632000000006</c:v>
                </c:pt>
                <c:pt idx="7">
                  <c:v>15.0859878</c:v>
                </c:pt>
                <c:pt idx="8">
                  <c:v>18.193000000000001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BB-4B6E-8BF0-BC747C14E5D5}"/>
            </c:ext>
          </c:extLst>
        </c:ser>
        <c:ser>
          <c:idx val="5"/>
          <c:order val="5"/>
          <c:tx>
            <c:v>130W, 30s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3977088562086684"/>
                  <c:y val="0.332639224552376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Plot!$E$2:$E$10</c:f>
              <c:numCache>
                <c:formatCode>General</c:formatCode>
                <c:ptCount val="9"/>
                <c:pt idx="0">
                  <c:v>0</c:v>
                </c:pt>
                <c:pt idx="1">
                  <c:v>8.5630407616780699E-4</c:v>
                </c:pt>
                <c:pt idx="2">
                  <c:v>7.8000000000000014E-2</c:v>
                </c:pt>
                <c:pt idx="3">
                  <c:v>5.2000000000000005E-2</c:v>
                </c:pt>
                <c:pt idx="4">
                  <c:v>2.7639999999999998E-2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  <c:pt idx="8">
                  <c:v>0.51200000000000001</c:v>
                </c:pt>
              </c:numCache>
            </c:numRef>
          </c:xVal>
          <c:yVal>
            <c:numRef>
              <c:f>Plot!$H$2:$H$10</c:f>
              <c:numCache>
                <c:formatCode>General</c:formatCode>
                <c:ptCount val="9"/>
                <c:pt idx="0">
                  <c:v>0</c:v>
                </c:pt>
                <c:pt idx="1">
                  <c:v>0.65348790000000001</c:v>
                </c:pt>
                <c:pt idx="2">
                  <c:v>2.7249254399809502</c:v>
                </c:pt>
                <c:pt idx="3">
                  <c:v>1.8963770506607001</c:v>
                </c:pt>
                <c:pt idx="4">
                  <c:v>1.3733493312209468</c:v>
                </c:pt>
                <c:pt idx="5">
                  <c:v>4.7293026999999999</c:v>
                </c:pt>
                <c:pt idx="6">
                  <c:v>11.094783919999999</c:v>
                </c:pt>
                <c:pt idx="7">
                  <c:v>17.159368203</c:v>
                </c:pt>
                <c:pt idx="8">
                  <c:v>21.639852999999999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BB-4B6E-8BF0-BC747C14E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068744"/>
        <c:axId val="64406913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v>DryMix (no surfactant)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rgbClr val="FF6600"/>
                    </a:solidFill>
                    <a:ln w="9525">
                      <a:solidFill>
                        <a:srgbClr val="FF66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0.12161523979113918"/>
                        <c:y val="0.18434005700323314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Plot!$I$7:$I$10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0.12809999999999999</c:v>
                      </c:pt>
                      <c:pt idx="1">
                        <c:v>0.23859999999999998</c:v>
                      </c:pt>
                      <c:pt idx="2">
                        <c:v>0.34260000000000002</c:v>
                      </c:pt>
                      <c:pt idx="3">
                        <c:v>0.52559999999999996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Plot!$J$7:$J$10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0.34654515067013136</c:v>
                      </c:pt>
                      <c:pt idx="1">
                        <c:v>2.208538485082304</c:v>
                      </c:pt>
                      <c:pt idx="2">
                        <c:v>3.748387321733663</c:v>
                      </c:pt>
                      <c:pt idx="3">
                        <c:v>6.6225809826005104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11BB-4B6E-8BF0-BC747C14E5D5}"/>
                  </c:ext>
                </c:extLst>
              </c15:ser>
            </c15:filteredScatterSeries>
            <c15:filteredScatterSeries>
              <c15:ser>
                <c:idx val="0"/>
                <c:order val="1"/>
                <c:tx>
                  <c:v>MWCNT/SDBS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682507442753402E-2"/>
                        <c:y val="0.1929925574893750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Plot!$L$6:$L$12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0.46970297029702979</c:v>
                      </c:pt>
                      <c:pt idx="1">
                        <c:v>0.34957816377171219</c:v>
                      </c:pt>
                      <c:pt idx="2">
                        <c:v>0.25970149253731345</c:v>
                      </c:pt>
                      <c:pt idx="3">
                        <c:v>0.12698254364089775</c:v>
                      </c:pt>
                      <c:pt idx="4">
                        <c:v>0.65876543209876537</c:v>
                      </c:pt>
                      <c:pt idx="5">
                        <c:v>0.71598622725036898</c:v>
                      </c:pt>
                      <c:pt idx="6">
                        <c:v>0.91177042801556429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Plot!$M$6:$M$12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8.6475168852518074</c:v>
                      </c:pt>
                      <c:pt idx="1">
                        <c:v>7.5051565471384691</c:v>
                      </c:pt>
                      <c:pt idx="2">
                        <c:v>6.6314827878166938</c:v>
                      </c:pt>
                      <c:pt idx="3">
                        <c:v>4.4333751161918009</c:v>
                      </c:pt>
                      <c:pt idx="4">
                        <c:v>9.3220585180555897</c:v>
                      </c:pt>
                      <c:pt idx="5">
                        <c:v>9.7085727577550749</c:v>
                      </c:pt>
                      <c:pt idx="6">
                        <c:v>10.499917596573699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1BB-4B6E-8BF0-BC747C14E5D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[1]Plot!$G$2</c15:sqref>
                        </c15:formulaRef>
                      </c:ext>
                    </c:extLst>
                    <c:strCache>
                      <c:ptCount val="1"/>
                      <c:pt idx="0">
                        <c:v>PureMWCNT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[1]Plot!$H$4:$H$10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3.6</c:v>
                      </c:pt>
                      <c:pt idx="1">
                        <c:v>2.7</c:v>
                      </c:pt>
                      <c:pt idx="2">
                        <c:v>3</c:v>
                      </c:pt>
                      <c:pt idx="3">
                        <c:v>3.3</c:v>
                      </c:pt>
                      <c:pt idx="4">
                        <c:v>4.2</c:v>
                      </c:pt>
                      <c:pt idx="5">
                        <c:v>4.0999999999999996</c:v>
                      </c:pt>
                      <c:pt idx="6">
                        <c:v>2.8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[1]Plot!$I$4:$I$10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87.542650851169299</c:v>
                      </c:pt>
                      <c:pt idx="1">
                        <c:v>63.387122058100829</c:v>
                      </c:pt>
                      <c:pt idx="2">
                        <c:v>69.632105954414953</c:v>
                      </c:pt>
                      <c:pt idx="3">
                        <c:v>86.276797132301155</c:v>
                      </c:pt>
                      <c:pt idx="4">
                        <c:v>109.97858553997196</c:v>
                      </c:pt>
                      <c:pt idx="5">
                        <c:v>97.12000025033953</c:v>
                      </c:pt>
                      <c:pt idx="6">
                        <c:v>73.783476578204429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11BB-4B6E-8BF0-BC747C14E5D5}"/>
                  </c:ext>
                </c:extLst>
              </c15:ser>
            </c15:filteredScatterSeries>
          </c:ext>
        </c:extLst>
      </c:scatterChart>
      <c:valAx>
        <c:axId val="64406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69136"/>
        <c:crosses val="autoZero"/>
        <c:crossBetween val="midCat"/>
      </c:valAx>
      <c:valAx>
        <c:axId val="64406913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68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790100442391692"/>
          <c:y val="0.12943590041568845"/>
          <c:w val="0.16269674302570508"/>
          <c:h val="0.21051743532058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MWCNT/CTAB Dispersion</a:t>
            </a:r>
            <a:r>
              <a:rPr lang="en-US" baseline="0"/>
              <a:t> with 4 types sands</a:t>
            </a:r>
            <a:endParaRPr lang="en-US"/>
          </a:p>
        </c:rich>
      </c:tx>
      <c:layout>
        <c:manualLayout>
          <c:xMode val="edge"/>
          <c:yMode val="edge"/>
          <c:x val="0.38055345209508395"/>
          <c:y val="9.60063230732522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50703498128308"/>
          <c:y val="8.2721233919834089E-2"/>
          <c:w val="0.84328018372703406"/>
          <c:h val="0.75259950382914464"/>
        </c:manualLayout>
      </c:layout>
      <c:scatterChart>
        <c:scatterStyle val="lineMarker"/>
        <c:varyColors val="0"/>
        <c:ser>
          <c:idx val="3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660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9.7403696878315738E-2"/>
                  <c:y val="-4.75551777618706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Plot!$E$3:$E$10</c:f>
              <c:numCache>
                <c:formatCode>General</c:formatCode>
                <c:ptCount val="8"/>
                <c:pt idx="0">
                  <c:v>8.5630407616780699E-4</c:v>
                </c:pt>
                <c:pt idx="1">
                  <c:v>7.8000000000000014E-2</c:v>
                </c:pt>
                <c:pt idx="2">
                  <c:v>5.2000000000000005E-2</c:v>
                </c:pt>
                <c:pt idx="3">
                  <c:v>2.7639999999999998E-2</c:v>
                </c:pt>
                <c:pt idx="4">
                  <c:v>0.1148</c:v>
                </c:pt>
                <c:pt idx="5">
                  <c:v>0.26200000000000001</c:v>
                </c:pt>
                <c:pt idx="6">
                  <c:v>0.40674937965260549</c:v>
                </c:pt>
                <c:pt idx="7">
                  <c:v>0.51200000000000001</c:v>
                </c:pt>
              </c:numCache>
            </c:numRef>
          </c:xVal>
          <c:yVal>
            <c:numRef>
              <c:f>Plot!$F$3:$F$10</c:f>
              <c:numCache>
                <c:formatCode>General</c:formatCode>
                <c:ptCount val="8"/>
                <c:pt idx="0">
                  <c:v>0.33695252757982175</c:v>
                </c:pt>
                <c:pt idx="1">
                  <c:v>1.7786951140969101</c:v>
                </c:pt>
                <c:pt idx="2">
                  <c:v>1.3043395143697001</c:v>
                </c:pt>
                <c:pt idx="3">
                  <c:v>0.83735217674686169</c:v>
                </c:pt>
                <c:pt idx="4">
                  <c:v>3.4894560867223801</c:v>
                </c:pt>
                <c:pt idx="5">
                  <c:v>8.5324985404311668</c:v>
                </c:pt>
                <c:pt idx="6">
                  <c:v>11.719857109776587</c:v>
                </c:pt>
                <c:pt idx="7">
                  <c:v>15.110709673804624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3-42E0-A5B2-FB48611EE2A6}"/>
            </c:ext>
          </c:extLst>
        </c:ser>
        <c:ser>
          <c:idx val="2"/>
          <c:order val="3"/>
          <c:tx>
            <c:v>SiL250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40554568976750249"/>
                  <c:y val="-5.51366022429014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Plot!$S$7:$S$10</c:f>
              <c:numCache>
                <c:formatCode>General</c:formatCode>
                <c:ptCount val="4"/>
                <c:pt idx="0">
                  <c:v>0.1148</c:v>
                </c:pt>
                <c:pt idx="1">
                  <c:v>0.1653</c:v>
                </c:pt>
                <c:pt idx="2">
                  <c:v>0.29399999999999998</c:v>
                </c:pt>
                <c:pt idx="3">
                  <c:v>0.36720000000000003</c:v>
                </c:pt>
              </c:numCache>
            </c:numRef>
          </c:xVal>
          <c:yVal>
            <c:numRef>
              <c:f>Plot!$T$7:$T$10</c:f>
              <c:numCache>
                <c:formatCode>General</c:formatCode>
                <c:ptCount val="4"/>
                <c:pt idx="0">
                  <c:v>1.8538365873000999</c:v>
                </c:pt>
                <c:pt idx="1">
                  <c:v>3.0879475526778499</c:v>
                </c:pt>
                <c:pt idx="2">
                  <c:v>5.68233352496227</c:v>
                </c:pt>
                <c:pt idx="3">
                  <c:v>6.8544204446328001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73-42E0-A5B2-FB48611EE2A6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010614098769568"/>
                  <c:y val="-0.167657480314960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Plot!$Q$33:$Q$37</c:f>
              <c:numCache>
                <c:formatCode>General</c:formatCode>
                <c:ptCount val="5"/>
                <c:pt idx="0">
                  <c:v>0.22639999999999999</c:v>
                </c:pt>
                <c:pt idx="1">
                  <c:v>0.34920000000000001</c:v>
                </c:pt>
                <c:pt idx="2">
                  <c:v>0.43120000000000003</c:v>
                </c:pt>
                <c:pt idx="3">
                  <c:v>0.48059999999999997</c:v>
                </c:pt>
                <c:pt idx="4">
                  <c:v>0.53</c:v>
                </c:pt>
              </c:numCache>
            </c:numRef>
          </c:xVal>
          <c:yVal>
            <c:numRef>
              <c:f>Plot!$R$33:$R$37</c:f>
              <c:numCache>
                <c:formatCode>General</c:formatCode>
                <c:ptCount val="5"/>
                <c:pt idx="0">
                  <c:v>1.3846423855210439</c:v>
                </c:pt>
                <c:pt idx="1">
                  <c:v>3.79</c:v>
                </c:pt>
                <c:pt idx="2">
                  <c:v>5.0490151948066639</c:v>
                </c:pt>
                <c:pt idx="3">
                  <c:v>6.6267175203592119</c:v>
                </c:pt>
                <c:pt idx="4">
                  <c:v>7.4718151969799607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73-42E0-A5B2-FB48611EE2A6}"/>
            </c:ext>
          </c:extLst>
        </c:ser>
        <c:ser>
          <c:idx val="5"/>
          <c:order val="5"/>
          <c:tx>
            <c:v>Sil40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537558868971166"/>
                  <c:y val="0.211675912670007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Plot!$T$33:$T$37</c:f>
              <c:numCache>
                <c:formatCode>General</c:formatCode>
                <c:ptCount val="5"/>
                <c:pt idx="0">
                  <c:v>0.36620000000000003</c:v>
                </c:pt>
                <c:pt idx="1">
                  <c:v>0.40079999999999999</c:v>
                </c:pt>
                <c:pt idx="2">
                  <c:v>0.47339999999999993</c:v>
                </c:pt>
                <c:pt idx="3">
                  <c:v>0.52300000000000002</c:v>
                </c:pt>
                <c:pt idx="4">
                  <c:v>0.55990000000000006</c:v>
                </c:pt>
              </c:numCache>
            </c:numRef>
          </c:xVal>
          <c:yVal>
            <c:numRef>
              <c:f>Plot!$U$33:$U$37</c:f>
              <c:numCache>
                <c:formatCode>General</c:formatCode>
                <c:ptCount val="5"/>
                <c:pt idx="0">
                  <c:v>2.02</c:v>
                </c:pt>
                <c:pt idx="1">
                  <c:v>2.5</c:v>
                </c:pt>
                <c:pt idx="2">
                  <c:v>4.2659801105249464</c:v>
                </c:pt>
                <c:pt idx="3">
                  <c:v>5.5260238066926171</c:v>
                </c:pt>
                <c:pt idx="4">
                  <c:v>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73-42E0-A5B2-FB48611EE2A6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4283293311740289"/>
                  <c:y val="2.71271772846575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Plot!$A$6:$A$11</c:f>
              <c:numCache>
                <c:formatCode>General</c:formatCode>
                <c:ptCount val="6"/>
                <c:pt idx="0">
                  <c:v>0.1353</c:v>
                </c:pt>
                <c:pt idx="1">
                  <c:v>0.29099999999999998</c:v>
                </c:pt>
                <c:pt idx="2">
                  <c:v>0.3987</c:v>
                </c:pt>
                <c:pt idx="3">
                  <c:v>0.54600000000000004</c:v>
                </c:pt>
                <c:pt idx="4">
                  <c:v>0.69</c:v>
                </c:pt>
                <c:pt idx="5">
                  <c:v>2.76E-2</c:v>
                </c:pt>
              </c:numCache>
            </c:numRef>
          </c:xVal>
          <c:yVal>
            <c:numRef>
              <c:f>Plot!$B$6:$B$11</c:f>
              <c:numCache>
                <c:formatCode>General</c:formatCode>
                <c:ptCount val="6"/>
                <c:pt idx="0">
                  <c:v>3.5869891099327411</c:v>
                </c:pt>
                <c:pt idx="1">
                  <c:v>6.3096176868449199</c:v>
                </c:pt>
                <c:pt idx="2">
                  <c:v>8.8025278629379091</c:v>
                </c:pt>
                <c:pt idx="3">
                  <c:v>11.4973098932093</c:v>
                </c:pt>
                <c:pt idx="4">
                  <c:v>15.1551337632617</c:v>
                </c:pt>
                <c:pt idx="5">
                  <c:v>0.45860493883996706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73-42E0-A5B2-FB48611EE2A6}"/>
            </c:ext>
          </c:extLst>
        </c:ser>
        <c:ser>
          <c:idx val="7"/>
          <c:order val="7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Plot!$A$13:$A$16</c:f>
              <c:numCache>
                <c:formatCode>General</c:formatCode>
                <c:ptCount val="4"/>
                <c:pt idx="0">
                  <c:v>1.584E-2</c:v>
                </c:pt>
                <c:pt idx="1">
                  <c:v>2.9279999999999994E-2</c:v>
                </c:pt>
                <c:pt idx="2">
                  <c:v>4.3726500000000001E-2</c:v>
                </c:pt>
                <c:pt idx="3">
                  <c:v>7.3499999999999996E-2</c:v>
                </c:pt>
              </c:numCache>
            </c:numRef>
          </c:xVal>
          <c:yVal>
            <c:numRef>
              <c:f>Plot!$B$13:$B$16</c:f>
              <c:numCache>
                <c:formatCode>General</c:formatCode>
                <c:ptCount val="4"/>
                <c:pt idx="0">
                  <c:v>1.5681369941316099</c:v>
                </c:pt>
                <c:pt idx="1">
                  <c:v>1.9773601578092701</c:v>
                </c:pt>
                <c:pt idx="2">
                  <c:v>2.4</c:v>
                </c:pt>
                <c:pt idx="3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73-42E0-A5B2-FB48611E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069920"/>
        <c:axId val="64407031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SDBS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[1]Plot!$N$4:$N$12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4.6215139442231087E-2</c:v>
                      </c:pt>
                      <c:pt idx="1">
                        <c:v>0.123</c:v>
                      </c:pt>
                      <c:pt idx="2">
                        <c:v>0.16320000000000001</c:v>
                      </c:pt>
                      <c:pt idx="3">
                        <c:v>0.22600000000000003</c:v>
                      </c:pt>
                      <c:pt idx="4">
                        <c:v>0.16289999999999999</c:v>
                      </c:pt>
                      <c:pt idx="5">
                        <c:v>0.51839999999999997</c:v>
                      </c:pt>
                      <c:pt idx="8">
                        <c:v>73.783447265625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[1]Plot!$O$4:$O$12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0.90310355443381596</c:v>
                      </c:pt>
                      <c:pt idx="1">
                        <c:v>0.68033118130750481</c:v>
                      </c:pt>
                      <c:pt idx="2">
                        <c:v>1.2064353350660539</c:v>
                      </c:pt>
                      <c:pt idx="3">
                        <c:v>0.6726012034774449</c:v>
                      </c:pt>
                      <c:pt idx="4">
                        <c:v>1.1897646599867713</c:v>
                      </c:pt>
                      <c:pt idx="5">
                        <c:v>1.5460886982732021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2A73-42E0-A5B2-FB48611EE2A6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DryMix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[1]Plot!$Q$4:$Q$5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8.1699999999999995E-2</c:v>
                      </c:pt>
                      <c:pt idx="1">
                        <c:v>0.29199999999999998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[1]Plot!$R$4:$R$5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0.15851111164754528</c:v>
                      </c:pt>
                      <c:pt idx="1">
                        <c:v>0.33397229516339522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2A73-42E0-A5B2-FB48611EE2A6}"/>
                  </c:ext>
                </c:extLst>
              </c15:ser>
            </c15:filteredScatterSeries>
          </c:ext>
        </c:extLst>
      </c:scatterChart>
      <c:valAx>
        <c:axId val="6440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262904636920385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70312"/>
        <c:crosses val="autoZero"/>
        <c:crossBetween val="midCat"/>
      </c:valAx>
      <c:valAx>
        <c:axId val="644070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 T (°C)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472029017206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69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3349771819063158"/>
          <c:y val="0.15634361742518035"/>
          <c:w val="0.10080586735168742"/>
          <c:h val="0.43538833214030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SWCNT -Crystal sand</a:t>
            </a:r>
          </a:p>
        </c:rich>
      </c:tx>
      <c:layout>
        <c:manualLayout>
          <c:xMode val="edge"/>
          <c:yMode val="edge"/>
          <c:x val="0.32507498400155815"/>
          <c:y val="1.296026248031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91957833962248"/>
          <c:y val="4.4987165065905221E-2"/>
          <c:w val="0.84203018372703409"/>
          <c:h val="0.77281771808127631"/>
        </c:manualLayout>
      </c:layout>
      <c:scatterChart>
        <c:scatterStyle val="lineMarker"/>
        <c:varyColors val="0"/>
        <c:ser>
          <c:idx val="3"/>
          <c:order val="0"/>
          <c:tx>
            <c:v>100W, 20s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2466736178525623"/>
                  <c:y val="0.307207453028767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Plot!$A$4:$A$11</c:f>
              <c:numCache>
                <c:formatCode>General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0.1353</c:v>
                </c:pt>
                <c:pt idx="3">
                  <c:v>0.29099999999999998</c:v>
                </c:pt>
                <c:pt idx="4">
                  <c:v>0.3987</c:v>
                </c:pt>
                <c:pt idx="5">
                  <c:v>0.54600000000000004</c:v>
                </c:pt>
                <c:pt idx="6">
                  <c:v>0.69</c:v>
                </c:pt>
                <c:pt idx="7">
                  <c:v>2.76E-2</c:v>
                </c:pt>
              </c:numCache>
            </c:numRef>
          </c:xVal>
          <c:yVal>
            <c:numRef>
              <c:f>Plot!$B$4:$B$11</c:f>
              <c:numCache>
                <c:formatCode>General</c:formatCode>
                <c:ptCount val="8"/>
                <c:pt idx="0">
                  <c:v>0.68065961629170668</c:v>
                </c:pt>
                <c:pt idx="1">
                  <c:v>0</c:v>
                </c:pt>
                <c:pt idx="2">
                  <c:v>3.5869891099327411</c:v>
                </c:pt>
                <c:pt idx="3">
                  <c:v>6.3096176868449199</c:v>
                </c:pt>
                <c:pt idx="4">
                  <c:v>8.8025278629379091</c:v>
                </c:pt>
                <c:pt idx="5">
                  <c:v>11.4973098932093</c:v>
                </c:pt>
                <c:pt idx="6">
                  <c:v>15.1551337632617</c:v>
                </c:pt>
                <c:pt idx="7">
                  <c:v>0.45860493883996706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B4-4091-B3B2-A2857306ACCA}"/>
            </c:ext>
          </c:extLst>
        </c:ser>
        <c:ser>
          <c:idx val="4"/>
          <c:order val="1"/>
          <c:tx>
            <c:v>130W, 20s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5584470302446762"/>
                  <c:y val="-1.509965100516281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Plot!$A$4:$A$11</c:f>
              <c:numCache>
                <c:formatCode>General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0.1353</c:v>
                </c:pt>
                <c:pt idx="3">
                  <c:v>0.29099999999999998</c:v>
                </c:pt>
                <c:pt idx="4">
                  <c:v>0.3987</c:v>
                </c:pt>
                <c:pt idx="5">
                  <c:v>0.54600000000000004</c:v>
                </c:pt>
                <c:pt idx="6">
                  <c:v>0.69</c:v>
                </c:pt>
                <c:pt idx="7">
                  <c:v>2.76E-2</c:v>
                </c:pt>
              </c:numCache>
            </c:numRef>
          </c:xVal>
          <c:yVal>
            <c:numRef>
              <c:f>Plot!$C$4:$C$11</c:f>
              <c:numCache>
                <c:formatCode>General</c:formatCode>
                <c:ptCount val="8"/>
                <c:pt idx="0">
                  <c:v>1.2749265384489601</c:v>
                </c:pt>
                <c:pt idx="1">
                  <c:v>0</c:v>
                </c:pt>
                <c:pt idx="2">
                  <c:v>3.85894</c:v>
                </c:pt>
                <c:pt idx="3">
                  <c:v>7.9587599999999998</c:v>
                </c:pt>
                <c:pt idx="4">
                  <c:v>10.587634</c:v>
                </c:pt>
                <c:pt idx="5">
                  <c:v>14.7548902</c:v>
                </c:pt>
                <c:pt idx="6">
                  <c:v>17.892761</c:v>
                </c:pt>
                <c:pt idx="7">
                  <c:v>0.792296417293883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4-4091-B3B2-A2857306ACCA}"/>
            </c:ext>
          </c:extLst>
        </c:ser>
        <c:ser>
          <c:idx val="5"/>
          <c:order val="2"/>
          <c:tx>
            <c:v>130W, 30s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1696225014465911"/>
                  <c:y val="3.19359118571716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Plot!$A$4:$A$11</c:f>
              <c:numCache>
                <c:formatCode>General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0.1353</c:v>
                </c:pt>
                <c:pt idx="3">
                  <c:v>0.29099999999999998</c:v>
                </c:pt>
                <c:pt idx="4">
                  <c:v>0.3987</c:v>
                </c:pt>
                <c:pt idx="5">
                  <c:v>0.54600000000000004</c:v>
                </c:pt>
                <c:pt idx="6">
                  <c:v>0.69</c:v>
                </c:pt>
                <c:pt idx="7">
                  <c:v>2.76E-2</c:v>
                </c:pt>
              </c:numCache>
            </c:numRef>
          </c:xVal>
          <c:yVal>
            <c:numRef>
              <c:f>Plot!$D$4:$D$11</c:f>
              <c:numCache>
                <c:formatCode>General</c:formatCode>
                <c:ptCount val="8"/>
                <c:pt idx="0">
                  <c:v>1.53842636993251</c:v>
                </c:pt>
                <c:pt idx="1">
                  <c:v>0</c:v>
                </c:pt>
                <c:pt idx="2">
                  <c:v>4.5678900000000002</c:v>
                </c:pt>
                <c:pt idx="3">
                  <c:v>9.3786400000000008</c:v>
                </c:pt>
                <c:pt idx="4">
                  <c:v>12.789634</c:v>
                </c:pt>
                <c:pt idx="5">
                  <c:v>18.240279999999998</c:v>
                </c:pt>
                <c:pt idx="6">
                  <c:v>22.382719000000002</c:v>
                </c:pt>
                <c:pt idx="7">
                  <c:v>0.67889297063561982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B4-4091-B3B2-A285730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071096"/>
        <c:axId val="644071488"/>
        <c:extLst/>
      </c:scatterChart>
      <c:valAx>
        <c:axId val="644071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71488"/>
        <c:crosses val="autoZero"/>
        <c:crossBetween val="midCat"/>
      </c:valAx>
      <c:valAx>
        <c:axId val="6440714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4071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11464271400699"/>
          <c:y val="0.60196331227827293"/>
          <c:w val="0.17402002310886061"/>
          <c:h val="0.21051743532058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123823</xdr:colOff>
      <xdr:row>15</xdr:row>
      <xdr:rowOff>28576</xdr:rowOff>
    </xdr:from>
    <xdr:to>
      <xdr:col>12</xdr:col>
      <xdr:colOff>85724</xdr:colOff>
      <xdr:row>35</xdr:row>
      <xdr:rowOff>66676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15</xdr:row>
      <xdr:rowOff>9525</xdr:rowOff>
    </xdr:from>
    <xdr:to>
      <xdr:col>21</xdr:col>
      <xdr:colOff>57150</xdr:colOff>
      <xdr:row>32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14</xdr:row>
      <xdr:rowOff>76200</xdr:rowOff>
    </xdr:from>
    <xdr:to>
      <xdr:col>12</xdr:col>
      <xdr:colOff>95250</xdr:colOff>
      <xdr:row>34</xdr:row>
      <xdr:rowOff>114300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wave/Data/042015%20WetMix%20SDBS%20MWC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1"/>
      <sheetName val="Stock2"/>
      <sheetName val="Stock3"/>
      <sheetName val="Stock 4"/>
      <sheetName val="Stock 5"/>
      <sheetName val="Stock 6"/>
      <sheetName val="Stock7"/>
      <sheetName val="Stock8"/>
      <sheetName val="Stock9"/>
      <sheetName val="Organic Solvent"/>
      <sheetName val="Pl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G2" t="str">
            <v>PureMWCNT</v>
          </cell>
        </row>
        <row r="4">
          <cell r="H4">
            <v>3.6</v>
          </cell>
          <cell r="I4">
            <v>87.542650851169299</v>
          </cell>
          <cell r="N4">
            <v>4.6215139442231087E-2</v>
          </cell>
          <cell r="O4">
            <v>0.90310355443381596</v>
          </cell>
          <cell r="Q4">
            <v>8.1699999999999995E-2</v>
          </cell>
          <cell r="R4">
            <v>0.15851111164754528</v>
          </cell>
        </row>
        <row r="5">
          <cell r="H5">
            <v>2.7</v>
          </cell>
          <cell r="I5">
            <v>63.387122058100829</v>
          </cell>
          <cell r="N5">
            <v>0.123</v>
          </cell>
          <cell r="O5">
            <v>0.68033118130750481</v>
          </cell>
          <cell r="Q5">
            <v>0.29199999999999998</v>
          </cell>
          <cell r="R5">
            <v>0.33397229516339522</v>
          </cell>
        </row>
        <row r="6">
          <cell r="H6">
            <v>3</v>
          </cell>
          <cell r="I6">
            <v>69.632105954414953</v>
          </cell>
          <cell r="N6">
            <v>0.16320000000000001</v>
          </cell>
          <cell r="O6">
            <v>1.2064353350660539</v>
          </cell>
        </row>
        <row r="7">
          <cell r="H7">
            <v>3.3</v>
          </cell>
          <cell r="I7">
            <v>86.276797132301155</v>
          </cell>
          <cell r="N7">
            <v>0.22600000000000003</v>
          </cell>
          <cell r="O7">
            <v>0.6726012034774449</v>
          </cell>
        </row>
        <row r="8">
          <cell r="H8">
            <v>4.2</v>
          </cell>
          <cell r="I8">
            <v>109.97858553997196</v>
          </cell>
          <cell r="N8">
            <v>0.16289999999999999</v>
          </cell>
          <cell r="O8">
            <v>1.1897646599867713</v>
          </cell>
        </row>
        <row r="9">
          <cell r="H9">
            <v>4.0999999999999996</v>
          </cell>
          <cell r="I9">
            <v>97.12000025033953</v>
          </cell>
          <cell r="N9">
            <v>0.51839999999999997</v>
          </cell>
          <cell r="O9">
            <v>1.5460886982732021</v>
          </cell>
        </row>
        <row r="10">
          <cell r="H10">
            <v>2.8</v>
          </cell>
          <cell r="I10">
            <v>73.783476578204429</v>
          </cell>
        </row>
        <row r="12">
          <cell r="N12">
            <v>73.783447265625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28" sqref="A1:XFD1048576"/>
    </sheetView>
  </sheetViews>
  <sheetFormatPr defaultColWidth="9" defaultRowHeight="15"/>
  <cols>
    <col min="1" max="16384" width="9" style="299"/>
  </cols>
  <sheetData>
    <row r="1" spans="1:7">
      <c r="A1" s="267" t="s">
        <v>90</v>
      </c>
      <c r="B1" s="267"/>
      <c r="C1" s="267"/>
      <c r="D1" s="267"/>
      <c r="E1" s="267"/>
      <c r="F1" s="267"/>
      <c r="G1" s="267"/>
    </row>
    <row r="2" spans="1:7">
      <c r="A2" s="267" t="s">
        <v>91</v>
      </c>
      <c r="B2" s="267"/>
      <c r="C2" s="267"/>
      <c r="D2" s="267"/>
      <c r="E2" s="267"/>
      <c r="F2" s="267"/>
      <c r="G2" s="267"/>
    </row>
    <row r="3" spans="1:7">
      <c r="A3" s="267" t="s">
        <v>92</v>
      </c>
      <c r="B3" s="267"/>
      <c r="C3" s="267"/>
      <c r="D3" s="267"/>
      <c r="E3" s="267"/>
      <c r="F3" s="267"/>
      <c r="G3" s="267"/>
    </row>
    <row r="4" spans="1:7">
      <c r="A4" s="267" t="s">
        <v>93</v>
      </c>
      <c r="B4" s="267" t="s">
        <v>94</v>
      </c>
      <c r="C4" s="267"/>
      <c r="D4" s="267"/>
      <c r="E4" s="267"/>
      <c r="F4" s="267"/>
      <c r="G4" s="267"/>
    </row>
    <row r="5" spans="1:7">
      <c r="A5" s="267" t="s">
        <v>95</v>
      </c>
      <c r="B5" s="267"/>
      <c r="C5" s="267"/>
      <c r="D5" s="267"/>
      <c r="E5" s="267"/>
      <c r="F5" s="267"/>
      <c r="G5" s="267"/>
    </row>
    <row r="6" spans="1:7">
      <c r="A6" s="267"/>
      <c r="B6" s="267"/>
      <c r="C6" s="267"/>
      <c r="D6" s="267"/>
      <c r="E6" s="267"/>
      <c r="F6" s="267"/>
      <c r="G6" s="267"/>
    </row>
    <row r="7" spans="1:7">
      <c r="A7" s="267" t="s">
        <v>96</v>
      </c>
      <c r="B7" s="267"/>
      <c r="C7" s="267"/>
      <c r="D7" s="267"/>
      <c r="E7" s="267"/>
      <c r="F7" s="267"/>
      <c r="G7" s="267"/>
    </row>
    <row r="11" spans="1:7">
      <c r="A11" s="331" t="s">
        <v>97</v>
      </c>
      <c r="B11" s="267"/>
      <c r="C11" s="267"/>
    </row>
    <row r="12" spans="1:7">
      <c r="A12" s="267" t="s">
        <v>98</v>
      </c>
      <c r="B12" s="267"/>
      <c r="C12" s="267"/>
    </row>
    <row r="13" spans="1:7">
      <c r="A13" s="267" t="s">
        <v>99</v>
      </c>
      <c r="B13" s="267"/>
      <c r="C13" s="267"/>
    </row>
    <row r="14" spans="1:7" ht="18">
      <c r="A14" s="299" t="s">
        <v>100</v>
      </c>
    </row>
    <row r="15" spans="1:7">
      <c r="A15" s="299" t="s">
        <v>101</v>
      </c>
    </row>
    <row r="16" spans="1:7" ht="18">
      <c r="A16" s="2" t="s">
        <v>102</v>
      </c>
    </row>
    <row r="17" spans="1:1">
      <c r="A17" s="2" t="s">
        <v>103</v>
      </c>
    </row>
    <row r="18" spans="1:1">
      <c r="A18" s="2" t="s">
        <v>104</v>
      </c>
    </row>
    <row r="19" spans="1:1">
      <c r="A19" s="2" t="s">
        <v>105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A28" workbookViewId="0">
      <selection activeCell="N28" sqref="N28:V34"/>
    </sheetView>
  </sheetViews>
  <sheetFormatPr defaultRowHeight="15"/>
  <cols>
    <col min="1" max="1" width="11" customWidth="1"/>
  </cols>
  <sheetData>
    <row r="1" spans="1:33">
      <c r="A1" s="343" t="s">
        <v>135</v>
      </c>
      <c r="B1" s="344"/>
      <c r="C1" s="344"/>
      <c r="D1" s="344"/>
      <c r="E1" s="344"/>
      <c r="F1" s="344"/>
      <c r="G1" s="344"/>
      <c r="H1" s="332"/>
      <c r="I1" t="s">
        <v>136</v>
      </c>
      <c r="L1" s="356" t="s">
        <v>146</v>
      </c>
      <c r="M1" s="344"/>
      <c r="N1" s="344"/>
      <c r="O1" s="344"/>
      <c r="P1" s="344"/>
      <c r="Q1" s="344"/>
      <c r="R1" s="344"/>
      <c r="S1" s="344"/>
      <c r="V1" s="356" t="s">
        <v>149</v>
      </c>
      <c r="W1" s="344"/>
      <c r="X1" s="344"/>
      <c r="Y1" s="344"/>
      <c r="Z1" s="344"/>
      <c r="AA1" s="344"/>
      <c r="AB1" s="344"/>
      <c r="AC1" s="344"/>
    </row>
    <row r="2" spans="1:33">
      <c r="L2" s="299" t="s">
        <v>136</v>
      </c>
    </row>
    <row r="3" spans="1:33">
      <c r="C3" s="291"/>
      <c r="D3" s="345" t="s">
        <v>61</v>
      </c>
      <c r="E3" s="345"/>
      <c r="F3" s="345"/>
      <c r="G3" s="345"/>
      <c r="H3" s="345"/>
      <c r="I3" s="247"/>
      <c r="J3" s="247"/>
      <c r="K3" s="247"/>
    </row>
    <row r="4" spans="1:33" ht="16.5">
      <c r="C4" s="299" t="s">
        <v>106</v>
      </c>
      <c r="D4" s="354" t="s">
        <v>1</v>
      </c>
      <c r="E4" s="355" t="s">
        <v>2</v>
      </c>
      <c r="F4" s="355" t="s">
        <v>145</v>
      </c>
      <c r="G4" s="355" t="s">
        <v>4</v>
      </c>
      <c r="H4" s="355" t="s">
        <v>5</v>
      </c>
      <c r="O4" t="s">
        <v>147</v>
      </c>
      <c r="V4" t="s">
        <v>148</v>
      </c>
    </row>
    <row r="5" spans="1:33" ht="16.5">
      <c r="B5" t="s">
        <v>137</v>
      </c>
      <c r="C5" s="345">
        <f>0.1469-0.0081</f>
        <v>0.13880000000000001</v>
      </c>
      <c r="D5" s="346">
        <v>20</v>
      </c>
      <c r="E5" s="347">
        <v>100</v>
      </c>
      <c r="F5" s="347">
        <v>24.098885750704159</v>
      </c>
      <c r="G5" s="347">
        <v>24.9261525229306</v>
      </c>
      <c r="H5" s="347">
        <f t="shared" ref="H5:H22" si="0">G5-F5</f>
        <v>0.82726677222644085</v>
      </c>
      <c r="N5" s="354" t="s">
        <v>1</v>
      </c>
      <c r="O5" s="355" t="s">
        <v>2</v>
      </c>
      <c r="P5" s="355" t="s">
        <v>145</v>
      </c>
      <c r="Q5" s="355" t="s">
        <v>4</v>
      </c>
      <c r="R5" s="355" t="s">
        <v>5</v>
      </c>
      <c r="S5" s="299"/>
      <c r="T5" s="254"/>
      <c r="U5" s="358"/>
      <c r="V5" s="354" t="s">
        <v>1</v>
      </c>
      <c r="W5" s="355" t="s">
        <v>2</v>
      </c>
      <c r="X5" s="355" t="s">
        <v>145</v>
      </c>
      <c r="Y5" s="355" t="s">
        <v>4</v>
      </c>
      <c r="Z5" s="355" t="s">
        <v>5</v>
      </c>
      <c r="AA5" s="293"/>
    </row>
    <row r="6" spans="1:33">
      <c r="B6" s="299" t="s">
        <v>138</v>
      </c>
      <c r="C6" s="345">
        <f>0.1469-0.0196</f>
        <v>0.1273</v>
      </c>
      <c r="D6" s="346">
        <v>20</v>
      </c>
      <c r="E6" s="347">
        <v>100</v>
      </c>
      <c r="F6" s="347">
        <v>23.391173684070917</v>
      </c>
      <c r="G6" s="347">
        <v>24.171664009789499</v>
      </c>
      <c r="H6" s="347">
        <f t="shared" si="0"/>
        <v>0.78049032571858135</v>
      </c>
      <c r="K6" s="299" t="s">
        <v>137</v>
      </c>
      <c r="L6" s="299" t="s">
        <v>106</v>
      </c>
      <c r="M6" s="254">
        <f>0.1329-0.0065</f>
        <v>0.12639999999999998</v>
      </c>
      <c r="N6" s="348">
        <v>20</v>
      </c>
      <c r="O6" s="349">
        <v>100</v>
      </c>
      <c r="P6" s="345">
        <v>24.432764913604554</v>
      </c>
      <c r="Q6" s="345">
        <v>25.702596199667202</v>
      </c>
      <c r="R6" s="349">
        <f t="shared" ref="R6:R11" si="1">Q6-P6</f>
        <v>1.2698312860626473</v>
      </c>
      <c r="S6" s="299" t="s">
        <v>137</v>
      </c>
      <c r="T6" s="254" t="s">
        <v>106</v>
      </c>
      <c r="U6" s="254">
        <f>0.1239-0.0063</f>
        <v>0.1176</v>
      </c>
      <c r="V6" s="348">
        <v>20</v>
      </c>
      <c r="W6" s="349">
        <v>100</v>
      </c>
      <c r="X6" s="345">
        <v>22.198987590000002</v>
      </c>
      <c r="Y6" s="345">
        <v>23.938929550000001</v>
      </c>
      <c r="Z6" s="349">
        <f t="shared" ref="Z6:Z8" si="2">Y6-X6</f>
        <v>1.7399419599999995</v>
      </c>
      <c r="AA6" s="292"/>
      <c r="AB6" s="299"/>
    </row>
    <row r="7" spans="1:33">
      <c r="B7" s="299" t="s">
        <v>139</v>
      </c>
      <c r="C7" s="345">
        <f>0.1342-0.001</f>
        <v>0.13320000000000001</v>
      </c>
      <c r="D7" s="346">
        <v>20</v>
      </c>
      <c r="E7" s="347">
        <v>100</v>
      </c>
      <c r="F7" s="347">
        <v>23.74898783856559</v>
      </c>
      <c r="G7" s="347">
        <v>24.536778556512498</v>
      </c>
      <c r="H7" s="347">
        <f t="shared" si="0"/>
        <v>0.78779071794690836</v>
      </c>
      <c r="L7" s="299" t="s">
        <v>116</v>
      </c>
      <c r="M7" s="254">
        <f>M6/20*8</f>
        <v>5.0559999999999994E-2</v>
      </c>
      <c r="N7" s="346">
        <v>15</v>
      </c>
      <c r="O7" s="347">
        <v>133</v>
      </c>
      <c r="P7" s="345">
        <v>24.439842965593527</v>
      </c>
      <c r="Q7" s="345">
        <v>25.8616901553685</v>
      </c>
      <c r="R7" s="347">
        <f t="shared" si="1"/>
        <v>1.4218471897749723</v>
      </c>
      <c r="S7" s="299"/>
      <c r="T7" s="254" t="s">
        <v>116</v>
      </c>
      <c r="U7" s="254">
        <f>U6/20*12.2</f>
        <v>7.1735999999999994E-2</v>
      </c>
      <c r="V7" s="346">
        <v>20</v>
      </c>
      <c r="W7" s="347">
        <v>130</v>
      </c>
      <c r="X7" s="345">
        <v>22.539665400000001</v>
      </c>
      <c r="Y7" s="345">
        <v>24.085754099999999</v>
      </c>
      <c r="Z7" s="347">
        <f t="shared" si="2"/>
        <v>1.5460886999999985</v>
      </c>
      <c r="AA7" s="292"/>
      <c r="AB7" s="298"/>
      <c r="AE7" s="299"/>
      <c r="AF7" s="299"/>
      <c r="AG7" s="299"/>
    </row>
    <row r="8" spans="1:33">
      <c r="C8" s="345"/>
      <c r="D8" s="346">
        <v>15</v>
      </c>
      <c r="E8" s="347">
        <v>133</v>
      </c>
      <c r="F8" s="347">
        <v>23.567007396638829</v>
      </c>
      <c r="G8" s="347">
        <v>24.745914473886199</v>
      </c>
      <c r="H8" s="347">
        <f t="shared" si="0"/>
        <v>1.17890707724737</v>
      </c>
      <c r="M8" s="254"/>
      <c r="N8" s="350">
        <v>15</v>
      </c>
      <c r="O8" s="351">
        <v>133</v>
      </c>
      <c r="P8" s="352">
        <v>24.2339756330237</v>
      </c>
      <c r="Q8" s="352">
        <v>25.930352683684401</v>
      </c>
      <c r="R8" s="357">
        <f t="shared" si="1"/>
        <v>1.6963770506607005</v>
      </c>
      <c r="S8" s="299"/>
      <c r="T8" s="254"/>
      <c r="U8" s="254"/>
      <c r="V8" s="350">
        <v>15</v>
      </c>
      <c r="W8" s="351">
        <v>133</v>
      </c>
      <c r="X8" s="352">
        <v>22.532959880409226</v>
      </c>
      <c r="Y8" s="352">
        <v>24.734606578028608</v>
      </c>
      <c r="Z8" s="352">
        <f t="shared" si="2"/>
        <v>2.2016466976193811</v>
      </c>
      <c r="AA8" s="292"/>
      <c r="AE8" s="299"/>
      <c r="AF8" s="299"/>
      <c r="AG8" s="299"/>
    </row>
    <row r="9" spans="1:33">
      <c r="B9" s="299" t="s">
        <v>140</v>
      </c>
      <c r="C9" s="345">
        <f>0.1463-0.0096</f>
        <v>0.13670000000000002</v>
      </c>
      <c r="D9" s="346">
        <v>20</v>
      </c>
      <c r="E9" s="347">
        <v>100</v>
      </c>
      <c r="F9" s="347">
        <v>23.118975199399902</v>
      </c>
      <c r="G9" s="347">
        <v>23.950384822510799</v>
      </c>
      <c r="H9" s="347">
        <f t="shared" si="0"/>
        <v>0.83140962311089694</v>
      </c>
      <c r="K9" s="299" t="s">
        <v>138</v>
      </c>
      <c r="L9" s="299" t="s">
        <v>106</v>
      </c>
      <c r="M9" s="254">
        <f>0.1384</f>
        <v>0.1384</v>
      </c>
      <c r="N9" s="348">
        <v>20</v>
      </c>
      <c r="O9" s="349">
        <v>100</v>
      </c>
      <c r="P9" s="345">
        <v>21.863152644822161</v>
      </c>
      <c r="Q9" s="345">
        <v>23.224560065541272</v>
      </c>
      <c r="R9" s="347">
        <f t="shared" si="1"/>
        <v>1.3614074207191109</v>
      </c>
      <c r="S9" s="299" t="s">
        <v>138</v>
      </c>
      <c r="T9" s="254" t="s">
        <v>106</v>
      </c>
      <c r="U9" s="254">
        <f>0.125-0.0165</f>
        <v>0.1085</v>
      </c>
      <c r="V9" s="348">
        <v>20</v>
      </c>
      <c r="W9" s="349">
        <v>100</v>
      </c>
      <c r="X9" s="345">
        <v>21.97491136</v>
      </c>
      <c r="Y9" s="345">
        <v>23.679369940000001</v>
      </c>
      <c r="Z9" s="349">
        <f t="shared" ref="Z9:Z11" si="3">Y9-X9</f>
        <v>1.7044585800000007</v>
      </c>
      <c r="AA9" s="292"/>
      <c r="AB9" s="295"/>
    </row>
    <row r="10" spans="1:33">
      <c r="C10" s="345"/>
      <c r="D10" s="346">
        <v>15</v>
      </c>
      <c r="E10" s="347">
        <v>133</v>
      </c>
      <c r="F10" s="347">
        <v>23.743027373732762</v>
      </c>
      <c r="G10" s="347">
        <v>24.9533650549272</v>
      </c>
      <c r="H10" s="347">
        <f t="shared" si="0"/>
        <v>1.2103376811944386</v>
      </c>
      <c r="L10" s="299" t="s">
        <v>116</v>
      </c>
      <c r="M10" s="254">
        <f>M9/20*8</f>
        <v>5.5359999999999999E-2</v>
      </c>
      <c r="N10" s="346">
        <v>15</v>
      </c>
      <c r="O10" s="347">
        <v>133</v>
      </c>
      <c r="P10" s="345">
        <v>22.222456915525019</v>
      </c>
      <c r="Q10" s="345">
        <v>23.766589836274971</v>
      </c>
      <c r="R10" s="347">
        <f t="shared" si="1"/>
        <v>1.5441329207499521</v>
      </c>
      <c r="S10" s="299"/>
      <c r="T10" s="254" t="s">
        <v>116</v>
      </c>
      <c r="U10" s="254">
        <f>U9/20*12.2</f>
        <v>6.6184999999999994E-2</v>
      </c>
      <c r="V10" s="346">
        <v>20</v>
      </c>
      <c r="W10" s="347">
        <v>130</v>
      </c>
      <c r="X10" s="345">
        <v>22.196286749999999</v>
      </c>
      <c r="Y10" s="345">
        <v>23.742096050000001</v>
      </c>
      <c r="Z10" s="347">
        <f t="shared" si="3"/>
        <v>1.5458093000000019</v>
      </c>
      <c r="AA10" s="292"/>
      <c r="AB10" s="295"/>
      <c r="AC10" s="299"/>
    </row>
    <row r="11" spans="1:33">
      <c r="B11" s="299" t="s">
        <v>141</v>
      </c>
      <c r="C11" s="345">
        <f>0.1383-0.001</f>
        <v>0.13730000000000001</v>
      </c>
      <c r="D11" s="348">
        <v>20</v>
      </c>
      <c r="E11" s="349">
        <v>100</v>
      </c>
      <c r="F11" s="349">
        <v>24.286454128411652</v>
      </c>
      <c r="G11" s="349">
        <v>25.123806305158514</v>
      </c>
      <c r="H11" s="349">
        <f t="shared" si="0"/>
        <v>0.83735217674686169</v>
      </c>
      <c r="M11" s="254"/>
      <c r="N11" s="350">
        <v>30</v>
      </c>
      <c r="O11" s="351">
        <v>130</v>
      </c>
      <c r="P11" s="352">
        <v>22.559502575367837</v>
      </c>
      <c r="Q11" s="352">
        <v>24.439470436541463</v>
      </c>
      <c r="R11" s="357">
        <f t="shared" si="1"/>
        <v>1.8799678611736255</v>
      </c>
      <c r="S11" s="299"/>
      <c r="T11" s="254"/>
      <c r="U11" s="254"/>
      <c r="V11" s="350">
        <v>15</v>
      </c>
      <c r="W11" s="351">
        <v>133</v>
      </c>
      <c r="X11" s="352">
        <v>22.54171431</v>
      </c>
      <c r="Y11" s="352">
        <v>24.6133934</v>
      </c>
      <c r="Z11" s="352">
        <f t="shared" si="3"/>
        <v>2.0716790899999999</v>
      </c>
      <c r="AA11" s="292"/>
      <c r="AB11" s="295"/>
      <c r="AC11" s="299"/>
    </row>
    <row r="12" spans="1:33">
      <c r="C12" s="345"/>
      <c r="D12" s="346">
        <v>20</v>
      </c>
      <c r="E12" s="347">
        <v>130</v>
      </c>
      <c r="F12" s="345">
        <v>24.104566818747916</v>
      </c>
      <c r="G12" s="345">
        <v>25.12036041142705</v>
      </c>
      <c r="H12" s="347">
        <f t="shared" si="0"/>
        <v>1.0157935926791346</v>
      </c>
      <c r="K12" s="299" t="s">
        <v>139</v>
      </c>
      <c r="L12" s="299" t="s">
        <v>106</v>
      </c>
      <c r="M12" s="254">
        <f>0.1462-0.0016</f>
        <v>0.14460000000000001</v>
      </c>
      <c r="N12" s="348">
        <v>20</v>
      </c>
      <c r="O12" s="349">
        <v>100</v>
      </c>
      <c r="P12" s="345">
        <v>21.678191970479002</v>
      </c>
      <c r="Q12" s="345">
        <v>22.934098448401599</v>
      </c>
      <c r="R12" s="347">
        <f t="shared" ref="R12:R17" si="4">Q12-P12</f>
        <v>1.255906477922597</v>
      </c>
      <c r="S12" s="299" t="s">
        <v>139</v>
      </c>
      <c r="T12" s="254" t="s">
        <v>106</v>
      </c>
      <c r="U12" s="254">
        <f>0.1248-0.0105</f>
        <v>0.1143</v>
      </c>
      <c r="V12" s="348">
        <v>20</v>
      </c>
      <c r="W12" s="349">
        <v>100</v>
      </c>
      <c r="X12" s="345">
        <v>22.199732640000001</v>
      </c>
      <c r="Y12" s="345">
        <v>23.859860260000001</v>
      </c>
      <c r="Z12" s="349">
        <f t="shared" ref="Z12:Z14" si="5">Y12-X12</f>
        <v>1.6601276200000008</v>
      </c>
      <c r="AA12" s="292"/>
    </row>
    <row r="13" spans="1:33">
      <c r="C13" s="345"/>
      <c r="D13" s="350">
        <v>15</v>
      </c>
      <c r="E13" s="351">
        <v>133</v>
      </c>
      <c r="F13" s="352">
        <v>24.395977669714554</v>
      </c>
      <c r="G13" s="352">
        <v>25.769327000935501</v>
      </c>
      <c r="H13" s="352">
        <f t="shared" si="0"/>
        <v>1.3733493312209468</v>
      </c>
      <c r="K13" s="299"/>
      <c r="L13" s="299" t="s">
        <v>116</v>
      </c>
      <c r="M13" s="254">
        <f>M12/20*8</f>
        <v>5.7840000000000003E-2</v>
      </c>
      <c r="N13" s="346">
        <v>15</v>
      </c>
      <c r="O13" s="347">
        <v>133</v>
      </c>
      <c r="P13" s="345">
        <v>21.960568991933417</v>
      </c>
      <c r="Q13" s="345">
        <v>23.4140361198208</v>
      </c>
      <c r="R13" s="347">
        <f t="shared" si="4"/>
        <v>1.4534671278873823</v>
      </c>
      <c r="S13" s="299"/>
      <c r="T13" s="254" t="s">
        <v>116</v>
      </c>
      <c r="U13" s="254">
        <f>U12/20*12.2</f>
        <v>6.9722999999999993E-2</v>
      </c>
      <c r="V13" s="346">
        <v>20</v>
      </c>
      <c r="W13" s="347">
        <v>130</v>
      </c>
      <c r="X13" s="345">
        <v>22.529607120000001</v>
      </c>
      <c r="Y13" s="345">
        <v>24.081470020000001</v>
      </c>
      <c r="Z13" s="347">
        <f t="shared" si="5"/>
        <v>1.5518628999999997</v>
      </c>
      <c r="AA13" s="292"/>
    </row>
    <row r="14" spans="1:33">
      <c r="B14" s="299" t="s">
        <v>142</v>
      </c>
      <c r="C14" s="345">
        <f>0.1368</f>
        <v>0.1368</v>
      </c>
      <c r="D14" s="348">
        <v>20</v>
      </c>
      <c r="E14" s="349">
        <v>100</v>
      </c>
      <c r="F14" s="345">
        <v>24.435465749231913</v>
      </c>
      <c r="G14" s="345">
        <v>25.359337798317529</v>
      </c>
      <c r="H14" s="353">
        <f t="shared" si="0"/>
        <v>0.92387204908561671</v>
      </c>
      <c r="M14" s="254"/>
      <c r="N14" s="350">
        <v>30</v>
      </c>
      <c r="O14" s="351">
        <v>130</v>
      </c>
      <c r="P14" s="352">
        <v>22.190326284785652</v>
      </c>
      <c r="Q14" s="352">
        <v>23.927543367597099</v>
      </c>
      <c r="R14" s="357">
        <f t="shared" si="4"/>
        <v>1.7372170828114477</v>
      </c>
      <c r="S14" s="299"/>
      <c r="T14" s="254"/>
      <c r="U14" s="254"/>
      <c r="V14" s="350">
        <v>15</v>
      </c>
      <c r="W14" s="351">
        <v>133</v>
      </c>
      <c r="X14" s="352">
        <v>22.87224071</v>
      </c>
      <c r="Y14" s="352">
        <v>24.878961589999999</v>
      </c>
      <c r="Z14" s="352">
        <f t="shared" si="5"/>
        <v>2.0067208799999996</v>
      </c>
      <c r="AA14" s="292"/>
    </row>
    <row r="15" spans="1:33">
      <c r="B15" s="299"/>
      <c r="C15" s="345"/>
      <c r="D15" s="346">
        <v>20</v>
      </c>
      <c r="E15" s="347">
        <v>130</v>
      </c>
      <c r="F15" s="345">
        <v>24.429877813451153</v>
      </c>
      <c r="G15" s="345">
        <v>25.543646546819605</v>
      </c>
      <c r="H15" s="353">
        <f t="shared" si="0"/>
        <v>1.1137687333684525</v>
      </c>
      <c r="K15" s="299" t="s">
        <v>140</v>
      </c>
      <c r="L15" s="299" t="s">
        <v>106</v>
      </c>
      <c r="M15" s="254">
        <f>0.1317-0.0009</f>
        <v>0.1308</v>
      </c>
      <c r="N15" s="348">
        <v>20</v>
      </c>
      <c r="O15" s="349">
        <v>100</v>
      </c>
      <c r="P15" s="345">
        <v>22.19339965</v>
      </c>
      <c r="Q15" s="345">
        <v>23.484585339999999</v>
      </c>
      <c r="R15" s="347">
        <f t="shared" si="4"/>
        <v>1.2911856899999989</v>
      </c>
      <c r="S15" s="299" t="s">
        <v>140</v>
      </c>
      <c r="T15" s="254" t="s">
        <v>106</v>
      </c>
      <c r="U15" s="254">
        <f>0.1292-0.0105</f>
        <v>0.11870000000000001</v>
      </c>
      <c r="V15" s="348">
        <v>20</v>
      </c>
      <c r="W15" s="349">
        <v>100</v>
      </c>
      <c r="X15" s="345">
        <v>22.23119037</v>
      </c>
      <c r="Y15" s="345">
        <v>23.945728209360102</v>
      </c>
      <c r="Z15" s="349">
        <f t="shared" ref="Z15:Z17" si="6">Y15-X15</f>
        <v>1.7145378393601014</v>
      </c>
      <c r="AA15" s="292"/>
    </row>
    <row r="16" spans="1:33">
      <c r="B16" s="299"/>
      <c r="C16" s="345"/>
      <c r="D16" s="350">
        <v>15</v>
      </c>
      <c r="E16" s="351">
        <v>133</v>
      </c>
      <c r="F16" s="352">
        <v>24.434068765286721</v>
      </c>
      <c r="G16" s="352">
        <v>25.944953468141158</v>
      </c>
      <c r="H16" s="351">
        <f t="shared" si="0"/>
        <v>1.5108847028544368</v>
      </c>
      <c r="L16" s="299" t="s">
        <v>116</v>
      </c>
      <c r="M16" s="254">
        <f>M15/20*8</f>
        <v>5.2319999999999998E-2</v>
      </c>
      <c r="N16" s="346">
        <v>15</v>
      </c>
      <c r="O16" s="347">
        <v>133</v>
      </c>
      <c r="P16" s="345">
        <v>21.477074383322901</v>
      </c>
      <c r="Q16" s="345">
        <v>22.9822058667067</v>
      </c>
      <c r="R16" s="347">
        <f t="shared" si="4"/>
        <v>1.5051314833837992</v>
      </c>
      <c r="S16" s="299"/>
      <c r="T16" s="254" t="s">
        <v>116</v>
      </c>
      <c r="U16" s="254">
        <f>U15/20*12.2</f>
        <v>7.2407000000000013E-2</v>
      </c>
      <c r="V16" s="346">
        <v>20</v>
      </c>
      <c r="W16" s="347">
        <v>130</v>
      </c>
      <c r="X16" s="345">
        <v>22.875220949999999</v>
      </c>
      <c r="Y16" s="345">
        <v>24.412927740000001</v>
      </c>
      <c r="Z16" s="347">
        <f t="shared" si="6"/>
        <v>1.5377067900000014</v>
      </c>
      <c r="AA16" s="292"/>
    </row>
    <row r="17" spans="1:27">
      <c r="B17" s="299" t="s">
        <v>143</v>
      </c>
      <c r="C17" s="345">
        <f>0.1254-0.008</f>
        <v>0.1174</v>
      </c>
      <c r="D17" s="348">
        <v>20</v>
      </c>
      <c r="E17" s="349">
        <v>100</v>
      </c>
      <c r="F17" s="345">
        <v>25.109091407602509</v>
      </c>
      <c r="G17" s="345">
        <v>25.833332916100801</v>
      </c>
      <c r="H17" s="353">
        <f t="shared" si="0"/>
        <v>0.72424150849829161</v>
      </c>
      <c r="M17" s="254"/>
      <c r="N17" s="350">
        <v>30</v>
      </c>
      <c r="O17" s="351">
        <v>130</v>
      </c>
      <c r="P17" s="352">
        <v>21.85495700567704</v>
      </c>
      <c r="Q17" s="352">
        <v>23.574178580890798</v>
      </c>
      <c r="R17" s="357">
        <f t="shared" si="4"/>
        <v>1.7192215752137585</v>
      </c>
      <c r="S17" s="299"/>
      <c r="T17" s="254"/>
      <c r="U17" s="254"/>
      <c r="V17" s="350">
        <v>15</v>
      </c>
      <c r="W17" s="351">
        <v>133</v>
      </c>
      <c r="X17" s="352">
        <v>23.00365034</v>
      </c>
      <c r="Y17" s="352">
        <v>25.287577850000002</v>
      </c>
      <c r="Z17" s="352">
        <f t="shared" si="6"/>
        <v>2.2839275100000016</v>
      </c>
      <c r="AA17" s="292"/>
    </row>
    <row r="18" spans="1:27">
      <c r="B18" s="299"/>
      <c r="C18" s="345"/>
      <c r="D18" s="346">
        <v>20</v>
      </c>
      <c r="E18" s="347">
        <v>130</v>
      </c>
      <c r="F18" s="345">
        <v>25.015983195065498</v>
      </c>
      <c r="G18" s="345">
        <v>25.9336123128898</v>
      </c>
      <c r="H18" s="353">
        <f t="shared" si="0"/>
        <v>0.91762911782430123</v>
      </c>
      <c r="P18" s="297"/>
      <c r="Q18" s="296"/>
      <c r="S18" s="299"/>
      <c r="T18" s="299"/>
    </row>
    <row r="19" spans="1:27">
      <c r="B19" s="299"/>
      <c r="C19" s="345"/>
      <c r="D19" s="350">
        <v>15</v>
      </c>
      <c r="E19" s="351">
        <v>133</v>
      </c>
      <c r="F19" s="352">
        <v>25.117007649958584</v>
      </c>
      <c r="G19" s="352">
        <v>26.387235515548898</v>
      </c>
      <c r="H19" s="351">
        <f t="shared" si="0"/>
        <v>1.2702278655903143</v>
      </c>
      <c r="S19" s="299"/>
      <c r="T19" s="299"/>
    </row>
    <row r="20" spans="1:27">
      <c r="B20" s="299" t="s">
        <v>144</v>
      </c>
      <c r="C20" s="345">
        <f>0.1329-0.0065</f>
        <v>0.12639999999999998</v>
      </c>
      <c r="D20" s="348">
        <v>20</v>
      </c>
      <c r="E20" s="349">
        <v>100</v>
      </c>
      <c r="F20" s="345">
        <v>24.432764913604554</v>
      </c>
      <c r="G20" s="345">
        <v>25.202596199667202</v>
      </c>
      <c r="H20" s="353">
        <f t="shared" si="0"/>
        <v>0.76983128606264728</v>
      </c>
    </row>
    <row r="21" spans="1:27">
      <c r="A21" s="299"/>
      <c r="C21" s="345"/>
      <c r="D21" s="346">
        <v>20</v>
      </c>
      <c r="E21" s="347">
        <v>130</v>
      </c>
      <c r="F21" s="345">
        <v>24.439842965593527</v>
      </c>
      <c r="G21" s="345">
        <v>25.461690155368462</v>
      </c>
      <c r="H21" s="353">
        <f t="shared" si="0"/>
        <v>1.0218471897749346</v>
      </c>
    </row>
    <row r="22" spans="1:27">
      <c r="C22" s="345"/>
      <c r="D22" s="350">
        <v>15</v>
      </c>
      <c r="E22" s="351">
        <v>133</v>
      </c>
      <c r="F22" s="352">
        <v>24.433975633023724</v>
      </c>
      <c r="G22" s="352">
        <v>25.630352683684379</v>
      </c>
      <c r="H22" s="351">
        <f t="shared" si="0"/>
        <v>1.1963770506606544</v>
      </c>
    </row>
    <row r="26" spans="1:27">
      <c r="D26" s="267" t="s">
        <v>67</v>
      </c>
      <c r="E26" s="267" t="s">
        <v>68</v>
      </c>
      <c r="F26" s="267"/>
      <c r="G26" s="267"/>
      <c r="H26" s="267"/>
      <c r="I26" s="267"/>
      <c r="J26" s="267"/>
      <c r="K26" s="267"/>
    </row>
    <row r="27" spans="1:27">
      <c r="D27" s="267"/>
      <c r="E27" s="267" t="s">
        <v>69</v>
      </c>
      <c r="F27" s="267">
        <v>6</v>
      </c>
      <c r="G27" s="267"/>
      <c r="H27" s="267"/>
      <c r="I27" s="267"/>
      <c r="J27" s="267"/>
      <c r="K27" s="267"/>
    </row>
    <row r="28" spans="1:27" ht="16.5">
      <c r="D28" s="267"/>
      <c r="E28" s="267" t="s">
        <v>70</v>
      </c>
      <c r="F28" s="267">
        <v>3.14</v>
      </c>
      <c r="G28" s="267"/>
      <c r="H28" s="267"/>
      <c r="I28" s="267"/>
      <c r="J28" s="267"/>
      <c r="K28" s="267"/>
      <c r="N28" s="299"/>
      <c r="O28" s="299"/>
      <c r="P28" s="299"/>
      <c r="Q28" s="299"/>
      <c r="R28" s="299"/>
      <c r="S28" s="299"/>
      <c r="T28" s="299"/>
      <c r="U28" s="299"/>
    </row>
    <row r="29" spans="1:27">
      <c r="D29" s="267"/>
      <c r="E29" s="267" t="s">
        <v>71</v>
      </c>
      <c r="F29" s="267"/>
      <c r="G29" s="267">
        <f>3.14*F38</f>
        <v>2.5570396138135526E-3</v>
      </c>
      <c r="H29" s="267" t="s">
        <v>72</v>
      </c>
      <c r="I29" s="267"/>
      <c r="J29" s="267"/>
      <c r="K29" s="267"/>
      <c r="N29" s="299"/>
      <c r="O29" s="299"/>
      <c r="P29" s="299"/>
      <c r="Q29" s="299"/>
      <c r="R29" s="299"/>
      <c r="S29" s="299"/>
      <c r="T29" s="299"/>
      <c r="U29" s="299"/>
    </row>
    <row r="30" spans="1:27" ht="15.75">
      <c r="D30" s="267"/>
      <c r="E30" s="322" t="s">
        <v>73</v>
      </c>
      <c r="F30" s="323" t="s">
        <v>74</v>
      </c>
      <c r="G30" s="324">
        <f>1000*G29/0.135</f>
        <v>18.941034176396684</v>
      </c>
      <c r="H30" s="324" t="s">
        <v>86</v>
      </c>
      <c r="I30" s="324"/>
      <c r="J30" s="267"/>
      <c r="K30" s="267"/>
      <c r="N30" s="299"/>
      <c r="O30" s="299"/>
      <c r="P30" s="299"/>
      <c r="Q30" s="299"/>
      <c r="R30" s="299"/>
      <c r="S30" s="299"/>
      <c r="T30" s="299"/>
      <c r="U30" s="299"/>
    </row>
    <row r="31" spans="1:27">
      <c r="D31" s="267" t="s">
        <v>75</v>
      </c>
      <c r="E31" s="325">
        <f>(F31)/35.643</f>
        <v>1.4083364193079989E-2</v>
      </c>
      <c r="F31" s="326">
        <v>0.50197334993395004</v>
      </c>
      <c r="G31" s="267"/>
      <c r="H31" s="267"/>
      <c r="I31" s="267"/>
      <c r="J31" s="267"/>
      <c r="K31" s="267"/>
      <c r="N31" s="299"/>
      <c r="O31" s="299"/>
      <c r="P31" s="299"/>
      <c r="Q31" s="299"/>
      <c r="R31" s="299"/>
      <c r="S31" s="299"/>
      <c r="T31" s="299"/>
      <c r="U31" s="299"/>
    </row>
    <row r="32" spans="1:27">
      <c r="D32" s="267" t="s">
        <v>76</v>
      </c>
      <c r="E32" s="327">
        <f t="shared" ref="E32:E37" si="7">(F32)/35.643</f>
        <v>1.3991967567264259E-2</v>
      </c>
      <c r="F32" s="328">
        <v>0.49871569999999998</v>
      </c>
      <c r="G32" s="267"/>
      <c r="H32" s="267"/>
      <c r="I32" s="267"/>
      <c r="J32" s="267"/>
      <c r="K32" s="267"/>
      <c r="O32" s="299"/>
      <c r="P32" s="299"/>
      <c r="Q32" s="299"/>
      <c r="R32" s="299"/>
      <c r="S32" s="299"/>
      <c r="T32" s="299"/>
      <c r="U32" s="299"/>
    </row>
    <row r="33" spans="4:21">
      <c r="D33" s="267" t="s">
        <v>77</v>
      </c>
      <c r="E33" s="327">
        <f t="shared" si="7"/>
        <v>1.2028782650169739E-2</v>
      </c>
      <c r="F33" s="328">
        <v>0.42874190000000001</v>
      </c>
      <c r="G33" s="267" t="s">
        <v>89</v>
      </c>
      <c r="H33" s="267"/>
      <c r="I33" s="267"/>
      <c r="J33" s="267"/>
      <c r="K33" s="267"/>
      <c r="O33" s="299"/>
      <c r="P33" s="299"/>
      <c r="Q33" s="299"/>
      <c r="R33" s="299"/>
      <c r="S33" s="299"/>
      <c r="T33" s="299"/>
      <c r="U33" s="299"/>
    </row>
    <row r="34" spans="4:21">
      <c r="D34" s="267" t="s">
        <v>78</v>
      </c>
      <c r="E34" s="327">
        <f t="shared" si="7"/>
        <v>1.328512751451898E-2</v>
      </c>
      <c r="F34" s="328">
        <v>0.47352179999999999</v>
      </c>
      <c r="G34" s="267">
        <f>AVERAGE(F31:F37)</f>
        <v>0.48058662141913572</v>
      </c>
      <c r="H34" s="267">
        <f>G34/0.0315749</f>
        <v>15.220527109163788</v>
      </c>
      <c r="I34" s="267"/>
      <c r="J34" s="267"/>
      <c r="K34" s="267"/>
      <c r="O34" s="299"/>
      <c r="P34" s="299"/>
      <c r="Q34" s="299"/>
      <c r="R34" s="299"/>
      <c r="S34" s="299"/>
      <c r="T34" s="299"/>
      <c r="U34" s="299"/>
    </row>
    <row r="35" spans="4:21">
      <c r="D35" s="267" t="s">
        <v>79</v>
      </c>
      <c r="E35" s="327">
        <f t="shared" si="7"/>
        <v>1.314478859804169E-2</v>
      </c>
      <c r="F35" s="328">
        <v>0.46851969999999998</v>
      </c>
      <c r="G35" s="267"/>
      <c r="H35" s="267"/>
      <c r="I35" s="267"/>
      <c r="J35" s="267"/>
      <c r="K35" s="267"/>
    </row>
    <row r="36" spans="4:21">
      <c r="D36" s="267" t="s">
        <v>80</v>
      </c>
      <c r="E36" s="327">
        <f t="shared" si="7"/>
        <v>1.451670734786634E-2</v>
      </c>
      <c r="F36" s="328">
        <v>0.51741899999999996</v>
      </c>
      <c r="G36" s="267"/>
      <c r="H36" s="267"/>
      <c r="I36" s="267"/>
      <c r="J36" s="267"/>
      <c r="K36" s="267"/>
    </row>
    <row r="37" spans="4:21">
      <c r="D37" s="267" t="s">
        <v>81</v>
      </c>
      <c r="E37" s="329">
        <f t="shared" si="7"/>
        <v>1.3332629127738967E-2</v>
      </c>
      <c r="F37" s="330">
        <v>0.4752149</v>
      </c>
      <c r="G37" s="267"/>
      <c r="H37" s="267"/>
      <c r="I37" s="267"/>
      <c r="J37" s="267"/>
      <c r="K37" s="267"/>
    </row>
    <row r="38" spans="4:21">
      <c r="D38" s="267"/>
      <c r="E38" s="267" t="s">
        <v>82</v>
      </c>
      <c r="F38" s="267">
        <f>_xlfn.STDEV.S(E31:E37)</f>
        <v>8.1434382605527153E-4</v>
      </c>
      <c r="G38" s="267" t="s">
        <v>71</v>
      </c>
      <c r="H38" s="267"/>
      <c r="I38" s="267">
        <f>3.14*F47</f>
        <v>3.0764630460867973E-3</v>
      </c>
      <c r="J38" s="267"/>
      <c r="K38" s="267"/>
    </row>
    <row r="39" spans="4:21" ht="15.75">
      <c r="D39" s="267"/>
      <c r="E39" s="322" t="s">
        <v>83</v>
      </c>
      <c r="F39" s="323" t="s">
        <v>74</v>
      </c>
      <c r="G39" s="324" t="s">
        <v>83</v>
      </c>
      <c r="H39" s="324"/>
      <c r="I39" s="324">
        <f>1000*I38/0.1</f>
        <v>30.764630460867973</v>
      </c>
      <c r="J39" s="324" t="s">
        <v>87</v>
      </c>
      <c r="K39" s="324"/>
    </row>
    <row r="40" spans="4:21">
      <c r="D40" s="267" t="s">
        <v>75</v>
      </c>
      <c r="E40" s="325">
        <f>(F40)/26.15</f>
        <v>2.4339789003575526E-2</v>
      </c>
      <c r="F40" s="326">
        <v>0.63648548244350001</v>
      </c>
      <c r="G40" s="267"/>
      <c r="H40" s="267"/>
      <c r="I40" s="267"/>
      <c r="J40" s="267"/>
      <c r="K40" s="267"/>
    </row>
    <row r="41" spans="4:21">
      <c r="D41" s="267" t="s">
        <v>76</v>
      </c>
      <c r="E41" s="327">
        <f t="shared" ref="E41:E46" si="8">(F41)/26.15</f>
        <v>2.2453112810707457E-2</v>
      </c>
      <c r="F41" s="328">
        <v>0.58714889999999997</v>
      </c>
      <c r="G41" s="267"/>
      <c r="H41" s="267"/>
      <c r="I41" s="267"/>
      <c r="J41" s="267"/>
      <c r="K41" s="267"/>
    </row>
    <row r="42" spans="4:21">
      <c r="D42" s="267" t="s">
        <v>77</v>
      </c>
      <c r="E42" s="327">
        <f t="shared" si="8"/>
        <v>2.4316405353728494E-2</v>
      </c>
      <c r="F42" s="328">
        <v>0.63587400000000005</v>
      </c>
      <c r="G42" s="267" t="s">
        <v>89</v>
      </c>
      <c r="H42" s="267"/>
      <c r="I42" s="267"/>
      <c r="J42" s="267"/>
      <c r="K42" s="267"/>
    </row>
    <row r="43" spans="4:21">
      <c r="D43" s="267" t="s">
        <v>78</v>
      </c>
      <c r="E43" s="327">
        <f t="shared" si="8"/>
        <v>2.4963063097514341E-2</v>
      </c>
      <c r="F43" s="328">
        <v>0.65278409999999998</v>
      </c>
      <c r="G43" s="267">
        <f>AVERAGE(F40:F46)</f>
        <v>0.61898191320621432</v>
      </c>
      <c r="H43" s="267">
        <f>G43/0.0315749</f>
        <v>19.603606447089753</v>
      </c>
      <c r="I43" s="267"/>
      <c r="J43" s="267"/>
      <c r="K43" s="267"/>
    </row>
    <row r="44" spans="4:21">
      <c r="D44" s="267" t="s">
        <v>79</v>
      </c>
      <c r="E44" s="327">
        <f t="shared" si="8"/>
        <v>2.264258126195029E-2</v>
      </c>
      <c r="F44" s="328">
        <v>0.5921035</v>
      </c>
      <c r="G44" s="267"/>
      <c r="H44" s="267"/>
      <c r="I44" s="267"/>
      <c r="J44" s="267"/>
      <c r="K44" s="267"/>
    </row>
    <row r="45" spans="4:21">
      <c r="D45" s="267" t="s">
        <v>80</v>
      </c>
      <c r="E45" s="327">
        <f t="shared" si="8"/>
        <v>2.293259694072658E-2</v>
      </c>
      <c r="F45" s="328">
        <v>0.59968741000000003</v>
      </c>
      <c r="G45" s="267"/>
      <c r="H45" s="267"/>
      <c r="I45" s="267"/>
      <c r="J45" s="267"/>
      <c r="K45" s="267"/>
    </row>
    <row r="46" spans="4:21">
      <c r="D46" s="267" t="s">
        <v>81</v>
      </c>
      <c r="E46" s="329">
        <f t="shared" si="8"/>
        <v>2.4045506692160611E-2</v>
      </c>
      <c r="F46" s="330">
        <v>0.62878999999999996</v>
      </c>
      <c r="G46" s="267"/>
      <c r="H46" s="267"/>
      <c r="I46" s="267"/>
      <c r="J46" s="267"/>
      <c r="K46" s="267"/>
    </row>
    <row r="47" spans="4:21">
      <c r="D47" s="267"/>
      <c r="E47" s="267" t="s">
        <v>82</v>
      </c>
      <c r="F47" s="267">
        <f>_xlfn.STDEV.S(E40:E46)</f>
        <v>9.7976530130152784E-4</v>
      </c>
      <c r="G47" s="267" t="s">
        <v>71</v>
      </c>
      <c r="H47" s="267"/>
      <c r="I47" s="267">
        <f>3.14*F56</f>
        <v>4.1555316236770237E-3</v>
      </c>
      <c r="J47" s="267"/>
      <c r="K47" s="267"/>
    </row>
    <row r="48" spans="4:21" ht="15.75">
      <c r="D48" s="267"/>
      <c r="E48" s="322" t="s">
        <v>84</v>
      </c>
      <c r="F48" s="323" t="s">
        <v>74</v>
      </c>
      <c r="G48" s="324" t="s">
        <v>85</v>
      </c>
      <c r="H48" s="324"/>
      <c r="I48" s="324">
        <f>1000*I47/0.1</f>
        <v>41.555316236770231</v>
      </c>
      <c r="J48" s="324" t="s">
        <v>88</v>
      </c>
      <c r="K48" s="324"/>
    </row>
    <row r="49" spans="4:11">
      <c r="D49" s="267" t="s">
        <v>75</v>
      </c>
      <c r="E49" s="325">
        <f>(F49)/15.982</f>
        <v>4.4066056188211737E-2</v>
      </c>
      <c r="F49" s="326">
        <v>0.70426370999999999</v>
      </c>
      <c r="G49" s="267"/>
      <c r="H49" s="267"/>
      <c r="I49" s="267"/>
      <c r="J49" s="267"/>
      <c r="K49" s="267"/>
    </row>
    <row r="50" spans="4:11">
      <c r="D50" s="267" t="s">
        <v>76</v>
      </c>
      <c r="E50" s="327">
        <f t="shared" ref="E50:E55" si="9">(F50)/15.982</f>
        <v>4.5498560880991114E-2</v>
      </c>
      <c r="F50" s="328">
        <v>0.72715799999999997</v>
      </c>
      <c r="G50" s="267"/>
      <c r="H50" s="267"/>
      <c r="I50" s="267"/>
      <c r="J50" s="267"/>
      <c r="K50" s="267"/>
    </row>
    <row r="51" spans="4:11">
      <c r="D51" s="267" t="s">
        <v>77</v>
      </c>
      <c r="E51" s="327">
        <f t="shared" si="9"/>
        <v>4.3398035289700911E-2</v>
      </c>
      <c r="F51" s="328">
        <v>0.69358739999999997</v>
      </c>
      <c r="G51" s="267" t="s">
        <v>89</v>
      </c>
      <c r="H51" s="267"/>
      <c r="I51" s="267"/>
      <c r="J51" s="267"/>
      <c r="K51" s="267"/>
    </row>
    <row r="52" spans="4:11">
      <c r="D52" s="267" t="s">
        <v>78</v>
      </c>
      <c r="E52" s="327">
        <f t="shared" si="9"/>
        <v>4.4586661869603306E-2</v>
      </c>
      <c r="F52" s="328">
        <v>0.71258403000000003</v>
      </c>
      <c r="G52" s="267">
        <f>AVERAGE(F49:F55)</f>
        <v>0.71304692571428574</v>
      </c>
      <c r="H52" s="267">
        <f>G52/0.0315749</f>
        <v>22.582713665420499</v>
      </c>
      <c r="I52" s="267"/>
      <c r="J52" s="267"/>
      <c r="K52" s="267"/>
    </row>
    <row r="53" spans="4:11">
      <c r="D53" s="267" t="s">
        <v>79</v>
      </c>
      <c r="E53" s="327">
        <f t="shared" si="9"/>
        <v>4.2717995244650232E-2</v>
      </c>
      <c r="F53" s="328">
        <v>0.68271899999999996</v>
      </c>
      <c r="G53" s="267"/>
      <c r="H53" s="267"/>
      <c r="I53" s="267"/>
      <c r="J53" s="267"/>
      <c r="K53" s="267"/>
    </row>
    <row r="54" spans="4:11">
      <c r="D54" s="267" t="s">
        <v>80</v>
      </c>
      <c r="E54" s="327">
        <f t="shared" si="9"/>
        <v>4.6463918157927671E-2</v>
      </c>
      <c r="F54" s="328">
        <v>0.74258634000000001</v>
      </c>
      <c r="G54" s="267"/>
      <c r="H54" s="267"/>
      <c r="I54" s="267"/>
      <c r="J54" s="267"/>
      <c r="K54" s="267"/>
    </row>
    <row r="55" spans="4:11">
      <c r="D55" s="267" t="s">
        <v>81</v>
      </c>
      <c r="E55" s="329">
        <f t="shared" si="9"/>
        <v>4.5578150419221627E-2</v>
      </c>
      <c r="F55" s="330">
        <v>0.72843000000000002</v>
      </c>
      <c r="G55" s="267"/>
      <c r="H55" s="267"/>
      <c r="I55" s="267"/>
      <c r="J55" s="267"/>
      <c r="K55" s="267"/>
    </row>
    <row r="56" spans="4:11">
      <c r="D56" s="267"/>
      <c r="E56" s="267" t="s">
        <v>82</v>
      </c>
      <c r="F56" s="267">
        <f>_xlfn.STDEV.S(E49:E55)</f>
        <v>1.3234177145468229E-3</v>
      </c>
      <c r="G56" s="267"/>
      <c r="H56" s="267"/>
      <c r="I56" s="267"/>
      <c r="J56" s="267"/>
      <c r="K56" s="267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2"/>
  <sheetViews>
    <sheetView topLeftCell="A16" workbookViewId="0">
      <selection activeCell="K23" sqref="K23"/>
    </sheetView>
  </sheetViews>
  <sheetFormatPr defaultRowHeight="15"/>
  <cols>
    <col min="5" max="5" width="16.5703125" customWidth="1"/>
  </cols>
  <sheetData>
    <row r="2" spans="20:46" ht="18">
      <c r="T2" s="335">
        <v>42290</v>
      </c>
      <c r="U2" s="336" t="s">
        <v>1</v>
      </c>
      <c r="V2" s="336" t="s">
        <v>2</v>
      </c>
      <c r="W2" s="336" t="s">
        <v>121</v>
      </c>
      <c r="X2" s="336" t="s">
        <v>4</v>
      </c>
      <c r="Y2" s="337" t="s">
        <v>5</v>
      </c>
      <c r="Z2" s="336"/>
    </row>
    <row r="3" spans="20:46">
      <c r="T3" s="336">
        <f>0.1898-0.0436</f>
        <v>0.1462</v>
      </c>
      <c r="U3" s="336">
        <v>15</v>
      </c>
      <c r="V3" s="336">
        <v>133</v>
      </c>
      <c r="W3" s="336">
        <v>24.085567837093343</v>
      </c>
      <c r="X3" s="336">
        <v>28.382465295938601</v>
      </c>
      <c r="Y3" s="336">
        <f>X3-W3</f>
        <v>4.2968974588452582</v>
      </c>
      <c r="Z3" s="336">
        <f>Y3/T3</f>
        <v>29.390543494153615</v>
      </c>
    </row>
    <row r="4" spans="20:46">
      <c r="T4" s="336">
        <f>0.1539-0.0163</f>
        <v>0.1376</v>
      </c>
      <c r="U4" s="336">
        <v>100</v>
      </c>
      <c r="V4" s="336">
        <v>20</v>
      </c>
      <c r="W4" s="336">
        <v>24.087803011405637</v>
      </c>
      <c r="X4" s="336">
        <v>27.5119580335592</v>
      </c>
      <c r="Y4" s="336">
        <f>X4-W4</f>
        <v>3.4241550221535633</v>
      </c>
      <c r="Z4" s="336">
        <f>Y4/T4</f>
        <v>24.884847544720664</v>
      </c>
    </row>
    <row r="5" spans="20:46">
      <c r="U5" s="245"/>
      <c r="V5" s="245"/>
      <c r="W5" s="245"/>
      <c r="X5" s="245"/>
      <c r="Y5" s="2">
        <v>3.448345866700766</v>
      </c>
      <c r="AA5" s="245"/>
      <c r="AB5" s="245"/>
      <c r="AC5" s="245"/>
      <c r="AD5" s="245"/>
      <c r="AE5" s="245"/>
      <c r="AF5" s="2"/>
      <c r="AH5" s="245"/>
      <c r="AI5" s="245"/>
      <c r="AJ5" s="245"/>
      <c r="AK5" s="245"/>
      <c r="AL5" s="245"/>
      <c r="AM5" s="2"/>
    </row>
    <row r="6" spans="20:46" s="299" customFormat="1">
      <c r="Y6" s="2"/>
      <c r="AF6" s="2"/>
      <c r="AM6" s="2"/>
    </row>
    <row r="7" spans="20:46">
      <c r="U7" s="245"/>
      <c r="V7" s="245"/>
      <c r="W7" s="245"/>
      <c r="X7" s="245">
        <f>AVERAGE(Y3:Y7)</f>
        <v>3.6647136086055045</v>
      </c>
      <c r="Y7" s="245">
        <v>3.4894560867224307</v>
      </c>
      <c r="Z7">
        <f>_xlfn.STDEV.S(Y3:Y7)</f>
        <v>0.42231704233244288</v>
      </c>
      <c r="AA7" s="245"/>
      <c r="AB7" s="245"/>
      <c r="AC7" s="245"/>
      <c r="AD7" s="245"/>
      <c r="AE7" s="245"/>
      <c r="AF7" s="245"/>
      <c r="AH7" s="245"/>
      <c r="AI7" s="245"/>
      <c r="AJ7" s="245"/>
      <c r="AK7" s="245"/>
      <c r="AL7" s="245"/>
      <c r="AM7" s="245"/>
    </row>
    <row r="8" spans="20:46">
      <c r="T8" s="336"/>
      <c r="U8" s="336"/>
      <c r="V8" s="336"/>
      <c r="W8" s="336"/>
      <c r="X8" s="336"/>
      <c r="Y8" s="336"/>
      <c r="Z8" s="336"/>
      <c r="AA8" s="335">
        <v>42208</v>
      </c>
      <c r="AB8" s="336"/>
      <c r="AC8" s="336"/>
      <c r="AD8" s="336"/>
      <c r="AE8" s="336"/>
      <c r="AF8" s="336"/>
      <c r="AG8" s="336"/>
    </row>
    <row r="9" spans="20:46" ht="18">
      <c r="T9" s="336">
        <f>0.0567-0.0067</f>
        <v>0.05</v>
      </c>
      <c r="U9" s="336" t="s">
        <v>1</v>
      </c>
      <c r="V9" s="336" t="s">
        <v>2</v>
      </c>
      <c r="W9" s="336" t="s">
        <v>121</v>
      </c>
      <c r="X9" s="336" t="s">
        <v>4</v>
      </c>
      <c r="Y9" s="337" t="s">
        <v>5</v>
      </c>
      <c r="Z9" s="336"/>
      <c r="AA9" s="336">
        <f>0.0945-0.0318</f>
        <v>6.2700000000000006E-2</v>
      </c>
      <c r="AB9" s="336" t="s">
        <v>1</v>
      </c>
      <c r="AC9" s="336" t="s">
        <v>2</v>
      </c>
      <c r="AD9" s="336" t="s">
        <v>121</v>
      </c>
      <c r="AE9" s="336" t="s">
        <v>4</v>
      </c>
      <c r="AF9" s="337" t="s">
        <v>5</v>
      </c>
      <c r="AG9" s="336"/>
      <c r="AH9" s="245"/>
      <c r="AI9" s="245"/>
      <c r="AJ9" s="245"/>
      <c r="AK9" s="245"/>
      <c r="AL9" s="245"/>
      <c r="AM9" s="2"/>
      <c r="AO9" s="246"/>
      <c r="AP9" s="246"/>
      <c r="AQ9" s="246"/>
      <c r="AR9" s="246"/>
      <c r="AS9" s="246"/>
      <c r="AT9" s="2"/>
    </row>
    <row r="10" spans="20:46">
      <c r="T10" s="336"/>
      <c r="U10" s="336">
        <v>20</v>
      </c>
      <c r="V10" s="336">
        <v>100</v>
      </c>
      <c r="W10" s="336">
        <v>26.431476410119327</v>
      </c>
      <c r="X10" s="336">
        <v>31.633751489743684</v>
      </c>
      <c r="Y10" s="336">
        <f>X10-W10</f>
        <v>5.2022750796243571</v>
      </c>
      <c r="Z10" s="336"/>
      <c r="AA10" s="336"/>
      <c r="AB10" s="336">
        <v>20</v>
      </c>
      <c r="AC10" s="336">
        <v>100</v>
      </c>
      <c r="AD10" s="336">
        <v>24.105218744589024</v>
      </c>
      <c r="AE10" s="336">
        <v>24.455768582568677</v>
      </c>
      <c r="AF10" s="336">
        <f>AE10-AD10</f>
        <v>0.35054983797965278</v>
      </c>
      <c r="AG10" s="336"/>
      <c r="AH10" s="245"/>
      <c r="AI10" s="245"/>
      <c r="AJ10" s="245"/>
      <c r="AK10" s="245"/>
      <c r="AL10" s="245"/>
      <c r="AM10" s="245"/>
      <c r="AO10" s="246"/>
      <c r="AP10" s="246"/>
      <c r="AQ10" s="246"/>
      <c r="AR10" s="246"/>
      <c r="AS10" s="246"/>
      <c r="AT10" s="246"/>
    </row>
    <row r="19" spans="1:17">
      <c r="A19" s="332" t="s">
        <v>110</v>
      </c>
      <c r="B19" s="332"/>
      <c r="C19" s="332"/>
      <c r="D19" s="332"/>
      <c r="E19" s="332"/>
      <c r="F19" s="332"/>
      <c r="G19" s="332"/>
    </row>
    <row r="20" spans="1:17">
      <c r="A20" s="299" t="s">
        <v>111</v>
      </c>
      <c r="N20" s="313">
        <v>0</v>
      </c>
      <c r="O20" s="314">
        <v>3.1256895260000001E-3</v>
      </c>
      <c r="P20" s="314">
        <v>3.1256895260000001E-3</v>
      </c>
      <c r="Q20" s="315">
        <v>3.1256895260000001E-3</v>
      </c>
    </row>
    <row r="21" spans="1:17">
      <c r="A21" t="s">
        <v>112</v>
      </c>
      <c r="N21" s="316">
        <v>8.5630407616780731E-4</v>
      </c>
      <c r="O21" s="317">
        <v>0.56789100000000003</v>
      </c>
      <c r="P21" s="317">
        <v>0.57891599999999999</v>
      </c>
      <c r="Q21" s="318">
        <v>0.49789159999999999</v>
      </c>
    </row>
    <row r="22" spans="1:17">
      <c r="N22" s="316">
        <v>7.8000000000000014E-2</v>
      </c>
      <c r="O22" s="317">
        <v>2.2016466976193811</v>
      </c>
      <c r="P22" s="317">
        <v>2.4716790899999999</v>
      </c>
      <c r="Q22" s="318">
        <v>2.3839275099999999</v>
      </c>
    </row>
    <row r="23" spans="1:17">
      <c r="B23" t="s">
        <v>19</v>
      </c>
      <c r="N23" s="316">
        <v>5.2000000000000005E-2</v>
      </c>
      <c r="O23" s="317">
        <v>1.4218471897749723</v>
      </c>
      <c r="P23" s="317">
        <v>1.5441329207499521</v>
      </c>
      <c r="Q23" s="318">
        <v>1.5051314833837992</v>
      </c>
    </row>
    <row r="24" spans="1:17">
      <c r="D24" s="1" t="s">
        <v>20</v>
      </c>
      <c r="E24" s="82"/>
      <c r="F24" s="82"/>
      <c r="G24" s="82"/>
      <c r="H24" s="82"/>
      <c r="I24" s="82"/>
      <c r="N24" s="316">
        <v>2.7639999999999998E-2</v>
      </c>
      <c r="O24" s="317">
        <v>1.17890707724737</v>
      </c>
      <c r="P24" s="317">
        <v>1.3733493312209468</v>
      </c>
      <c r="Q24" s="318">
        <v>1.2702278655903143</v>
      </c>
    </row>
    <row r="25" spans="1:17" ht="18">
      <c r="C25" s="299" t="s">
        <v>106</v>
      </c>
      <c r="D25" s="82">
        <f>0.1192-0.0002</f>
        <v>0.11899999999999999</v>
      </c>
      <c r="E25" s="82" t="s">
        <v>1</v>
      </c>
      <c r="F25" s="82" t="s">
        <v>2</v>
      </c>
      <c r="G25" s="299" t="s">
        <v>107</v>
      </c>
      <c r="H25" s="299" t="s">
        <v>108</v>
      </c>
      <c r="I25" s="299" t="s">
        <v>109</v>
      </c>
      <c r="N25" s="316">
        <v>0.1148</v>
      </c>
      <c r="O25" s="317">
        <v>3.4894560867224307</v>
      </c>
      <c r="P25" s="317">
        <v>3.448345866700766</v>
      </c>
      <c r="Q25" s="318">
        <v>4.2968974588452582</v>
      </c>
    </row>
    <row r="26" spans="1:17">
      <c r="D26" s="82"/>
      <c r="E26" s="82">
        <v>20</v>
      </c>
      <c r="F26" s="82">
        <v>100</v>
      </c>
      <c r="G26" s="84">
        <v>25.452097532278152</v>
      </c>
      <c r="H26" s="83">
        <v>25.473611085034086</v>
      </c>
      <c r="I26" s="82">
        <f>H26-G26</f>
        <v>2.1513552755934029E-2</v>
      </c>
      <c r="N26" s="316">
        <v>0.26200000000000001</v>
      </c>
      <c r="O26" s="317">
        <v>9.8408415520692802</v>
      </c>
      <c r="P26" s="317">
        <v>9.9458195236813705</v>
      </c>
      <c r="Q26" s="318">
        <v>9.6103059417191705</v>
      </c>
    </row>
    <row r="27" spans="1:17">
      <c r="D27" s="1" t="s">
        <v>21</v>
      </c>
      <c r="E27" s="82"/>
      <c r="F27" s="82"/>
      <c r="G27" s="82"/>
      <c r="H27" s="82"/>
      <c r="I27" s="82"/>
      <c r="N27" s="316">
        <v>0.40674937965260549</v>
      </c>
      <c r="O27" s="317">
        <v>15.110709673804624</v>
      </c>
      <c r="P27" s="317">
        <v>15.627128072209839</v>
      </c>
      <c r="Q27" s="318">
        <v>15.456975427685705</v>
      </c>
    </row>
    <row r="28" spans="1:17" ht="18">
      <c r="C28" s="299" t="s">
        <v>106</v>
      </c>
      <c r="D28" s="82">
        <f>0.052-0.0002</f>
        <v>5.1799999999999999E-2</v>
      </c>
      <c r="E28" s="82" t="s">
        <v>1</v>
      </c>
      <c r="F28" s="82" t="s">
        <v>2</v>
      </c>
      <c r="G28" s="299" t="s">
        <v>107</v>
      </c>
      <c r="H28" s="299" t="s">
        <v>108</v>
      </c>
      <c r="I28" s="299" t="s">
        <v>109</v>
      </c>
      <c r="N28" s="319">
        <v>0.51200000000000001</v>
      </c>
      <c r="O28" s="320">
        <v>17.649402031266792</v>
      </c>
      <c r="P28" s="320">
        <v>19.317121465034582</v>
      </c>
      <c r="Q28" s="321">
        <v>18.587523316593352</v>
      </c>
    </row>
    <row r="29" spans="1:17">
      <c r="D29" s="82"/>
      <c r="E29" s="82">
        <v>20</v>
      </c>
      <c r="F29" s="82">
        <v>100</v>
      </c>
      <c r="G29" s="86">
        <v>25.460200039160249</v>
      </c>
      <c r="H29" s="85">
        <v>25.472772894666956</v>
      </c>
      <c r="I29" s="82">
        <f>H29-G29</f>
        <v>1.2572855506707725E-2</v>
      </c>
    </row>
    <row r="30" spans="1:17">
      <c r="D30" s="1" t="s">
        <v>22</v>
      </c>
      <c r="E30" s="82"/>
      <c r="F30" s="82"/>
      <c r="G30" s="82"/>
      <c r="H30" s="82"/>
      <c r="I30" s="82"/>
    </row>
    <row r="31" spans="1:17" ht="18">
      <c r="C31" s="299" t="s">
        <v>106</v>
      </c>
      <c r="D31" s="82">
        <f>0.0446-0.0046</f>
        <v>0.04</v>
      </c>
      <c r="E31" s="82" t="s">
        <v>1</v>
      </c>
      <c r="F31" s="82" t="s">
        <v>2</v>
      </c>
      <c r="G31" s="299" t="s">
        <v>107</v>
      </c>
      <c r="H31" s="299" t="s">
        <v>108</v>
      </c>
      <c r="I31" s="299" t="s">
        <v>109</v>
      </c>
    </row>
    <row r="32" spans="1:17">
      <c r="D32" s="82"/>
      <c r="E32" s="82">
        <v>20</v>
      </c>
      <c r="F32" s="82">
        <v>100</v>
      </c>
      <c r="G32" s="88">
        <v>25.123061247054409</v>
      </c>
      <c r="H32" s="87">
        <v>25.456940409954804</v>
      </c>
      <c r="I32" s="82">
        <f>H32-G32</f>
        <v>0.33387916290039499</v>
      </c>
    </row>
    <row r="33" spans="1:20">
      <c r="D33" s="1" t="s">
        <v>23</v>
      </c>
      <c r="E33" s="82"/>
      <c r="F33" s="82"/>
      <c r="G33" s="82"/>
      <c r="H33" s="82"/>
      <c r="I33" s="82"/>
    </row>
    <row r="34" spans="1:20" ht="18">
      <c r="C34" s="299" t="s">
        <v>106</v>
      </c>
      <c r="D34" s="82">
        <f>0.056-0.006</f>
        <v>0.05</v>
      </c>
      <c r="E34" s="82" t="s">
        <v>1</v>
      </c>
      <c r="F34" s="82" t="s">
        <v>2</v>
      </c>
      <c r="G34" s="299" t="s">
        <v>107</v>
      </c>
      <c r="H34" s="299" t="s">
        <v>108</v>
      </c>
      <c r="I34" s="299" t="s">
        <v>109</v>
      </c>
    </row>
    <row r="35" spans="1:20">
      <c r="D35" s="82"/>
      <c r="E35" s="82">
        <v>20</v>
      </c>
      <c r="F35" s="82">
        <v>100</v>
      </c>
      <c r="G35" s="90">
        <v>25.455543426009616</v>
      </c>
      <c r="H35" s="89">
        <v>25.64199421656096</v>
      </c>
      <c r="I35" s="82">
        <f>H35-G35</f>
        <v>0.18645079055134417</v>
      </c>
    </row>
    <row r="37" spans="1:20">
      <c r="A37" s="332" t="s">
        <v>128</v>
      </c>
      <c r="B37" s="332"/>
      <c r="C37" s="333"/>
      <c r="D37" s="332"/>
      <c r="E37" s="332"/>
      <c r="F37" s="332"/>
      <c r="G37" s="332"/>
      <c r="H37" s="332"/>
    </row>
    <row r="38" spans="1:20">
      <c r="A38" s="267" t="s">
        <v>93</v>
      </c>
      <c r="B38" s="267" t="s">
        <v>94</v>
      </c>
    </row>
    <row r="39" spans="1:20">
      <c r="G39">
        <f>K43/F41</f>
        <v>32.138119222320817</v>
      </c>
      <c r="H39">
        <f>G39*0.027</f>
        <v>0.86772921900266209</v>
      </c>
    </row>
    <row r="40" spans="1:20">
      <c r="F40" s="1" t="s">
        <v>0</v>
      </c>
      <c r="I40" s="342" t="s">
        <v>117</v>
      </c>
      <c r="J40" s="342"/>
      <c r="K40" s="342"/>
      <c r="L40" s="299"/>
      <c r="M40" s="299"/>
      <c r="N40" s="299"/>
      <c r="O40" s="299"/>
      <c r="P40" s="334" t="s">
        <v>118</v>
      </c>
      <c r="Q40" s="299"/>
    </row>
    <row r="41" spans="1:20" ht="18">
      <c r="E41" s="299" t="s">
        <v>106</v>
      </c>
      <c r="F41">
        <f>0.1148</f>
        <v>0.1148</v>
      </c>
      <c r="G41" t="s">
        <v>1</v>
      </c>
      <c r="H41" t="s">
        <v>2</v>
      </c>
      <c r="I41" s="299" t="s">
        <v>107</v>
      </c>
      <c r="J41" s="299" t="s">
        <v>108</v>
      </c>
      <c r="K41" s="299" t="s">
        <v>109</v>
      </c>
      <c r="L41" s="299" t="s">
        <v>106</v>
      </c>
      <c r="M41" s="4">
        <f>0.144-0.0015</f>
        <v>0.14249999999999999</v>
      </c>
      <c r="N41" s="4" t="s">
        <v>1</v>
      </c>
      <c r="O41" s="4" t="s">
        <v>2</v>
      </c>
      <c r="P41" s="299" t="s">
        <v>107</v>
      </c>
      <c r="Q41" s="299" t="s">
        <v>108</v>
      </c>
      <c r="R41" s="299" t="s">
        <v>109</v>
      </c>
      <c r="S41" s="299" t="s">
        <v>119</v>
      </c>
      <c r="T41" s="299" t="s">
        <v>120</v>
      </c>
    </row>
    <row r="42" spans="1:20">
      <c r="A42" s="299"/>
      <c r="B42" s="299"/>
      <c r="C42" s="299"/>
      <c r="D42" s="299"/>
      <c r="E42" s="299" t="s">
        <v>116</v>
      </c>
      <c r="F42" s="299">
        <f>F41/20*20</f>
        <v>0.11480000000000001</v>
      </c>
      <c r="G42" s="299">
        <v>20</v>
      </c>
      <c r="H42" s="299">
        <v>100</v>
      </c>
      <c r="I42" s="299">
        <v>26.9284039577668</v>
      </c>
      <c r="J42" s="299">
        <v>30.126344722291499</v>
      </c>
      <c r="K42" s="299">
        <f>J42-I42</f>
        <v>3.1979407645246987</v>
      </c>
      <c r="L42" s="299" t="s">
        <v>116</v>
      </c>
      <c r="M42" s="299">
        <f>M41/20*20</f>
        <v>0.14249999999999999</v>
      </c>
      <c r="N42" s="299">
        <v>20</v>
      </c>
      <c r="O42" s="299">
        <v>100</v>
      </c>
      <c r="P42" s="299">
        <v>27.521154148917901</v>
      </c>
      <c r="Q42" s="299">
        <v>30.953878549375201</v>
      </c>
      <c r="R42" s="299">
        <f>Q42-P42</f>
        <v>3.4327244004572997</v>
      </c>
      <c r="S42" s="299">
        <f>AVERAGE(K42,R42)</f>
        <v>3.3153325824909992</v>
      </c>
      <c r="T42" s="299">
        <f>_xlfn.STDEV.S(R42,K42)</f>
        <v>0.16601710107957571</v>
      </c>
    </row>
    <row r="43" spans="1:20">
      <c r="E43" s="299"/>
      <c r="G43">
        <v>15</v>
      </c>
      <c r="H43">
        <v>133</v>
      </c>
      <c r="I43" s="4">
        <v>26.957766828403869</v>
      </c>
      <c r="J43" s="3">
        <v>30.647222915126299</v>
      </c>
      <c r="K43">
        <f>J43-I43</f>
        <v>3.68945608672243</v>
      </c>
      <c r="L43" s="299"/>
      <c r="M43" s="4"/>
      <c r="N43" s="299">
        <v>15</v>
      </c>
      <c r="O43" s="299">
        <v>133</v>
      </c>
      <c r="P43" s="6">
        <v>27.489179521154135</v>
      </c>
      <c r="Q43" s="5">
        <v>30.937525387854901</v>
      </c>
      <c r="R43" s="4">
        <f>Q43-P43</f>
        <v>3.448345866700766</v>
      </c>
      <c r="S43" s="299">
        <f>AVERAGE(K43,R43)</f>
        <v>3.568900976711598</v>
      </c>
      <c r="T43" s="299">
        <f>_xlfn.STDEV.S(R43,K43)</f>
        <v>0.17049067159069906</v>
      </c>
    </row>
    <row r="44" spans="1:20">
      <c r="F44" s="1" t="s">
        <v>6</v>
      </c>
    </row>
    <row r="45" spans="1:20" ht="18">
      <c r="E45" s="299" t="s">
        <v>106</v>
      </c>
      <c r="F45">
        <f>0.068-0.0031</f>
        <v>6.4899999999999999E-2</v>
      </c>
      <c r="G45" t="s">
        <v>1</v>
      </c>
      <c r="H45" t="s">
        <v>2</v>
      </c>
      <c r="I45" s="299" t="s">
        <v>107</v>
      </c>
      <c r="J45" s="299" t="s">
        <v>108</v>
      </c>
      <c r="K45" s="299" t="s">
        <v>109</v>
      </c>
      <c r="L45" s="299" t="s">
        <v>106</v>
      </c>
      <c r="M45" s="6">
        <f>0.0529-0</f>
        <v>5.2900000000000003E-2</v>
      </c>
      <c r="N45" s="6" t="s">
        <v>1</v>
      </c>
      <c r="O45" s="6" t="s">
        <v>2</v>
      </c>
      <c r="P45" s="299" t="s">
        <v>107</v>
      </c>
      <c r="Q45" s="299" t="s">
        <v>108</v>
      </c>
      <c r="R45" s="299" t="s">
        <v>109</v>
      </c>
    </row>
    <row r="46" spans="1:20">
      <c r="E46" s="299" t="s">
        <v>116</v>
      </c>
      <c r="F46" s="299">
        <f>F45/20*20</f>
        <v>6.4899999999999999E-2</v>
      </c>
      <c r="G46">
        <v>20</v>
      </c>
      <c r="H46">
        <v>100</v>
      </c>
      <c r="I46" s="8">
        <v>27.31418399895335</v>
      </c>
      <c r="J46" s="7">
        <v>28.520433069493357</v>
      </c>
      <c r="K46">
        <f>J46-I46</f>
        <v>1.2062490705400073</v>
      </c>
      <c r="L46" s="299" t="s">
        <v>116</v>
      </c>
      <c r="M46" s="299">
        <f>M45/20*20</f>
        <v>5.2900000000000003E-2</v>
      </c>
      <c r="N46" s="6">
        <v>20</v>
      </c>
      <c r="O46" s="6">
        <v>100</v>
      </c>
      <c r="P46" s="10">
        <v>25.952590313708217</v>
      </c>
      <c r="Q46" s="9">
        <v>31.425135220595319</v>
      </c>
      <c r="R46" s="6">
        <f>Q46-P46</f>
        <v>5.4725449068871015</v>
      </c>
      <c r="S46" s="299">
        <f>AVERAGE(K46,R46)</f>
        <v>3.3393969887135544</v>
      </c>
      <c r="T46" s="299">
        <f>_xlfn.STDEV.S(R46,K46)</f>
        <v>3.0167267164289635</v>
      </c>
    </row>
    <row r="47" spans="1:20">
      <c r="F47" s="1" t="s">
        <v>7</v>
      </c>
      <c r="L47" s="299"/>
    </row>
    <row r="48" spans="1:20" ht="18">
      <c r="E48" s="299" t="s">
        <v>106</v>
      </c>
      <c r="F48">
        <f>0.0517-0.0046</f>
        <v>4.7100000000000003E-2</v>
      </c>
      <c r="G48" t="s">
        <v>1</v>
      </c>
      <c r="H48" t="s">
        <v>2</v>
      </c>
      <c r="I48" s="299" t="s">
        <v>107</v>
      </c>
      <c r="J48" s="299" t="s">
        <v>108</v>
      </c>
      <c r="K48" s="299" t="s">
        <v>109</v>
      </c>
      <c r="L48" s="299" t="s">
        <v>106</v>
      </c>
      <c r="M48" s="12">
        <f>0.0431-0.0025</f>
        <v>4.0599999999999997E-2</v>
      </c>
      <c r="N48" s="12" t="s">
        <v>1</v>
      </c>
      <c r="O48" s="12" t="s">
        <v>2</v>
      </c>
      <c r="P48" s="299" t="s">
        <v>107</v>
      </c>
      <c r="Q48" s="299" t="s">
        <v>108</v>
      </c>
      <c r="R48" s="299" t="s">
        <v>109</v>
      </c>
    </row>
    <row r="49" spans="5:20">
      <c r="E49" s="299" t="s">
        <v>116</v>
      </c>
      <c r="F49" s="299">
        <f>F48/20*20</f>
        <v>4.7100000000000003E-2</v>
      </c>
      <c r="G49">
        <v>20</v>
      </c>
      <c r="H49">
        <v>100</v>
      </c>
      <c r="I49" s="12">
        <v>26.289356576761993</v>
      </c>
      <c r="J49" s="11">
        <v>26.725494964450299</v>
      </c>
      <c r="K49">
        <f>J49-I49</f>
        <v>0.43613838768830604</v>
      </c>
      <c r="L49" s="299" t="s">
        <v>116</v>
      </c>
      <c r="M49" s="299">
        <f>M48/20*20</f>
        <v>4.0599999999999997E-2</v>
      </c>
      <c r="N49" s="12">
        <v>20</v>
      </c>
      <c r="O49" s="12">
        <v>100</v>
      </c>
      <c r="P49" s="14">
        <v>26.625284649448663</v>
      </c>
      <c r="Q49" s="13">
        <v>27.109386152588488</v>
      </c>
      <c r="R49" s="12">
        <f>Q49-P49</f>
        <v>0.4841015031398257</v>
      </c>
      <c r="S49" s="299">
        <f>AVERAGE(K49,R49)</f>
        <v>0.46011994541406587</v>
      </c>
      <c r="T49" s="299">
        <f>_xlfn.STDEV.S(R49,K49)</f>
        <v>3.3915044182602827E-2</v>
      </c>
    </row>
    <row r="50" spans="5:20">
      <c r="F50" s="1" t="s">
        <v>8</v>
      </c>
      <c r="L50" s="299"/>
    </row>
    <row r="51" spans="5:20" ht="18">
      <c r="E51" s="299" t="s">
        <v>106</v>
      </c>
      <c r="F51">
        <f>0.0469-0.0006</f>
        <v>4.6299999999999994E-2</v>
      </c>
      <c r="G51" t="s">
        <v>1</v>
      </c>
      <c r="H51" t="s">
        <v>2</v>
      </c>
      <c r="I51" s="299" t="s">
        <v>107</v>
      </c>
      <c r="J51" s="299" t="s">
        <v>108</v>
      </c>
      <c r="K51" s="299" t="s">
        <v>109</v>
      </c>
      <c r="L51" s="299" t="s">
        <v>106</v>
      </c>
      <c r="M51" s="16">
        <f>0.0378-0.0006</f>
        <v>3.7199999999999997E-2</v>
      </c>
      <c r="N51" s="16" t="s">
        <v>1</v>
      </c>
      <c r="O51" s="16" t="s">
        <v>2</v>
      </c>
      <c r="P51" s="299" t="s">
        <v>113</v>
      </c>
      <c r="Q51" s="299" t="s">
        <v>114</v>
      </c>
      <c r="R51" s="299" t="s">
        <v>115</v>
      </c>
    </row>
    <row r="52" spans="5:20">
      <c r="E52" s="299" t="s">
        <v>116</v>
      </c>
      <c r="F52" s="299">
        <f>F51/20*20</f>
        <v>4.6299999999999994E-2</v>
      </c>
      <c r="G52">
        <v>20</v>
      </c>
      <c r="H52">
        <v>100</v>
      </c>
      <c r="I52" s="16">
        <v>26.294851380279756</v>
      </c>
      <c r="J52" s="15">
        <v>26.638043769481417</v>
      </c>
      <c r="K52">
        <f>J52-I52</f>
        <v>0.34319238920166129</v>
      </c>
      <c r="L52" s="299" t="s">
        <v>116</v>
      </c>
      <c r="M52" s="299">
        <f>M51/20*20</f>
        <v>3.7199999999999997E-2</v>
      </c>
      <c r="N52" s="16">
        <v>20</v>
      </c>
      <c r="O52" s="16">
        <v>100</v>
      </c>
      <c r="P52" s="18">
        <v>27.313811469901285</v>
      </c>
      <c r="Q52" s="17">
        <v>27.49430179561983</v>
      </c>
      <c r="R52" s="16">
        <f>Q52-P52</f>
        <v>0.1804903257185444</v>
      </c>
      <c r="S52" s="299">
        <f>AVERAGE(K52,R52)</f>
        <v>0.26184135746010284</v>
      </c>
      <c r="T52" s="299">
        <f>_xlfn.STDEV.S(R52,K52)</f>
        <v>0.11504773240195609</v>
      </c>
    </row>
  </sheetData>
  <mergeCells count="1">
    <mergeCell ref="I40:K40"/>
  </mergeCells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workbookViewId="0">
      <selection activeCell="G18" sqref="G18:H18"/>
    </sheetView>
  </sheetViews>
  <sheetFormatPr defaultRowHeight="15"/>
  <cols>
    <col min="5" max="5" width="16.5703125" customWidth="1"/>
    <col min="8" max="8" width="11.7109375" style="45" customWidth="1"/>
    <col min="9" max="11" width="9.140625" style="45"/>
    <col min="12" max="12" width="17" customWidth="1"/>
    <col min="19" max="19" width="9" style="299"/>
  </cols>
  <sheetData>
    <row r="1" spans="1:36">
      <c r="A1" s="333" t="s">
        <v>123</v>
      </c>
      <c r="B1" s="332"/>
      <c r="C1" s="332"/>
      <c r="D1" s="332"/>
      <c r="E1" s="332"/>
      <c r="F1" s="332"/>
      <c r="G1" s="332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</row>
    <row r="2" spans="1:36">
      <c r="A2" s="267" t="s">
        <v>93</v>
      </c>
      <c r="B2" s="267" t="s">
        <v>94</v>
      </c>
      <c r="U2" s="335">
        <v>42296</v>
      </c>
      <c r="V2" s="336" t="s">
        <v>60</v>
      </c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</row>
    <row r="3" spans="1:36" ht="18">
      <c r="U3" s="336"/>
      <c r="V3" s="336" t="s">
        <v>1</v>
      </c>
      <c r="W3" s="336" t="s">
        <v>2</v>
      </c>
      <c r="X3" s="336" t="s">
        <v>121</v>
      </c>
      <c r="Y3" s="336" t="s">
        <v>4</v>
      </c>
      <c r="Z3" s="337" t="s">
        <v>5</v>
      </c>
      <c r="AA3" s="336"/>
      <c r="AB3" s="336"/>
      <c r="AC3" s="336"/>
      <c r="AD3" s="336"/>
      <c r="AE3" s="336"/>
      <c r="AF3" s="336"/>
      <c r="AG3" s="336"/>
      <c r="AH3" s="336"/>
      <c r="AI3" s="336"/>
      <c r="AJ3" s="336"/>
    </row>
    <row r="4" spans="1:36">
      <c r="D4" s="18"/>
      <c r="E4" s="18"/>
      <c r="F4" s="1" t="s">
        <v>9</v>
      </c>
      <c r="G4" s="18"/>
      <c r="I4" s="342" t="s">
        <v>117</v>
      </c>
      <c r="J4" s="342"/>
      <c r="K4" s="342"/>
      <c r="L4" s="299"/>
      <c r="M4" s="299"/>
      <c r="N4" s="299"/>
      <c r="O4" s="299"/>
      <c r="P4" s="334" t="s">
        <v>118</v>
      </c>
      <c r="Q4" s="299"/>
      <c r="R4" s="18"/>
      <c r="U4" s="336">
        <f>0.1728-0.0548</f>
        <v>0.11800000000000001</v>
      </c>
      <c r="V4" s="336">
        <v>20</v>
      </c>
      <c r="W4" s="336">
        <v>100</v>
      </c>
      <c r="X4" s="336">
        <v>21.355768075929166</v>
      </c>
      <c r="Y4" s="336">
        <v>29.9483366074017</v>
      </c>
      <c r="Z4" s="336">
        <f>Y4-X4</f>
        <v>8.5925685314725335</v>
      </c>
      <c r="AA4" s="336">
        <f>Z4/U4</f>
        <v>72.818377385360449</v>
      </c>
      <c r="AB4" s="336"/>
      <c r="AC4" s="336"/>
      <c r="AD4" s="336"/>
      <c r="AE4" s="336"/>
      <c r="AF4" s="336"/>
      <c r="AG4" s="336"/>
      <c r="AH4" s="336"/>
      <c r="AI4" s="336"/>
      <c r="AJ4" s="336"/>
    </row>
    <row r="5" spans="1:36" ht="18">
      <c r="D5" s="18"/>
      <c r="E5" s="299" t="s">
        <v>106</v>
      </c>
      <c r="F5" s="18">
        <f>0.1506-0.0206</f>
        <v>0.13</v>
      </c>
      <c r="G5" s="18" t="s">
        <v>1</v>
      </c>
      <c r="H5" s="45" t="s">
        <v>2</v>
      </c>
      <c r="I5" s="299" t="s">
        <v>107</v>
      </c>
      <c r="J5" s="299" t="s">
        <v>108</v>
      </c>
      <c r="K5" s="299" t="s">
        <v>109</v>
      </c>
      <c r="L5" s="299" t="s">
        <v>106</v>
      </c>
      <c r="M5" s="18">
        <f>0.1364</f>
        <v>0.13639999999999999</v>
      </c>
      <c r="N5" s="18" t="s">
        <v>1</v>
      </c>
      <c r="O5" s="18" t="s">
        <v>2</v>
      </c>
      <c r="P5" s="299" t="s">
        <v>107</v>
      </c>
      <c r="Q5" s="299" t="s">
        <v>108</v>
      </c>
      <c r="R5" s="299" t="s">
        <v>109</v>
      </c>
      <c r="S5" s="299" t="s">
        <v>119</v>
      </c>
      <c r="T5" s="299" t="s">
        <v>120</v>
      </c>
      <c r="U5" s="336">
        <f>0.1515-0.0354</f>
        <v>0.11609999999999999</v>
      </c>
      <c r="V5" s="336">
        <v>15</v>
      </c>
      <c r="W5" s="336">
        <v>133</v>
      </c>
      <c r="X5" s="336">
        <v>21.376807592925498</v>
      </c>
      <c r="Y5" s="336">
        <v>31.366074017648302</v>
      </c>
      <c r="Z5" s="336">
        <f>Y5-X5</f>
        <v>9.9892664247228034</v>
      </c>
      <c r="AA5" s="336"/>
      <c r="AB5" s="336"/>
      <c r="AC5" s="336"/>
      <c r="AD5" s="336"/>
      <c r="AE5" s="336"/>
      <c r="AF5" s="336"/>
      <c r="AG5" s="336"/>
      <c r="AH5" s="336"/>
      <c r="AI5" s="336"/>
      <c r="AJ5" s="336"/>
    </row>
    <row r="6" spans="1:36" s="299" customFormat="1">
      <c r="E6" s="299" t="s">
        <v>116</v>
      </c>
      <c r="F6" s="299">
        <f>F5/20*40</f>
        <v>0.26</v>
      </c>
      <c r="G6" s="299">
        <v>20</v>
      </c>
      <c r="H6" s="45">
        <v>100</v>
      </c>
      <c r="I6" s="45">
        <v>25.1165246401175</v>
      </c>
      <c r="J6" s="45">
        <v>33.946889278046903</v>
      </c>
      <c r="K6" s="45">
        <f>J6-I6</f>
        <v>8.830364637929403</v>
      </c>
      <c r="L6" s="299" t="s">
        <v>116</v>
      </c>
      <c r="M6" s="299">
        <f>M5/20*40</f>
        <v>0.27279999999999999</v>
      </c>
      <c r="N6" s="299">
        <v>20</v>
      </c>
      <c r="O6" s="45">
        <v>100</v>
      </c>
      <c r="P6" s="299">
        <v>25.6725469233868</v>
      </c>
      <c r="Q6" s="299">
        <v>34.142074181007501</v>
      </c>
      <c r="R6" s="299">
        <f>Q6-P6</f>
        <v>8.469527257620701</v>
      </c>
      <c r="S6" s="299">
        <f>AVERAGE(K6,R6)</f>
        <v>8.649945947775052</v>
      </c>
      <c r="T6" s="299">
        <f>_xlfn.STDEV.S(R6,K6)</f>
        <v>0.25515055852187235</v>
      </c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</row>
    <row r="7" spans="1:36">
      <c r="D7" s="18"/>
      <c r="E7" s="299"/>
      <c r="F7" s="18"/>
      <c r="G7" s="18">
        <v>15</v>
      </c>
      <c r="H7" s="45">
        <v>133</v>
      </c>
      <c r="I7" s="45">
        <v>25.101175165246431</v>
      </c>
      <c r="J7" s="45">
        <v>35.046994688927803</v>
      </c>
      <c r="K7" s="45">
        <f>J7-I7</f>
        <v>9.9458195236813722</v>
      </c>
      <c r="L7" s="299"/>
      <c r="M7" s="18"/>
      <c r="N7" s="299">
        <v>15</v>
      </c>
      <c r="O7" s="45">
        <v>133</v>
      </c>
      <c r="P7" s="29">
        <v>25.469233868672472</v>
      </c>
      <c r="Q7" s="28">
        <v>35.010075420741757</v>
      </c>
      <c r="R7" s="18">
        <f>Q7-P7</f>
        <v>9.5408415520692849</v>
      </c>
      <c r="S7" s="299">
        <f>AVERAGE(K7,R7)</f>
        <v>9.7433305378753285</v>
      </c>
      <c r="T7" s="299">
        <f>_xlfn.STDEV.S(R7,K7)</f>
        <v>0.28636266995808013</v>
      </c>
      <c r="U7" s="336"/>
      <c r="V7" s="336"/>
      <c r="W7" s="336"/>
      <c r="X7" s="336"/>
      <c r="Y7" s="336"/>
      <c r="Z7" s="336">
        <v>8.9458195236813722</v>
      </c>
      <c r="AA7" s="336">
        <f>_xlfn.STDEV.S(Z4:Z7)</f>
        <v>0.7262153840056953</v>
      </c>
      <c r="AB7" s="336"/>
      <c r="AC7" s="336"/>
      <c r="AD7" s="336"/>
      <c r="AE7" s="336"/>
      <c r="AF7" s="336"/>
      <c r="AG7" s="336"/>
      <c r="AH7" s="336"/>
      <c r="AI7" s="336"/>
      <c r="AJ7" s="336"/>
    </row>
    <row r="8" spans="1:36">
      <c r="D8" s="18"/>
      <c r="E8" s="299"/>
      <c r="F8" s="1" t="s">
        <v>10</v>
      </c>
      <c r="G8" s="18"/>
      <c r="L8" s="299"/>
      <c r="M8" s="18"/>
      <c r="N8" s="18"/>
      <c r="O8" s="18"/>
      <c r="P8" s="18"/>
      <c r="Q8" s="18"/>
      <c r="R8" s="18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</row>
    <row r="9" spans="1:36" ht="18">
      <c r="D9" s="18"/>
      <c r="E9" s="299" t="s">
        <v>106</v>
      </c>
      <c r="F9" s="18">
        <f>0.0648-0.003</f>
        <v>6.1799999999999994E-2</v>
      </c>
      <c r="G9" s="18" t="s">
        <v>1</v>
      </c>
      <c r="H9" s="45" t="s">
        <v>2</v>
      </c>
      <c r="I9" s="299" t="s">
        <v>107</v>
      </c>
      <c r="J9" s="299" t="s">
        <v>108</v>
      </c>
      <c r="K9" s="299" t="s">
        <v>109</v>
      </c>
      <c r="L9" s="299" t="s">
        <v>106</v>
      </c>
      <c r="M9" s="18">
        <f>0.0703-0.0065</f>
        <v>6.3799999999999996E-2</v>
      </c>
      <c r="N9" s="18" t="s">
        <v>1</v>
      </c>
      <c r="O9" s="18" t="s">
        <v>2</v>
      </c>
      <c r="P9" s="299" t="s">
        <v>107</v>
      </c>
      <c r="Q9" s="299" t="s">
        <v>108</v>
      </c>
      <c r="R9" s="299" t="s">
        <v>109</v>
      </c>
      <c r="U9" s="336">
        <f>0.0653-0.002</f>
        <v>6.3299999999999995E-2</v>
      </c>
      <c r="V9" s="336" t="s">
        <v>1</v>
      </c>
      <c r="W9" s="336" t="s">
        <v>2</v>
      </c>
      <c r="X9" s="336" t="s">
        <v>121</v>
      </c>
      <c r="Y9" s="336" t="s">
        <v>4</v>
      </c>
      <c r="Z9" s="337" t="s">
        <v>5</v>
      </c>
      <c r="AA9" s="336"/>
      <c r="AB9" s="336"/>
      <c r="AC9" s="336"/>
      <c r="AD9" s="336"/>
      <c r="AE9" s="336"/>
      <c r="AF9" s="336"/>
      <c r="AG9" s="336"/>
      <c r="AH9" s="336"/>
      <c r="AI9" s="336"/>
      <c r="AJ9" s="336"/>
    </row>
    <row r="10" spans="1:36">
      <c r="D10" s="18"/>
      <c r="E10" s="299" t="s">
        <v>116</v>
      </c>
      <c r="F10" s="299">
        <f>F9/20*40</f>
        <v>0.12359999999999999</v>
      </c>
      <c r="G10" s="18">
        <v>20</v>
      </c>
      <c r="H10" s="45">
        <v>100</v>
      </c>
      <c r="I10" s="45">
        <v>24.778006212592491</v>
      </c>
      <c r="J10" s="45">
        <v>25.639293380933605</v>
      </c>
      <c r="K10" s="45">
        <f>J10-I10</f>
        <v>0.8612871683411143</v>
      </c>
      <c r="L10" s="299" t="s">
        <v>116</v>
      </c>
      <c r="M10" s="299">
        <f>M9/20*40</f>
        <v>0.12759999999999999</v>
      </c>
      <c r="N10" s="18">
        <v>20</v>
      </c>
      <c r="O10" s="18">
        <v>100</v>
      </c>
      <c r="P10" s="31">
        <v>25.458803055215057</v>
      </c>
      <c r="Q10" s="30">
        <v>26.663003215968789</v>
      </c>
      <c r="R10" s="18">
        <f>Q10-P10</f>
        <v>1.2042001607537323</v>
      </c>
      <c r="S10" s="299">
        <f>AVERAGE(K10,R10)</f>
        <v>1.0327436645474233</v>
      </c>
      <c r="T10" s="299">
        <f>_xlfn.STDEV.S(R10,K10)</f>
        <v>0.24247610229193373</v>
      </c>
      <c r="U10" s="336"/>
      <c r="V10" s="336">
        <v>20</v>
      </c>
      <c r="W10" s="336">
        <v>100</v>
      </c>
      <c r="X10" s="336">
        <v>25.504624128617284</v>
      </c>
      <c r="Y10" s="336">
        <v>27.847086807911804</v>
      </c>
      <c r="Z10" s="336">
        <f>Y10-X10</f>
        <v>2.3424626792945205</v>
      </c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</row>
    <row r="11" spans="1:36">
      <c r="D11" s="18"/>
      <c r="E11" s="299"/>
      <c r="F11" s="1" t="s">
        <v>11</v>
      </c>
      <c r="G11" s="18"/>
      <c r="L11" s="299"/>
      <c r="M11" s="18"/>
      <c r="N11" s="18"/>
      <c r="O11" s="18"/>
      <c r="P11" s="18"/>
      <c r="Q11" s="18"/>
      <c r="R11" s="18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</row>
    <row r="12" spans="1:36" ht="18">
      <c r="D12" s="18"/>
      <c r="E12" s="299" t="s">
        <v>106</v>
      </c>
      <c r="F12" s="18">
        <f>0.0527-0.002</f>
        <v>5.0699999999999995E-2</v>
      </c>
      <c r="G12" s="18" t="s">
        <v>1</v>
      </c>
      <c r="H12" s="45" t="s">
        <v>2</v>
      </c>
      <c r="I12" s="299" t="s">
        <v>107</v>
      </c>
      <c r="J12" s="299" t="s">
        <v>108</v>
      </c>
      <c r="K12" s="299" t="s">
        <v>109</v>
      </c>
      <c r="L12" s="299" t="s">
        <v>106</v>
      </c>
      <c r="M12" s="18">
        <f>0.0552</f>
        <v>5.5199999999999999E-2</v>
      </c>
      <c r="N12" s="18" t="s">
        <v>1</v>
      </c>
      <c r="O12" s="18" t="s">
        <v>2</v>
      </c>
      <c r="P12" s="299" t="s">
        <v>107</v>
      </c>
      <c r="Q12" s="299" t="s">
        <v>108</v>
      </c>
      <c r="R12" s="299" t="s">
        <v>109</v>
      </c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</row>
    <row r="13" spans="1:36">
      <c r="D13" s="18"/>
      <c r="E13" s="299" t="s">
        <v>116</v>
      </c>
      <c r="F13" s="299">
        <f>F12/20*40</f>
        <v>0.10139999999999999</v>
      </c>
      <c r="G13" s="18">
        <v>20</v>
      </c>
      <c r="H13" s="45">
        <v>100</v>
      </c>
      <c r="I13" s="299">
        <v>22.789526049999999</v>
      </c>
      <c r="J13" s="45">
        <v>23.86827705</v>
      </c>
      <c r="K13" s="45">
        <f>J13-I13</f>
        <v>1.0787510000000005</v>
      </c>
      <c r="L13" s="299" t="s">
        <v>116</v>
      </c>
      <c r="M13" s="299">
        <f>M12/20*40</f>
        <v>0.1104</v>
      </c>
      <c r="N13" s="18">
        <v>20</v>
      </c>
      <c r="O13" s="18">
        <v>100</v>
      </c>
      <c r="P13" s="33">
        <v>25.969819782365562</v>
      </c>
      <c r="Q13" s="32">
        <v>27.32852636745729</v>
      </c>
      <c r="R13" s="18">
        <f>Q13-P13</f>
        <v>1.3587065850917277</v>
      </c>
      <c r="S13" s="299">
        <f>AVERAGE(K13,R13)</f>
        <v>1.2187287925458641</v>
      </c>
      <c r="T13" s="299">
        <f>_xlfn.STDEV.S(R13,K13)</f>
        <v>0.1979584926494079</v>
      </c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</row>
    <row r="14" spans="1:36">
      <c r="D14" s="18"/>
      <c r="E14" s="299"/>
      <c r="F14" s="1" t="s">
        <v>12</v>
      </c>
      <c r="G14" s="18"/>
      <c r="L14" s="299"/>
      <c r="M14" s="18"/>
      <c r="N14" s="18"/>
      <c r="O14" s="18"/>
      <c r="P14" s="18"/>
      <c r="Q14" s="18"/>
      <c r="R14" s="18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</row>
    <row r="15" spans="1:36" ht="18">
      <c r="D15" s="18"/>
      <c r="E15" s="299" t="s">
        <v>106</v>
      </c>
      <c r="F15" s="18">
        <f>0.0627-0.0129</f>
        <v>4.9800000000000004E-2</v>
      </c>
      <c r="G15" s="18" t="s">
        <v>1</v>
      </c>
      <c r="H15" s="45" t="s">
        <v>2</v>
      </c>
      <c r="I15" s="299" t="s">
        <v>107</v>
      </c>
      <c r="J15" s="299" t="s">
        <v>108</v>
      </c>
      <c r="K15" s="299" t="s">
        <v>109</v>
      </c>
      <c r="L15" s="299" t="s">
        <v>106</v>
      </c>
      <c r="M15" s="18">
        <f>0.0433-0.0012</f>
        <v>4.2099999999999999E-2</v>
      </c>
      <c r="N15" s="18" t="s">
        <v>1</v>
      </c>
      <c r="O15" s="18" t="s">
        <v>2</v>
      </c>
      <c r="P15" s="299" t="s">
        <v>107</v>
      </c>
      <c r="Q15" s="299" t="s">
        <v>108</v>
      </c>
      <c r="R15" s="299" t="s">
        <v>109</v>
      </c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</row>
    <row r="16" spans="1:36">
      <c r="D16" s="18"/>
      <c r="E16" s="299" t="s">
        <v>116</v>
      </c>
      <c r="F16" s="299">
        <f>F15/20*40</f>
        <v>9.9599999999999994E-2</v>
      </c>
      <c r="G16" s="18">
        <v>20</v>
      </c>
      <c r="H16" s="45">
        <v>100</v>
      </c>
      <c r="I16" s="45">
        <v>25.455729690535634</v>
      </c>
      <c r="J16" s="45">
        <v>26.333873798482049</v>
      </c>
      <c r="K16" s="45">
        <f>J16-I16</f>
        <v>0.87814410794641518</v>
      </c>
      <c r="L16" s="299" t="s">
        <v>116</v>
      </c>
      <c r="M16" s="299">
        <f>M15/20*40</f>
        <v>8.4199999999999997E-2</v>
      </c>
      <c r="N16" s="18">
        <v>20</v>
      </c>
      <c r="O16" s="18">
        <v>100</v>
      </c>
      <c r="P16" s="35">
        <v>25.968329666157349</v>
      </c>
      <c r="Q16" s="34">
        <v>27.327129383512101</v>
      </c>
      <c r="R16" s="18">
        <f>Q16-P16</f>
        <v>1.3587997173547528</v>
      </c>
      <c r="S16" s="299">
        <f>AVERAGE(K16,R16)</f>
        <v>1.118471912650584</v>
      </c>
      <c r="T16" s="299">
        <f>_xlfn.STDEV.S(R16,K16)</f>
        <v>0.33987484082798819</v>
      </c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</row>
    <row r="17" spans="1:36"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</row>
    <row r="18" spans="1:36">
      <c r="A18" s="333" t="s">
        <v>127</v>
      </c>
      <c r="B18" s="332"/>
      <c r="C18" s="332"/>
      <c r="D18" s="332"/>
      <c r="E18" s="332"/>
      <c r="F18" s="332"/>
      <c r="G18" s="332"/>
      <c r="H18" s="340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</row>
    <row r="19" spans="1:36">
      <c r="A19" s="267" t="s">
        <v>93</v>
      </c>
      <c r="B19" s="267" t="s">
        <v>94</v>
      </c>
      <c r="E19" s="35"/>
      <c r="F19" s="1" t="s">
        <v>9</v>
      </c>
      <c r="G19" s="35"/>
      <c r="I19" s="342" t="s">
        <v>117</v>
      </c>
      <c r="J19" s="342"/>
      <c r="K19" s="342"/>
      <c r="L19" s="299"/>
      <c r="M19" s="299"/>
      <c r="N19" s="299"/>
      <c r="O19" s="299"/>
      <c r="P19" s="334" t="s">
        <v>118</v>
      </c>
      <c r="Q19" s="299"/>
      <c r="R19" s="35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</row>
    <row r="20" spans="1:36" ht="18">
      <c r="E20" s="299" t="s">
        <v>106</v>
      </c>
      <c r="F20" s="35">
        <f>0.1407-0.0097</f>
        <v>0.13100000000000001</v>
      </c>
      <c r="G20" s="35" t="s">
        <v>1</v>
      </c>
      <c r="H20" s="45" t="s">
        <v>2</v>
      </c>
      <c r="I20" s="299" t="s">
        <v>107</v>
      </c>
      <c r="J20" s="299" t="s">
        <v>108</v>
      </c>
      <c r="K20" s="299" t="s">
        <v>109</v>
      </c>
      <c r="L20" s="299" t="s">
        <v>106</v>
      </c>
      <c r="M20" s="35">
        <f>0.1266-0.004</f>
        <v>0.12259999999999999</v>
      </c>
      <c r="N20" s="35" t="s">
        <v>1</v>
      </c>
      <c r="O20" s="35" t="s">
        <v>2</v>
      </c>
      <c r="P20" s="299" t="s">
        <v>107</v>
      </c>
      <c r="Q20" s="299" t="s">
        <v>108</v>
      </c>
      <c r="R20" s="299" t="s">
        <v>109</v>
      </c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</row>
    <row r="21" spans="1:36">
      <c r="E21" s="299" t="s">
        <v>116</v>
      </c>
      <c r="F21" s="299">
        <f>F20/20*40</f>
        <v>0.26200000000000001</v>
      </c>
      <c r="G21" s="35">
        <v>20</v>
      </c>
      <c r="H21" s="45">
        <v>100</v>
      </c>
      <c r="I21" s="45">
        <v>24.435838278283978</v>
      </c>
      <c r="J21" s="45">
        <v>32.968336818715144</v>
      </c>
      <c r="K21" s="45">
        <f>J21-I21</f>
        <v>8.5324985404311668</v>
      </c>
      <c r="L21" s="299" t="s">
        <v>116</v>
      </c>
      <c r="M21" s="299">
        <f>M20/20*40</f>
        <v>0.24519999999999997</v>
      </c>
      <c r="N21" s="35">
        <v>20</v>
      </c>
      <c r="O21" s="35">
        <v>100</v>
      </c>
      <c r="P21" s="38">
        <v>24.434068765286721</v>
      </c>
      <c r="Q21" s="37">
        <v>32.437203522753919</v>
      </c>
      <c r="R21" s="35">
        <f>Q21-P21</f>
        <v>8.0031347574671976</v>
      </c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</row>
    <row r="22" spans="1:36">
      <c r="E22" s="299"/>
      <c r="F22" s="1" t="s">
        <v>10</v>
      </c>
      <c r="G22" s="35"/>
      <c r="L22" s="299"/>
      <c r="M22" s="35"/>
      <c r="N22" s="35"/>
      <c r="O22" s="35"/>
      <c r="P22" s="35"/>
      <c r="Q22" s="35"/>
      <c r="R22" s="35"/>
      <c r="U22" s="336">
        <f>U23*2</f>
        <v>0.11480000000000001</v>
      </c>
      <c r="V22" s="336"/>
      <c r="W22" s="336"/>
      <c r="X22" s="336"/>
      <c r="Y22" s="336"/>
      <c r="Z22" s="336"/>
      <c r="AA22" s="336"/>
      <c r="AB22" s="335">
        <v>42226</v>
      </c>
      <c r="AC22" s="336"/>
      <c r="AD22" s="336"/>
      <c r="AE22" s="336"/>
      <c r="AF22" s="336"/>
      <c r="AG22" s="336"/>
      <c r="AH22" s="336"/>
      <c r="AI22" s="336"/>
      <c r="AJ22" s="336"/>
    </row>
    <row r="23" spans="1:36" ht="18">
      <c r="E23" s="299" t="s">
        <v>106</v>
      </c>
      <c r="F23" s="35">
        <f>0.0608-0.0044</f>
        <v>5.6399999999999999E-2</v>
      </c>
      <c r="G23" s="35" t="s">
        <v>1</v>
      </c>
      <c r="H23" s="45" t="s">
        <v>2</v>
      </c>
      <c r="I23" s="299" t="s">
        <v>107</v>
      </c>
      <c r="J23" s="299" t="s">
        <v>108</v>
      </c>
      <c r="K23" s="299" t="s">
        <v>109</v>
      </c>
      <c r="L23" s="299" t="s">
        <v>106</v>
      </c>
      <c r="M23" s="35">
        <f>0.0632-0.0093</f>
        <v>5.3900000000000003E-2</v>
      </c>
      <c r="N23" s="35" t="s">
        <v>1</v>
      </c>
      <c r="O23" s="35" t="s">
        <v>2</v>
      </c>
      <c r="P23" s="299" t="s">
        <v>107</v>
      </c>
      <c r="Q23" s="299" t="s">
        <v>108</v>
      </c>
      <c r="R23" s="299" t="s">
        <v>109</v>
      </c>
      <c r="U23" s="336">
        <f>0.0665-0.0091</f>
        <v>5.7400000000000007E-2</v>
      </c>
      <c r="V23" s="336" t="s">
        <v>1</v>
      </c>
      <c r="W23" s="336" t="s">
        <v>2</v>
      </c>
      <c r="X23" s="336" t="s">
        <v>121</v>
      </c>
      <c r="Y23" s="336" t="s">
        <v>4</v>
      </c>
      <c r="Z23" s="337" t="s">
        <v>5</v>
      </c>
      <c r="AA23" s="336"/>
      <c r="AB23" s="336">
        <f>0.0806-0.0206</f>
        <v>6.0000000000000005E-2</v>
      </c>
      <c r="AC23" s="336" t="s">
        <v>1</v>
      </c>
      <c r="AD23" s="336" t="s">
        <v>2</v>
      </c>
      <c r="AE23" s="336" t="s">
        <v>121</v>
      </c>
      <c r="AF23" s="336" t="s">
        <v>4</v>
      </c>
      <c r="AG23" s="337" t="s">
        <v>5</v>
      </c>
      <c r="AH23" s="336"/>
      <c r="AI23" s="336"/>
      <c r="AJ23" s="336"/>
    </row>
    <row r="24" spans="1:36">
      <c r="E24" s="299" t="s">
        <v>116</v>
      </c>
      <c r="F24" s="299">
        <f>F23/20*40</f>
        <v>0.1128</v>
      </c>
      <c r="G24" s="35">
        <v>20</v>
      </c>
      <c r="H24" s="45">
        <v>100</v>
      </c>
      <c r="I24" s="45">
        <v>25.6160492072135</v>
      </c>
      <c r="J24" s="45">
        <v>26.305375326000163</v>
      </c>
      <c r="K24" s="45">
        <f>J24-I24</f>
        <v>0.6893261187866635</v>
      </c>
      <c r="L24" s="299" t="s">
        <v>116</v>
      </c>
      <c r="M24" s="299">
        <f>M23/20*40</f>
        <v>0.10780000000000001</v>
      </c>
      <c r="N24" s="35">
        <v>20</v>
      </c>
      <c r="O24" s="35">
        <v>100</v>
      </c>
      <c r="P24" s="40">
        <v>24.773908393019944</v>
      </c>
      <c r="Q24" s="39">
        <v>25.456102219587702</v>
      </c>
      <c r="R24" s="35">
        <f>Q24-P24</f>
        <v>0.68219382656775807</v>
      </c>
      <c r="U24" s="336"/>
      <c r="V24" s="336">
        <v>20</v>
      </c>
      <c r="W24" s="336">
        <v>100</v>
      </c>
      <c r="X24" s="336">
        <v>25.112351036807951</v>
      </c>
      <c r="Y24" s="336">
        <v>25.966187624108052</v>
      </c>
      <c r="Z24" s="336">
        <f>Y24-X24</f>
        <v>0.85383658730010126</v>
      </c>
      <c r="AA24" s="336"/>
      <c r="AB24" s="336"/>
      <c r="AC24" s="336">
        <v>20</v>
      </c>
      <c r="AD24" s="336">
        <v>100</v>
      </c>
      <c r="AE24" s="336">
        <v>26.121066577498116</v>
      </c>
      <c r="AF24" s="336">
        <v>26.649219641042937</v>
      </c>
      <c r="AG24" s="336">
        <f>AF24-AE24</f>
        <v>0.52815306354482061</v>
      </c>
      <c r="AH24" s="336"/>
      <c r="AI24" s="336"/>
      <c r="AJ24" s="336"/>
    </row>
    <row r="25" spans="1:36" ht="18">
      <c r="F25" s="1" t="s">
        <v>11</v>
      </c>
      <c r="G25" s="35"/>
      <c r="L25" s="299"/>
      <c r="M25" s="35"/>
      <c r="N25" s="35"/>
      <c r="O25" s="35"/>
      <c r="P25" s="35"/>
      <c r="Q25" s="35"/>
      <c r="R25" s="35"/>
      <c r="U25" s="336"/>
      <c r="V25" s="336"/>
      <c r="W25" s="336"/>
      <c r="X25" s="336"/>
      <c r="Y25" s="336"/>
      <c r="Z25" s="336"/>
      <c r="AA25" s="336"/>
      <c r="AB25" s="336">
        <f>0.1097-0.0474</f>
        <v>6.2300000000000008E-2</v>
      </c>
      <c r="AC25" s="336" t="s">
        <v>1</v>
      </c>
      <c r="AD25" s="336" t="s">
        <v>2</v>
      </c>
      <c r="AE25" s="336" t="s">
        <v>121</v>
      </c>
      <c r="AF25" s="336" t="s">
        <v>4</v>
      </c>
      <c r="AG25" s="337" t="s">
        <v>5</v>
      </c>
      <c r="AH25" s="336"/>
      <c r="AI25" s="336"/>
      <c r="AJ25" s="336"/>
    </row>
    <row r="26" spans="1:36" ht="18">
      <c r="E26" s="299" t="s">
        <v>106</v>
      </c>
      <c r="F26" s="35">
        <f>0.0559-0.0092</f>
        <v>4.6699999999999998E-2</v>
      </c>
      <c r="G26" s="35" t="s">
        <v>1</v>
      </c>
      <c r="H26" s="45" t="s">
        <v>2</v>
      </c>
      <c r="I26" s="299" t="s">
        <v>107</v>
      </c>
      <c r="J26" s="299" t="s">
        <v>108</v>
      </c>
      <c r="K26" s="299" t="s">
        <v>109</v>
      </c>
      <c r="L26" s="299" t="s">
        <v>106</v>
      </c>
      <c r="M26" s="35">
        <f>0.0558-0.0021</f>
        <v>5.3700000000000005E-2</v>
      </c>
      <c r="N26" s="35" t="s">
        <v>1</v>
      </c>
      <c r="O26" s="35" t="s">
        <v>2</v>
      </c>
      <c r="P26" s="299" t="s">
        <v>107</v>
      </c>
      <c r="Q26" s="299" t="s">
        <v>108</v>
      </c>
      <c r="R26" s="299" t="s">
        <v>109</v>
      </c>
      <c r="U26" s="336"/>
      <c r="V26" s="336"/>
      <c r="W26" s="336"/>
      <c r="X26" s="336"/>
      <c r="Y26" s="336"/>
      <c r="Z26" s="336"/>
      <c r="AA26" s="336"/>
      <c r="AB26" s="336"/>
      <c r="AC26" s="336">
        <v>20</v>
      </c>
      <c r="AD26" s="336">
        <v>100</v>
      </c>
      <c r="AE26" s="336">
        <v>26.651361683092208</v>
      </c>
      <c r="AF26" s="336">
        <v>27.325918664092931</v>
      </c>
      <c r="AG26" s="336">
        <f>AF26-AE26</f>
        <v>0.67455698100072325</v>
      </c>
      <c r="AH26" s="336"/>
      <c r="AI26" s="336"/>
      <c r="AJ26" s="336"/>
    </row>
    <row r="27" spans="1:36" ht="18">
      <c r="E27" s="299" t="s">
        <v>116</v>
      </c>
      <c r="F27" s="299">
        <f>F26/20*40</f>
        <v>9.3399999999999997E-2</v>
      </c>
      <c r="G27" s="35">
        <v>20</v>
      </c>
      <c r="H27" s="45">
        <v>100</v>
      </c>
      <c r="I27" s="45">
        <v>24.693069588724949</v>
      </c>
      <c r="J27" s="45">
        <v>25.451538738700066</v>
      </c>
      <c r="K27" s="45">
        <f>J27-I27</f>
        <v>0.75846914997511661</v>
      </c>
      <c r="L27" s="299" t="s">
        <v>116</v>
      </c>
      <c r="M27" s="299">
        <f>M26/20*40</f>
        <v>0.10740000000000001</v>
      </c>
      <c r="N27" s="35">
        <v>20</v>
      </c>
      <c r="O27" s="35">
        <v>100</v>
      </c>
      <c r="P27" s="42">
        <v>24.423451687303288</v>
      </c>
      <c r="Q27" s="41">
        <v>25.446416464234368</v>
      </c>
      <c r="R27" s="35">
        <f>Q27-P27</f>
        <v>1.0229647769310795</v>
      </c>
      <c r="U27" s="336"/>
      <c r="V27" s="336"/>
      <c r="W27" s="336"/>
      <c r="X27" s="336"/>
      <c r="Y27" s="336"/>
      <c r="Z27" s="336"/>
      <c r="AA27" s="336"/>
      <c r="AB27" s="336">
        <f>0.0946-0.0306</f>
        <v>6.4000000000000001E-2</v>
      </c>
      <c r="AC27" s="336" t="s">
        <v>1</v>
      </c>
      <c r="AD27" s="336" t="s">
        <v>2</v>
      </c>
      <c r="AE27" s="336" t="s">
        <v>121</v>
      </c>
      <c r="AF27" s="336" t="s">
        <v>4</v>
      </c>
      <c r="AG27" s="337" t="s">
        <v>5</v>
      </c>
      <c r="AH27" s="336"/>
      <c r="AI27" s="336"/>
      <c r="AJ27" s="336"/>
    </row>
    <row r="28" spans="1:36">
      <c r="F28" s="1" t="s">
        <v>12</v>
      </c>
      <c r="G28" s="35"/>
      <c r="L28" s="299"/>
      <c r="M28" s="35"/>
      <c r="N28" s="35"/>
      <c r="O28" s="35"/>
      <c r="P28" s="35"/>
      <c r="Q28" s="35"/>
      <c r="R28" s="35"/>
      <c r="U28" s="336"/>
      <c r="V28" s="336"/>
      <c r="W28" s="336"/>
      <c r="X28" s="336"/>
      <c r="Y28" s="336"/>
      <c r="Z28" s="336"/>
      <c r="AA28" s="336"/>
      <c r="AB28" s="336"/>
      <c r="AC28" s="336">
        <v>20</v>
      </c>
      <c r="AD28" s="336">
        <v>100</v>
      </c>
      <c r="AE28" s="336">
        <v>27.114322162528165</v>
      </c>
      <c r="AF28" s="336">
        <v>27.703521889658099</v>
      </c>
      <c r="AG28" s="336">
        <f>AF28-AE28</f>
        <v>0.58919972712993385</v>
      </c>
      <c r="AH28" s="336"/>
      <c r="AI28" s="336"/>
      <c r="AJ28" s="336"/>
    </row>
    <row r="29" spans="1:36" ht="18">
      <c r="E29" s="299" t="s">
        <v>106</v>
      </c>
      <c r="F29" s="35">
        <f>0.0541-0.0073</f>
        <v>4.6800000000000001E-2</v>
      </c>
      <c r="G29" s="35" t="s">
        <v>1</v>
      </c>
      <c r="H29" s="45" t="s">
        <v>2</v>
      </c>
      <c r="I29" s="299" t="s">
        <v>107</v>
      </c>
      <c r="J29" s="299" t="s">
        <v>108</v>
      </c>
      <c r="K29" s="299" t="s">
        <v>109</v>
      </c>
      <c r="L29" s="299" t="s">
        <v>106</v>
      </c>
      <c r="M29" s="35">
        <f>0.0534-0.0116</f>
        <v>4.1800000000000004E-2</v>
      </c>
      <c r="N29" s="35" t="s">
        <v>1</v>
      </c>
      <c r="O29" s="35" t="s">
        <v>2</v>
      </c>
      <c r="P29" s="299" t="s">
        <v>107</v>
      </c>
      <c r="Q29" s="299" t="s">
        <v>108</v>
      </c>
      <c r="R29" s="299" t="s">
        <v>109</v>
      </c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</row>
    <row r="30" spans="1:36">
      <c r="E30" s="299" t="s">
        <v>116</v>
      </c>
      <c r="F30" s="299">
        <f>F29/20*40</f>
        <v>9.3600000000000003E-2</v>
      </c>
      <c r="G30" s="35">
        <v>20</v>
      </c>
      <c r="H30" s="45">
        <v>100</v>
      </c>
      <c r="I30" s="45">
        <v>24.42326542277727</v>
      </c>
      <c r="J30" s="45">
        <v>25.111140317388781</v>
      </c>
      <c r="K30" s="45">
        <f>J30-I30</f>
        <v>0.68787489461151097</v>
      </c>
      <c r="L30" s="299" t="s">
        <v>116</v>
      </c>
      <c r="M30" s="299">
        <f>M29/20*40</f>
        <v>8.3600000000000008E-2</v>
      </c>
      <c r="N30" s="35">
        <v>20</v>
      </c>
      <c r="O30" s="35">
        <v>100</v>
      </c>
      <c r="P30" s="44">
        <v>24.167617360807508</v>
      </c>
      <c r="Q30" s="43">
        <v>25.114958740172312</v>
      </c>
      <c r="R30" s="35">
        <f>Q30-P30</f>
        <v>0.94734137936480423</v>
      </c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</row>
    <row r="35" spans="5:12">
      <c r="E35" s="335">
        <v>42150</v>
      </c>
      <c r="F35" s="336"/>
      <c r="G35" s="336"/>
      <c r="H35" s="338"/>
      <c r="I35" s="338"/>
      <c r="J35" s="338"/>
      <c r="K35" s="338"/>
      <c r="L35" s="336"/>
    </row>
    <row r="36" spans="5:12">
      <c r="E36" s="336" t="s">
        <v>19</v>
      </c>
      <c r="F36" s="336"/>
      <c r="G36" s="336"/>
      <c r="H36" s="336"/>
      <c r="I36" s="336"/>
      <c r="J36" s="336"/>
      <c r="K36" s="336"/>
      <c r="L36" s="336"/>
    </row>
    <row r="37" spans="5:12">
      <c r="E37" s="336"/>
      <c r="F37" s="336"/>
      <c r="G37" s="339" t="s">
        <v>20</v>
      </c>
      <c r="H37" s="336"/>
      <c r="I37" s="336"/>
      <c r="J37" s="336"/>
      <c r="K37" s="336"/>
      <c r="L37" s="336"/>
    </row>
    <row r="38" spans="5:12" ht="18">
      <c r="E38" s="336"/>
      <c r="F38" s="336"/>
      <c r="G38" s="336">
        <f>0.1285-0.0002</f>
        <v>0.1283</v>
      </c>
      <c r="H38" s="336" t="s">
        <v>1</v>
      </c>
      <c r="I38" s="336" t="s">
        <v>2</v>
      </c>
      <c r="J38" s="336" t="s">
        <v>121</v>
      </c>
      <c r="K38" s="336" t="s">
        <v>4</v>
      </c>
      <c r="L38" s="337" t="s">
        <v>5</v>
      </c>
    </row>
    <row r="39" spans="5:12">
      <c r="E39" s="336"/>
      <c r="F39" s="336"/>
      <c r="G39" s="336"/>
      <c r="H39" s="336">
        <v>20</v>
      </c>
      <c r="I39" s="336">
        <v>100</v>
      </c>
      <c r="J39" s="336">
        <v>25.907793695199118</v>
      </c>
      <c r="K39" s="336">
        <v>25.97196182441483</v>
      </c>
      <c r="L39" s="336">
        <f>K39-J39</f>
        <v>6.4168129215712355E-2</v>
      </c>
    </row>
    <row r="40" spans="5:12">
      <c r="E40" s="336"/>
      <c r="F40" s="336"/>
      <c r="G40" s="339" t="s">
        <v>21</v>
      </c>
      <c r="H40" s="336"/>
      <c r="I40" s="336"/>
      <c r="J40" s="336"/>
      <c r="K40" s="336"/>
      <c r="L40" s="336"/>
    </row>
    <row r="41" spans="5:12" ht="18">
      <c r="E41" s="336"/>
      <c r="F41" s="336"/>
      <c r="G41" s="336">
        <f>0.0688-0.0021</f>
        <v>6.6699999999999995E-2</v>
      </c>
      <c r="H41" s="336" t="s">
        <v>1</v>
      </c>
      <c r="I41" s="336" t="s">
        <v>2</v>
      </c>
      <c r="J41" s="336" t="s">
        <v>121</v>
      </c>
      <c r="K41" s="336" t="s">
        <v>4</v>
      </c>
      <c r="L41" s="337" t="s">
        <v>5</v>
      </c>
    </row>
    <row r="42" spans="5:12">
      <c r="E42" s="336"/>
      <c r="F42" s="336"/>
      <c r="G42" s="336"/>
      <c r="H42" s="336">
        <v>20</v>
      </c>
      <c r="I42" s="336">
        <v>100</v>
      </c>
      <c r="J42" s="336">
        <v>25.969633517839515</v>
      </c>
      <c r="K42" s="336">
        <v>25.976339040776448</v>
      </c>
      <c r="L42" s="336">
        <f>K42-J42</f>
        <v>6.7055229369330505E-3</v>
      </c>
    </row>
    <row r="43" spans="5:12">
      <c r="E43" s="336"/>
      <c r="F43" s="336"/>
      <c r="G43" s="339" t="s">
        <v>22</v>
      </c>
      <c r="H43" s="336"/>
      <c r="I43" s="336"/>
      <c r="J43" s="336"/>
      <c r="K43" s="336"/>
      <c r="L43" s="336"/>
    </row>
    <row r="44" spans="5:12" ht="18">
      <c r="E44" s="336"/>
      <c r="F44" s="336"/>
      <c r="G44" s="336">
        <f>0.0422-0.0004</f>
        <v>4.1800000000000004E-2</v>
      </c>
      <c r="H44" s="336" t="s">
        <v>1</v>
      </c>
      <c r="I44" s="336" t="s">
        <v>2</v>
      </c>
      <c r="J44" s="336" t="s">
        <v>121</v>
      </c>
      <c r="K44" s="336" t="s">
        <v>4</v>
      </c>
      <c r="L44" s="337" t="s">
        <v>5</v>
      </c>
    </row>
    <row r="45" spans="5:12">
      <c r="E45" s="336"/>
      <c r="F45" s="336"/>
      <c r="G45" s="336"/>
      <c r="H45" s="336">
        <v>20</v>
      </c>
      <c r="I45" s="336">
        <v>100</v>
      </c>
      <c r="J45" s="336">
        <v>25.971775559888812</v>
      </c>
      <c r="K45" s="336">
        <v>25.97997119903393</v>
      </c>
      <c r="L45" s="336">
        <f>K45-J45</f>
        <v>8.1956391451178945E-3</v>
      </c>
    </row>
    <row r="46" spans="5:12">
      <c r="E46" s="336"/>
      <c r="F46" s="336"/>
      <c r="G46" s="339" t="s">
        <v>23</v>
      </c>
      <c r="H46" s="336"/>
      <c r="I46" s="336"/>
      <c r="J46" s="336"/>
      <c r="K46" s="336"/>
      <c r="L46" s="336"/>
    </row>
    <row r="47" spans="5:12" ht="18">
      <c r="E47" s="336"/>
      <c r="F47" s="336"/>
      <c r="G47" s="336">
        <f>0.055-0.002</f>
        <v>5.2999999999999999E-2</v>
      </c>
      <c r="H47" s="336" t="s">
        <v>1</v>
      </c>
      <c r="I47" s="336" t="s">
        <v>2</v>
      </c>
      <c r="J47" s="336" t="s">
        <v>121</v>
      </c>
      <c r="K47" s="336" t="s">
        <v>4</v>
      </c>
      <c r="L47" s="337" t="s">
        <v>5</v>
      </c>
    </row>
    <row r="48" spans="5:12">
      <c r="E48" s="336"/>
      <c r="F48" s="336"/>
      <c r="G48" s="336"/>
      <c r="H48" s="336">
        <v>20</v>
      </c>
      <c r="I48" s="336">
        <v>100</v>
      </c>
      <c r="J48" s="336">
        <v>26.082975481925946</v>
      </c>
      <c r="K48" s="336">
        <v>26.30714483899742</v>
      </c>
      <c r="L48" s="336">
        <f>K48-J48</f>
        <v>0.22416935707147445</v>
      </c>
    </row>
    <row r="49" spans="5:12">
      <c r="E49" s="336"/>
      <c r="F49" s="336"/>
      <c r="G49" s="336"/>
      <c r="H49" s="338"/>
      <c r="I49" s="338"/>
      <c r="J49" s="338"/>
      <c r="K49" s="338"/>
      <c r="L49" s="336"/>
    </row>
    <row r="50" spans="5:12">
      <c r="E50" s="336"/>
      <c r="F50" s="336"/>
      <c r="G50" s="336"/>
      <c r="H50" s="338"/>
      <c r="I50" s="338"/>
      <c r="J50" s="338"/>
      <c r="K50" s="338"/>
      <c r="L50" s="336"/>
    </row>
  </sheetData>
  <mergeCells count="2">
    <mergeCell ref="I4:K4"/>
    <mergeCell ref="I19:K19"/>
  </mergeCells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opLeftCell="G1" workbookViewId="0">
      <selection activeCell="AA4" sqref="AA4:AB6"/>
    </sheetView>
  </sheetViews>
  <sheetFormatPr defaultRowHeight="15"/>
  <cols>
    <col min="6" max="6" width="19.5703125" customWidth="1"/>
    <col min="7" max="7" width="9" customWidth="1"/>
    <col min="14" max="14" width="8.42578125" customWidth="1"/>
    <col min="20" max="20" width="17.5703125" customWidth="1"/>
  </cols>
  <sheetData>
    <row r="1" spans="1:30">
      <c r="A1" s="333" t="s">
        <v>125</v>
      </c>
      <c r="B1" s="332"/>
      <c r="C1" s="332"/>
      <c r="D1" s="332"/>
      <c r="E1" s="332"/>
      <c r="F1" s="332"/>
      <c r="G1" s="332"/>
    </row>
    <row r="2" spans="1:30">
      <c r="A2" s="267" t="s">
        <v>93</v>
      </c>
      <c r="B2" s="267" t="s">
        <v>94</v>
      </c>
    </row>
    <row r="3" spans="1:30">
      <c r="E3" s="44"/>
      <c r="F3" s="44"/>
      <c r="G3" s="1" t="s">
        <v>15</v>
      </c>
      <c r="H3" s="44"/>
      <c r="I3" s="45"/>
      <c r="J3" s="342" t="s">
        <v>117</v>
      </c>
      <c r="K3" s="342"/>
      <c r="L3" s="342"/>
      <c r="M3" s="299"/>
      <c r="N3" s="299"/>
      <c r="O3" s="299"/>
      <c r="P3" s="299"/>
      <c r="Q3" s="334" t="s">
        <v>118</v>
      </c>
      <c r="R3" s="299"/>
      <c r="S3" s="44"/>
      <c r="X3" s="334" t="s">
        <v>122</v>
      </c>
      <c r="Y3" s="299"/>
    </row>
    <row r="4" spans="1:30" ht="18">
      <c r="E4" s="44"/>
      <c r="F4" s="299" t="s">
        <v>106</v>
      </c>
      <c r="G4" s="44">
        <f>0.1366</f>
        <v>0.1366</v>
      </c>
      <c r="H4" s="44" t="s">
        <v>1</v>
      </c>
      <c r="I4" s="45" t="s">
        <v>2</v>
      </c>
      <c r="J4" s="299" t="s">
        <v>107</v>
      </c>
      <c r="K4" s="299" t="s">
        <v>108</v>
      </c>
      <c r="L4" s="299" t="s">
        <v>109</v>
      </c>
      <c r="M4" s="44"/>
      <c r="O4" s="44" t="s">
        <v>1</v>
      </c>
      <c r="P4" s="44" t="s">
        <v>2</v>
      </c>
      <c r="Q4" s="299" t="s">
        <v>107</v>
      </c>
      <c r="R4" s="299" t="s">
        <v>108</v>
      </c>
      <c r="S4" s="299" t="s">
        <v>109</v>
      </c>
      <c r="V4" s="299" t="s">
        <v>1</v>
      </c>
      <c r="W4" s="299" t="s">
        <v>2</v>
      </c>
      <c r="X4" s="299" t="s">
        <v>3</v>
      </c>
      <c r="Y4" s="299" t="s">
        <v>4</v>
      </c>
      <c r="Z4" s="2" t="s">
        <v>5</v>
      </c>
      <c r="AA4" s="299" t="s">
        <v>119</v>
      </c>
      <c r="AB4" s="299" t="s">
        <v>120</v>
      </c>
      <c r="AC4" s="299"/>
      <c r="AD4" s="299"/>
    </row>
    <row r="5" spans="1:30">
      <c r="E5" s="44"/>
      <c r="F5" s="299" t="s">
        <v>116</v>
      </c>
      <c r="G5" s="299">
        <f>G4/20*60</f>
        <v>0.4098</v>
      </c>
      <c r="H5" s="44">
        <v>20</v>
      </c>
      <c r="I5" s="45">
        <v>100</v>
      </c>
      <c r="J5" s="48">
        <v>25.085994606375362</v>
      </c>
      <c r="K5" s="47">
        <v>36.805851716151949</v>
      </c>
      <c r="L5" s="45">
        <f>K5-J5</f>
        <v>11.719857109776587</v>
      </c>
      <c r="M5" s="299" t="s">
        <v>106</v>
      </c>
      <c r="N5" s="44">
        <f>0.1582-0.0202</f>
        <v>0.13800000000000001</v>
      </c>
      <c r="O5" s="44">
        <v>20</v>
      </c>
      <c r="P5" s="44">
        <v>100</v>
      </c>
      <c r="Q5" s="50">
        <v>25.451818135489109</v>
      </c>
      <c r="R5" s="49">
        <v>37.329063858334102</v>
      </c>
      <c r="S5" s="44">
        <f>R5-Q5</f>
        <v>11.877245722844993</v>
      </c>
      <c r="T5" s="299" t="s">
        <v>106</v>
      </c>
      <c r="U5" s="299">
        <f>0.1452-0.0102</f>
        <v>0.13500000000000001</v>
      </c>
      <c r="V5" s="299">
        <v>20</v>
      </c>
      <c r="W5" s="299">
        <v>100</v>
      </c>
      <c r="X5" s="299">
        <v>25.413548915181799</v>
      </c>
      <c r="Y5" s="299">
        <v>37.332963858299998</v>
      </c>
      <c r="Z5" s="299">
        <f>Y5-X5</f>
        <v>11.919414943118198</v>
      </c>
      <c r="AA5" s="299">
        <f>AVERAGE(L5,S5,Z5)</f>
        <v>11.838839258579926</v>
      </c>
      <c r="AB5" s="299">
        <f>_xlfn.STDEV.S(L5,Z5,S5)</f>
        <v>0.10517663516678724</v>
      </c>
      <c r="AC5" s="299"/>
      <c r="AD5" s="299"/>
    </row>
    <row r="6" spans="1:30" s="299" customFormat="1">
      <c r="H6" s="299">
        <v>15</v>
      </c>
      <c r="I6" s="45">
        <v>133</v>
      </c>
      <c r="J6" s="299">
        <v>25.063754085994599</v>
      </c>
      <c r="K6" s="299">
        <v>40.615198058517102</v>
      </c>
      <c r="L6" s="45">
        <f>K6-J6</f>
        <v>15.551443972522502</v>
      </c>
      <c r="M6" s="299" t="s">
        <v>116</v>
      </c>
      <c r="N6" s="299">
        <f>N5/20*60</f>
        <v>0.41400000000000003</v>
      </c>
      <c r="O6" s="299">
        <v>15</v>
      </c>
      <c r="P6" s="45">
        <v>133</v>
      </c>
      <c r="Q6" s="299">
        <v>25.548914518181299</v>
      </c>
      <c r="R6" s="299">
        <v>41.063853298334102</v>
      </c>
      <c r="S6" s="299">
        <f>R6-Q6</f>
        <v>15.514938780152804</v>
      </c>
      <c r="T6" s="299" t="s">
        <v>116</v>
      </c>
      <c r="U6" s="299">
        <f>U5/20*60</f>
        <v>0.40500000000000003</v>
      </c>
      <c r="V6" s="299">
        <v>15</v>
      </c>
      <c r="W6" s="45">
        <v>133</v>
      </c>
      <c r="X6" s="299">
        <v>25.518184135489101</v>
      </c>
      <c r="Y6" s="299">
        <v>41.332963858299998</v>
      </c>
      <c r="Z6" s="299">
        <f>Y6-X6</f>
        <v>15.814779722810897</v>
      </c>
      <c r="AA6" s="299">
        <f>AVERAGE(L6,S6,Z6)</f>
        <v>15.627054158495403</v>
      </c>
      <c r="AB6" s="299">
        <f>_xlfn.STDEV.S(L6,Z6,S6)</f>
        <v>0.16359652469006106</v>
      </c>
    </row>
    <row r="7" spans="1:30">
      <c r="E7" s="44"/>
      <c r="G7" s="1" t="s">
        <v>16</v>
      </c>
      <c r="H7" s="44"/>
      <c r="I7" s="45"/>
      <c r="J7" s="45"/>
      <c r="K7" s="45"/>
      <c r="L7" s="45"/>
      <c r="M7" s="299"/>
      <c r="O7" s="44"/>
      <c r="P7" s="44"/>
      <c r="Q7" s="44"/>
      <c r="R7" s="44"/>
      <c r="S7" s="44"/>
      <c r="T7" s="299"/>
    </row>
    <row r="8" spans="1:30" ht="18">
      <c r="E8" s="44"/>
      <c r="F8" s="299" t="s">
        <v>106</v>
      </c>
      <c r="G8" s="44">
        <f>0.0847-0.0248</f>
        <v>5.9899999999999995E-2</v>
      </c>
      <c r="H8" s="44" t="s">
        <v>1</v>
      </c>
      <c r="I8" s="45" t="s">
        <v>2</v>
      </c>
      <c r="J8" s="299" t="s">
        <v>107</v>
      </c>
      <c r="K8" s="299" t="s">
        <v>108</v>
      </c>
      <c r="L8" s="299" t="s">
        <v>109</v>
      </c>
      <c r="M8" s="299" t="s">
        <v>106</v>
      </c>
      <c r="N8">
        <v>6.13E-2</v>
      </c>
      <c r="O8" s="44" t="s">
        <v>1</v>
      </c>
      <c r="P8" s="44" t="s">
        <v>2</v>
      </c>
      <c r="Q8" s="299" t="s">
        <v>107</v>
      </c>
      <c r="R8" s="299" t="s">
        <v>108</v>
      </c>
      <c r="S8" s="299" t="s">
        <v>109</v>
      </c>
      <c r="T8" s="299"/>
      <c r="U8" s="54"/>
      <c r="V8" s="54" t="s">
        <v>1</v>
      </c>
      <c r="W8" s="54" t="s">
        <v>2</v>
      </c>
      <c r="X8" s="299" t="s">
        <v>107</v>
      </c>
      <c r="Y8" s="299" t="s">
        <v>108</v>
      </c>
      <c r="Z8" s="299" t="s">
        <v>109</v>
      </c>
    </row>
    <row r="9" spans="1:30">
      <c r="E9" s="44"/>
      <c r="F9" s="299" t="s">
        <v>116</v>
      </c>
      <c r="G9" s="299">
        <f>G8/20*60</f>
        <v>0.1797</v>
      </c>
      <c r="H9" s="44">
        <v>20</v>
      </c>
      <c r="I9" s="45">
        <v>100</v>
      </c>
      <c r="J9" s="52">
        <v>25.620201267016007</v>
      </c>
      <c r="K9" s="51">
        <v>30.050503018528413</v>
      </c>
      <c r="L9" s="45">
        <f>K9-J9</f>
        <v>4.4303017515124061</v>
      </c>
      <c r="M9" s="299" t="s">
        <v>116</v>
      </c>
      <c r="N9" s="299">
        <f>N8/20*60</f>
        <v>0.18390000000000001</v>
      </c>
      <c r="O9" s="44">
        <v>20</v>
      </c>
      <c r="P9" s="44">
        <v>100</v>
      </c>
      <c r="Q9" s="54">
        <v>26.288332121868869</v>
      </c>
      <c r="R9" s="53">
        <v>31.072722737355384</v>
      </c>
      <c r="S9" s="44">
        <f>R9-Q9</f>
        <v>4.7843906154865152</v>
      </c>
      <c r="T9" s="299" t="s">
        <v>106</v>
      </c>
      <c r="U9" s="299">
        <v>5.7799999999999997E-2</v>
      </c>
      <c r="V9" s="54">
        <v>20</v>
      </c>
      <c r="W9" s="54">
        <v>100</v>
      </c>
      <c r="X9" s="56">
        <v>24.081097488468728</v>
      </c>
      <c r="Y9" s="55">
        <v>28.169045041146575</v>
      </c>
      <c r="Z9" s="54">
        <f>Y9-X9</f>
        <v>4.0879475526778464</v>
      </c>
      <c r="AA9" s="299">
        <f>AVERAGE(L9,S9,Z9)</f>
        <v>4.4342133065589229</v>
      </c>
      <c r="AB9" s="299">
        <f>_xlfn.STDEV.S(L9,Z9,S9)</f>
        <v>0.34823800787786119</v>
      </c>
    </row>
    <row r="10" spans="1:30">
      <c r="E10" s="44"/>
      <c r="F10" s="299"/>
      <c r="G10" s="1" t="s">
        <v>17</v>
      </c>
      <c r="H10" s="44"/>
      <c r="I10" s="45"/>
      <c r="J10" s="45"/>
      <c r="K10" s="45"/>
      <c r="L10" s="45"/>
      <c r="O10" s="44"/>
      <c r="P10" s="44"/>
      <c r="Q10" s="44"/>
      <c r="R10" s="44"/>
      <c r="S10" s="44"/>
      <c r="T10" s="299" t="s">
        <v>116</v>
      </c>
      <c r="U10" s="299">
        <f>U9/20*60</f>
        <v>0.1734</v>
      </c>
    </row>
    <row r="11" spans="1:30" ht="18">
      <c r="E11" s="44"/>
      <c r="F11" s="299" t="s">
        <v>106</v>
      </c>
      <c r="G11" s="44">
        <f>0.064-0.0153</f>
        <v>4.87E-2</v>
      </c>
      <c r="H11" s="44" t="s">
        <v>1</v>
      </c>
      <c r="I11" s="45" t="s">
        <v>2</v>
      </c>
      <c r="J11" s="299" t="s">
        <v>107</v>
      </c>
      <c r="K11" s="299" t="s">
        <v>108</v>
      </c>
      <c r="L11" s="299" t="s">
        <v>109</v>
      </c>
      <c r="M11" s="299" t="s">
        <v>106</v>
      </c>
      <c r="N11">
        <v>4.87E-2</v>
      </c>
      <c r="O11" s="44" t="s">
        <v>1</v>
      </c>
      <c r="P11" s="44" t="s">
        <v>2</v>
      </c>
      <c r="Q11" s="299" t="s">
        <v>107</v>
      </c>
      <c r="R11" s="299" t="s">
        <v>108</v>
      </c>
      <c r="S11" s="299" t="s">
        <v>109</v>
      </c>
      <c r="T11" s="299"/>
      <c r="U11" s="60"/>
      <c r="V11" s="60" t="s">
        <v>1</v>
      </c>
      <c r="W11" s="60" t="s">
        <v>2</v>
      </c>
      <c r="X11" s="299" t="s">
        <v>107</v>
      </c>
      <c r="Y11" s="299" t="s">
        <v>108</v>
      </c>
      <c r="Z11" s="299" t="s">
        <v>109</v>
      </c>
    </row>
    <row r="12" spans="1:30">
      <c r="E12" s="44"/>
      <c r="F12" s="299" t="s">
        <v>116</v>
      </c>
      <c r="G12" s="299">
        <f>G11/20*60</f>
        <v>0.14610000000000001</v>
      </c>
      <c r="H12" s="44">
        <v>20</v>
      </c>
      <c r="I12" s="45">
        <v>100</v>
      </c>
      <c r="J12" s="58">
        <v>24.766457811978931</v>
      </c>
      <c r="K12" s="57">
        <v>26.268401817584142</v>
      </c>
      <c r="L12" s="45">
        <f>K12-J12</f>
        <v>1.5019440056052105</v>
      </c>
      <c r="M12" s="299" t="s">
        <v>116</v>
      </c>
      <c r="N12" s="299">
        <f>N11/20*60</f>
        <v>0.14610000000000001</v>
      </c>
      <c r="O12" s="44">
        <v>20</v>
      </c>
      <c r="P12" s="44">
        <v>100</v>
      </c>
      <c r="Q12" s="60">
        <v>25.445298877078223</v>
      </c>
      <c r="R12" s="59">
        <v>26.302674490372809</v>
      </c>
      <c r="S12" s="44">
        <f>R12-Q12</f>
        <v>0.857375613294586</v>
      </c>
      <c r="T12" s="299" t="s">
        <v>106</v>
      </c>
      <c r="U12" s="299">
        <v>4.1000000000000002E-2</v>
      </c>
      <c r="V12" s="60">
        <v>20</v>
      </c>
      <c r="W12" s="60">
        <v>100</v>
      </c>
      <c r="X12" s="62">
        <v>25.613123215027034</v>
      </c>
      <c r="Y12" s="61">
        <v>26.642048456790942</v>
      </c>
      <c r="Z12" s="60">
        <f>Y12-X12</f>
        <v>1.0289252417639076</v>
      </c>
      <c r="AA12" s="299">
        <f>AVERAGE(L12,S12,Z12)</f>
        <v>1.1294149535545681</v>
      </c>
      <c r="AB12" s="299">
        <f>_xlfn.STDEV.S(L12,Z12,S12)</f>
        <v>0.33382741008386774</v>
      </c>
    </row>
    <row r="13" spans="1:30">
      <c r="E13" s="44"/>
      <c r="F13" s="299"/>
      <c r="G13" s="1" t="s">
        <v>18</v>
      </c>
      <c r="H13" s="44"/>
      <c r="I13" s="45"/>
      <c r="M13" s="299"/>
      <c r="O13" s="44"/>
      <c r="P13" s="44"/>
      <c r="Q13" s="44"/>
      <c r="R13" s="44"/>
      <c r="S13" s="44"/>
      <c r="T13" s="299" t="s">
        <v>116</v>
      </c>
      <c r="U13" s="299">
        <f>U12/20*60</f>
        <v>0.12300000000000001</v>
      </c>
    </row>
    <row r="14" spans="1:30" ht="18">
      <c r="E14" s="44"/>
      <c r="F14" s="299" t="s">
        <v>106</v>
      </c>
      <c r="G14" s="44">
        <f>0.0508-0.0085</f>
        <v>4.2299999999999997E-2</v>
      </c>
      <c r="H14" s="44" t="s">
        <v>1</v>
      </c>
      <c r="I14" s="45" t="s">
        <v>2</v>
      </c>
      <c r="J14" s="299" t="s">
        <v>107</v>
      </c>
      <c r="K14" s="299" t="s">
        <v>108</v>
      </c>
      <c r="L14" s="299" t="s">
        <v>109</v>
      </c>
      <c r="M14" s="299" t="s">
        <v>106</v>
      </c>
      <c r="N14">
        <v>4.2299999999999997E-2</v>
      </c>
      <c r="O14" s="44" t="s">
        <v>1</v>
      </c>
      <c r="P14" s="44" t="s">
        <v>2</v>
      </c>
      <c r="Q14" s="299" t="s">
        <v>107</v>
      </c>
      <c r="R14" s="299" t="s">
        <v>108</v>
      </c>
      <c r="S14" s="299" t="s">
        <v>109</v>
      </c>
      <c r="T14" s="299"/>
      <c r="U14" s="66"/>
      <c r="V14" s="66" t="s">
        <v>1</v>
      </c>
      <c r="W14" s="66" t="s">
        <v>2</v>
      </c>
      <c r="X14" s="299" t="s">
        <v>107</v>
      </c>
      <c r="Y14" s="299" t="s">
        <v>108</v>
      </c>
      <c r="Z14" s="299" t="s">
        <v>109</v>
      </c>
    </row>
    <row r="15" spans="1:30">
      <c r="E15" s="44"/>
      <c r="F15" s="299" t="s">
        <v>116</v>
      </c>
      <c r="G15" s="299">
        <f>G14/20*60</f>
        <v>0.12689999999999999</v>
      </c>
      <c r="H15" s="44">
        <v>20</v>
      </c>
      <c r="I15" s="45">
        <v>100</v>
      </c>
      <c r="J15" s="64">
        <v>25.445112612552201</v>
      </c>
      <c r="K15" s="63">
        <v>27.49793395387734</v>
      </c>
      <c r="L15" s="45">
        <f>K15-J15</f>
        <v>2.0528213413251386</v>
      </c>
      <c r="M15" s="299" t="s">
        <v>116</v>
      </c>
      <c r="N15" s="299">
        <f>N14/20*60</f>
        <v>0.12689999999999999</v>
      </c>
      <c r="O15" s="44">
        <v>20</v>
      </c>
      <c r="P15" s="44">
        <v>100</v>
      </c>
      <c r="Q15" s="66">
        <v>25.915523673029174</v>
      </c>
      <c r="R15" s="65">
        <v>28.856081745391009</v>
      </c>
      <c r="S15" s="44">
        <f>R15-Q15</f>
        <v>2.940558072361835</v>
      </c>
      <c r="T15" s="299" t="s">
        <v>106</v>
      </c>
      <c r="U15" s="299">
        <v>4.2500000000000003E-2</v>
      </c>
      <c r="V15" s="66">
        <v>20</v>
      </c>
      <c r="W15" s="66">
        <v>100</v>
      </c>
      <c r="X15" s="68">
        <v>25.621598250961199</v>
      </c>
      <c r="Y15" s="67">
        <v>27.842616459287189</v>
      </c>
      <c r="Z15" s="66">
        <f>Y15-X15</f>
        <v>2.2210182083259902</v>
      </c>
      <c r="AA15" s="299">
        <f>AVERAGE(L15,S15,Z15)</f>
        <v>2.4047992073376547</v>
      </c>
      <c r="AB15" s="299">
        <f>_xlfn.STDEV.S(L15,Z15,S15)</f>
        <v>0.47154079103108759</v>
      </c>
    </row>
    <row r="16" spans="1:30">
      <c r="T16" s="299" t="s">
        <v>116</v>
      </c>
      <c r="U16" s="299">
        <f>U15/20*60</f>
        <v>0.1275</v>
      </c>
    </row>
    <row r="17" spans="1:26">
      <c r="A17" s="333" t="s">
        <v>126</v>
      </c>
      <c r="B17" s="332"/>
      <c r="C17" s="332"/>
      <c r="D17" s="332"/>
      <c r="E17" s="332"/>
      <c r="F17" s="332"/>
    </row>
    <row r="18" spans="1:26">
      <c r="D18" s="19"/>
    </row>
    <row r="19" spans="1:26">
      <c r="F19" s="68"/>
      <c r="G19" s="1" t="s">
        <v>15</v>
      </c>
      <c r="H19" s="68"/>
      <c r="I19" s="45"/>
      <c r="J19" s="342" t="s">
        <v>117</v>
      </c>
      <c r="K19" s="342"/>
      <c r="L19" s="342"/>
      <c r="M19" s="299"/>
      <c r="N19" s="299"/>
      <c r="O19" s="299"/>
      <c r="P19" s="299"/>
      <c r="Q19" s="334" t="s">
        <v>118</v>
      </c>
      <c r="R19" s="299"/>
      <c r="S19" s="299"/>
      <c r="T19" s="299"/>
      <c r="U19" s="299"/>
      <c r="V19" s="299"/>
      <c r="W19" s="299"/>
      <c r="X19" s="334" t="s">
        <v>122</v>
      </c>
      <c r="Y19" s="299"/>
    </row>
    <row r="20" spans="1:26" ht="18">
      <c r="F20" s="299" t="s">
        <v>106</v>
      </c>
      <c r="G20" s="68">
        <f>0.1406-0.0143</f>
        <v>0.1263</v>
      </c>
      <c r="H20" s="68" t="s">
        <v>1</v>
      </c>
      <c r="I20" s="45" t="s">
        <v>2</v>
      </c>
      <c r="J20" s="299" t="s">
        <v>107</v>
      </c>
      <c r="K20" s="299" t="s">
        <v>108</v>
      </c>
      <c r="L20" s="299" t="s">
        <v>109</v>
      </c>
      <c r="M20" s="68"/>
      <c r="N20" s="68"/>
    </row>
    <row r="21" spans="1:26">
      <c r="F21" s="299" t="s">
        <v>116</v>
      </c>
      <c r="G21" s="299">
        <f>G20/20*60</f>
        <v>0.37889999999999996</v>
      </c>
      <c r="H21" s="68">
        <v>20</v>
      </c>
      <c r="I21" s="45">
        <v>100</v>
      </c>
      <c r="J21" s="70">
        <v>23.731013311804141</v>
      </c>
      <c r="K21" s="69">
        <v>34.764392510914348</v>
      </c>
      <c r="L21" s="45">
        <f>K21-J21</f>
        <v>11.033379199110207</v>
      </c>
      <c r="M21" s="68"/>
      <c r="N21" s="68"/>
    </row>
    <row r="22" spans="1:26">
      <c r="F22" s="299"/>
      <c r="G22" s="1" t="s">
        <v>16</v>
      </c>
      <c r="H22" s="68"/>
      <c r="I22" s="45"/>
      <c r="J22" s="45"/>
      <c r="K22" s="45"/>
      <c r="L22" s="45"/>
      <c r="M22" s="68"/>
      <c r="N22" s="68"/>
    </row>
    <row r="23" spans="1:26" ht="18">
      <c r="F23" s="299" t="s">
        <v>106</v>
      </c>
      <c r="G23" s="68">
        <f>0.064-0.0005</f>
        <v>6.3500000000000001E-2</v>
      </c>
      <c r="H23" s="68" t="s">
        <v>1</v>
      </c>
      <c r="I23" s="45" t="s">
        <v>2</v>
      </c>
      <c r="J23" s="299" t="s">
        <v>107</v>
      </c>
      <c r="K23" s="299" t="s">
        <v>108</v>
      </c>
      <c r="L23" s="299" t="s">
        <v>109</v>
      </c>
      <c r="M23" s="68"/>
      <c r="N23" s="68"/>
    </row>
    <row r="24" spans="1:26">
      <c r="F24" s="299" t="s">
        <v>116</v>
      </c>
      <c r="G24" s="299">
        <f>G23/20*60</f>
        <v>0.1905</v>
      </c>
      <c r="H24" s="68">
        <v>20</v>
      </c>
      <c r="I24" s="45">
        <v>100</v>
      </c>
      <c r="J24" s="72">
        <v>24.417304957944442</v>
      </c>
      <c r="K24" s="71">
        <v>29.365701488596297</v>
      </c>
      <c r="L24" s="45">
        <f>K24-J24</f>
        <v>4.9483965306518556</v>
      </c>
      <c r="M24" s="68"/>
      <c r="N24" s="68"/>
    </row>
    <row r="25" spans="1:26">
      <c r="F25" s="299"/>
      <c r="G25" s="1" t="s">
        <v>17</v>
      </c>
      <c r="H25" s="68"/>
      <c r="I25" s="45"/>
      <c r="J25" s="45"/>
      <c r="K25" s="45"/>
      <c r="L25" s="45"/>
      <c r="M25" s="68"/>
      <c r="N25" s="68"/>
    </row>
    <row r="26" spans="1:26" ht="18">
      <c r="F26" s="299" t="s">
        <v>106</v>
      </c>
      <c r="G26" s="68">
        <f>0.0524-0.0111</f>
        <v>4.1300000000000003E-2</v>
      </c>
      <c r="H26" s="68" t="s">
        <v>1</v>
      </c>
      <c r="I26" s="45" t="s">
        <v>2</v>
      </c>
      <c r="J26" s="299" t="s">
        <v>107</v>
      </c>
      <c r="K26" s="299" t="s">
        <v>108</v>
      </c>
      <c r="L26" s="299" t="s">
        <v>109</v>
      </c>
      <c r="M26" s="299" t="s">
        <v>106</v>
      </c>
      <c r="N26" s="68">
        <f>0.0519</f>
        <v>5.1900000000000002E-2</v>
      </c>
      <c r="O26" s="68" t="s">
        <v>1</v>
      </c>
      <c r="P26" s="68" t="s">
        <v>2</v>
      </c>
      <c r="Q26" s="299" t="s">
        <v>107</v>
      </c>
      <c r="R26" s="299" t="s">
        <v>108</v>
      </c>
      <c r="S26" s="299" t="s">
        <v>109</v>
      </c>
    </row>
    <row r="27" spans="1:26">
      <c r="F27" s="299" t="s">
        <v>116</v>
      </c>
      <c r="G27" s="299">
        <f>G26/20*60</f>
        <v>0.1239</v>
      </c>
      <c r="H27" s="68">
        <v>20</v>
      </c>
      <c r="I27" s="45">
        <v>100</v>
      </c>
      <c r="J27" s="80">
        <v>24.752674237053053</v>
      </c>
      <c r="K27" s="79">
        <v>26.971177874277707</v>
      </c>
      <c r="L27" s="45">
        <f>K27-J27</f>
        <v>2.2185036372246536</v>
      </c>
      <c r="M27" s="299" t="s">
        <v>116</v>
      </c>
      <c r="N27" s="299">
        <f>N26/20*60</f>
        <v>0.15570000000000001</v>
      </c>
      <c r="O27" s="68">
        <v>20</v>
      </c>
      <c r="P27" s="68">
        <v>100</v>
      </c>
      <c r="Q27" s="82">
        <v>25.945325997193226</v>
      </c>
      <c r="R27" s="81">
        <v>28.172584067141059</v>
      </c>
      <c r="S27" s="68">
        <f>R27-Q27</f>
        <v>2.2272580699478333</v>
      </c>
    </row>
    <row r="28" spans="1:26">
      <c r="F28" s="299"/>
      <c r="G28" s="1" t="s">
        <v>18</v>
      </c>
      <c r="H28" s="68"/>
      <c r="I28" s="45"/>
      <c r="J28" s="68"/>
      <c r="K28" s="68"/>
      <c r="L28" s="68"/>
      <c r="M28" s="299"/>
      <c r="N28" s="68"/>
      <c r="O28" s="68"/>
      <c r="P28" s="68"/>
      <c r="Q28" s="68"/>
      <c r="R28" s="68"/>
      <c r="S28" s="68"/>
    </row>
    <row r="29" spans="1:26" ht="18">
      <c r="F29" s="299" t="s">
        <v>106</v>
      </c>
      <c r="G29" s="68">
        <f>0.0679-0.0109</f>
        <v>5.7000000000000002E-2</v>
      </c>
      <c r="H29" s="68" t="s">
        <v>1</v>
      </c>
      <c r="I29" s="45" t="s">
        <v>2</v>
      </c>
      <c r="J29" s="299" t="s">
        <v>107</v>
      </c>
      <c r="K29" s="299" t="s">
        <v>108</v>
      </c>
      <c r="L29" s="299" t="s">
        <v>109</v>
      </c>
      <c r="M29" s="299" t="s">
        <v>106</v>
      </c>
      <c r="N29" s="68">
        <f>0.0525-0.0002</f>
        <v>5.2299999999999999E-2</v>
      </c>
      <c r="O29" s="68" t="s">
        <v>1</v>
      </c>
      <c r="P29" s="68" t="s">
        <v>2</v>
      </c>
      <c r="Q29" s="299" t="s">
        <v>107</v>
      </c>
      <c r="R29" s="299" t="s">
        <v>108</v>
      </c>
      <c r="S29" s="299" t="s">
        <v>109</v>
      </c>
      <c r="T29" s="299" t="s">
        <v>106</v>
      </c>
      <c r="U29" s="76">
        <f>0.0567-0.0058</f>
        <v>5.0900000000000001E-2</v>
      </c>
      <c r="V29" s="76" t="s">
        <v>1</v>
      </c>
      <c r="W29" s="76" t="s">
        <v>2</v>
      </c>
      <c r="X29" s="299" t="s">
        <v>107</v>
      </c>
      <c r="Y29" s="299" t="s">
        <v>108</v>
      </c>
      <c r="Z29" s="299" t="s">
        <v>109</v>
      </c>
    </row>
    <row r="30" spans="1:26">
      <c r="F30" s="299" t="s">
        <v>116</v>
      </c>
      <c r="G30" s="299">
        <f>G29/20*60</f>
        <v>0.17100000000000001</v>
      </c>
      <c r="H30" s="68">
        <v>20</v>
      </c>
      <c r="I30" s="45">
        <v>100</v>
      </c>
      <c r="J30" s="74">
        <v>24.07532328816195</v>
      </c>
      <c r="K30" s="73">
        <v>26.296062099698897</v>
      </c>
      <c r="L30" s="45">
        <f>K30-J30</f>
        <v>2.2207388115369469</v>
      </c>
      <c r="M30" s="299" t="s">
        <v>116</v>
      </c>
      <c r="N30" s="299">
        <f>N29/20*60</f>
        <v>0.15690000000000001</v>
      </c>
      <c r="O30" s="68">
        <v>20</v>
      </c>
      <c r="P30" s="68">
        <v>100</v>
      </c>
      <c r="Q30" s="76">
        <v>25.09111688084106</v>
      </c>
      <c r="R30" s="75">
        <v>26.469474373428497</v>
      </c>
      <c r="S30" s="68">
        <f>R30-Q30</f>
        <v>1.3783574925874369</v>
      </c>
      <c r="T30" s="299" t="s">
        <v>116</v>
      </c>
      <c r="U30" s="299">
        <f>U29/20*60</f>
        <v>0.1527</v>
      </c>
      <c r="V30" s="76">
        <v>20</v>
      </c>
      <c r="W30" s="76">
        <v>100</v>
      </c>
      <c r="X30" s="78">
        <v>24.414231593265047</v>
      </c>
      <c r="Y30" s="77">
        <v>25.691633712746714</v>
      </c>
      <c r="Z30" s="76">
        <f>Y30-X30</f>
        <v>1.2774021194816676</v>
      </c>
    </row>
    <row r="33" spans="8:14">
      <c r="I33" s="248" t="s">
        <v>16</v>
      </c>
    </row>
    <row r="34" spans="8:14" ht="18">
      <c r="H34" s="247"/>
      <c r="I34" s="247"/>
      <c r="J34" s="247" t="s">
        <v>1</v>
      </c>
      <c r="K34" s="248" t="s">
        <v>2</v>
      </c>
      <c r="L34" s="248" t="s">
        <v>47</v>
      </c>
      <c r="M34" s="248" t="s">
        <v>4</v>
      </c>
      <c r="N34" s="249" t="s">
        <v>5</v>
      </c>
    </row>
    <row r="35" spans="8:14">
      <c r="H35" s="250">
        <v>42247</v>
      </c>
      <c r="I35" s="248">
        <f>0.0696-0.0083</f>
        <v>6.1299999999999993E-2</v>
      </c>
      <c r="J35" s="248">
        <v>20</v>
      </c>
      <c r="K35" s="248">
        <v>100</v>
      </c>
      <c r="L35" s="248">
        <v>26.304909664685102</v>
      </c>
      <c r="M35" s="248">
        <v>28.180034648182072</v>
      </c>
      <c r="N35" s="248">
        <f t="shared" ref="N35:N37" si="0">M35-L35</f>
        <v>1.8751249834969705</v>
      </c>
    </row>
    <row r="36" spans="8:14">
      <c r="H36" s="247"/>
      <c r="I36" s="248">
        <f>0.0653-0.0016</f>
        <v>6.3699999999999993E-2</v>
      </c>
      <c r="J36" s="248">
        <v>20</v>
      </c>
      <c r="K36" s="248">
        <v>100</v>
      </c>
      <c r="L36" s="248">
        <v>25.961065349642354</v>
      </c>
      <c r="M36" s="248">
        <v>26.906264686957886</v>
      </c>
      <c r="N36" s="248">
        <f t="shared" si="0"/>
        <v>0.94519933731553252</v>
      </c>
    </row>
    <row r="37" spans="8:14">
      <c r="H37" s="247"/>
      <c r="I37" s="248">
        <f>0.0774-0.0158</f>
        <v>6.1599999999999995E-2</v>
      </c>
      <c r="J37" s="248">
        <v>20</v>
      </c>
      <c r="K37" s="248">
        <v>100</v>
      </c>
      <c r="L37" s="248">
        <v>26.298297274011219</v>
      </c>
      <c r="M37" s="248">
        <v>27.503056228343038</v>
      </c>
      <c r="N37" s="248">
        <f t="shared" si="0"/>
        <v>1.2047589543318189</v>
      </c>
    </row>
    <row r="38" spans="8:14">
      <c r="H38" s="250">
        <v>42248</v>
      </c>
      <c r="I38" s="248">
        <f>0.0694-0.0079</f>
        <v>6.1499999999999999E-2</v>
      </c>
      <c r="J38" s="248">
        <v>20</v>
      </c>
      <c r="K38" s="248">
        <v>100</v>
      </c>
      <c r="L38" s="247">
        <v>25.615265257076331</v>
      </c>
      <c r="M38" s="247">
        <v>26.623422004188409</v>
      </c>
      <c r="N38" s="248">
        <f t="shared" ref="N38" si="1">M38-L38</f>
        <v>1.0081567471120785</v>
      </c>
    </row>
  </sheetData>
  <mergeCells count="2">
    <mergeCell ref="J3:L3"/>
    <mergeCell ref="J19:L19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A2" sqref="A2:B2"/>
    </sheetView>
  </sheetViews>
  <sheetFormatPr defaultRowHeight="15"/>
  <cols>
    <col min="6" max="6" width="15.28515625" customWidth="1"/>
    <col min="13" max="13" width="18" customWidth="1"/>
    <col min="20" max="20" width="15.85546875" style="299" customWidth="1"/>
    <col min="21" max="26" width="9.140625" style="299"/>
    <col min="27" max="27" width="9" style="299"/>
    <col min="28" max="28" width="9.140625" style="299"/>
  </cols>
  <sheetData>
    <row r="1" spans="1:37">
      <c r="A1" s="333" t="s">
        <v>124</v>
      </c>
      <c r="B1" s="332"/>
      <c r="C1" s="332"/>
      <c r="D1" s="332"/>
      <c r="E1" s="332"/>
      <c r="F1" s="332"/>
      <c r="G1" s="332"/>
      <c r="H1" s="332"/>
      <c r="I1" s="332"/>
      <c r="AC1" s="336"/>
      <c r="AD1" s="336"/>
      <c r="AE1" s="338" t="s">
        <v>25</v>
      </c>
      <c r="AF1" s="336"/>
      <c r="AG1" s="336"/>
      <c r="AH1" s="336"/>
      <c r="AI1" s="336"/>
      <c r="AJ1" s="336"/>
      <c r="AK1" s="336"/>
    </row>
    <row r="2" spans="1:37" ht="18">
      <c r="A2" s="267" t="s">
        <v>93</v>
      </c>
      <c r="B2" s="267" t="s">
        <v>94</v>
      </c>
      <c r="AC2" s="336"/>
      <c r="AD2" s="336"/>
      <c r="AE2" s="336"/>
      <c r="AF2" s="336" t="s">
        <v>1</v>
      </c>
      <c r="AG2" s="338" t="s">
        <v>2</v>
      </c>
      <c r="AH2" s="338" t="s">
        <v>121</v>
      </c>
      <c r="AI2" s="338" t="s">
        <v>4</v>
      </c>
      <c r="AJ2" s="341" t="s">
        <v>5</v>
      </c>
      <c r="AK2" s="336"/>
    </row>
    <row r="3" spans="1:37">
      <c r="E3" s="90"/>
      <c r="F3" s="90"/>
      <c r="G3" s="1" t="s">
        <v>24</v>
      </c>
      <c r="H3" s="90"/>
      <c r="I3" s="45"/>
      <c r="J3" s="342" t="s">
        <v>117</v>
      </c>
      <c r="K3" s="342"/>
      <c r="L3" s="342"/>
      <c r="M3" s="299"/>
      <c r="N3" s="299"/>
      <c r="O3" s="299"/>
      <c r="P3" s="299"/>
      <c r="Q3" s="334" t="s">
        <v>118</v>
      </c>
      <c r="R3" s="299"/>
      <c r="S3" s="90"/>
      <c r="X3" s="334" t="s">
        <v>122</v>
      </c>
      <c r="AC3" s="336"/>
      <c r="AD3" s="335">
        <v>42268</v>
      </c>
      <c r="AE3" s="338">
        <f>0.072-0.0027</f>
        <v>6.93E-2</v>
      </c>
      <c r="AF3" s="338">
        <v>20</v>
      </c>
      <c r="AG3" s="338">
        <v>100</v>
      </c>
      <c r="AH3" s="336">
        <v>23.870152912745048</v>
      </c>
      <c r="AI3" s="336">
        <v>26.655273238138761</v>
      </c>
      <c r="AJ3" s="338">
        <f t="shared" ref="AJ3:AJ7" si="0">AI3-AH3</f>
        <v>2.7851203253937129</v>
      </c>
      <c r="AK3" s="336">
        <f>AJ3/AE3</f>
        <v>40.189326484757764</v>
      </c>
    </row>
    <row r="4" spans="1:37" ht="18">
      <c r="E4" s="90"/>
      <c r="F4" s="299" t="s">
        <v>106</v>
      </c>
      <c r="G4" s="90">
        <f>0.1286-0.0006</f>
        <v>0.128</v>
      </c>
      <c r="H4" s="90" t="s">
        <v>1</v>
      </c>
      <c r="I4" s="45" t="s">
        <v>2</v>
      </c>
      <c r="J4" s="299" t="s">
        <v>107</v>
      </c>
      <c r="K4" s="299" t="s">
        <v>108</v>
      </c>
      <c r="L4" s="299" t="s">
        <v>109</v>
      </c>
      <c r="M4" s="299" t="s">
        <v>106</v>
      </c>
      <c r="N4" s="90">
        <f>0.1315-0.0148</f>
        <v>0.1167</v>
      </c>
      <c r="O4" s="90" t="s">
        <v>1</v>
      </c>
      <c r="P4" s="90" t="s">
        <v>2</v>
      </c>
      <c r="Q4" s="299" t="s">
        <v>107</v>
      </c>
      <c r="R4" s="299" t="s">
        <v>108</v>
      </c>
      <c r="S4" s="299" t="s">
        <v>109</v>
      </c>
      <c r="T4" s="299" t="s">
        <v>106</v>
      </c>
      <c r="U4" s="299">
        <f>0.1509-0.0187</f>
        <v>0.13220000000000001</v>
      </c>
      <c r="V4" s="299" t="s">
        <v>1</v>
      </c>
      <c r="W4" s="299" t="s">
        <v>2</v>
      </c>
      <c r="X4" s="299" t="s">
        <v>107</v>
      </c>
      <c r="Y4" s="299" t="s">
        <v>108</v>
      </c>
      <c r="Z4" s="299" t="s">
        <v>109</v>
      </c>
      <c r="AA4" s="299" t="s">
        <v>119</v>
      </c>
      <c r="AB4" s="299" t="s">
        <v>120</v>
      </c>
      <c r="AC4" s="335">
        <v>42270</v>
      </c>
      <c r="AD4" s="336"/>
      <c r="AE4" s="338">
        <f>0.0727-0.0072</f>
        <v>6.5500000000000003E-2</v>
      </c>
      <c r="AF4" s="338">
        <v>20</v>
      </c>
      <c r="AG4" s="338">
        <v>100</v>
      </c>
      <c r="AH4" s="336">
        <v>24.424103613144371</v>
      </c>
      <c r="AI4" s="336">
        <v>26.987569152567922</v>
      </c>
      <c r="AJ4" s="338">
        <f t="shared" si="0"/>
        <v>2.5634655394235502</v>
      </c>
      <c r="AK4" s="336">
        <f t="shared" ref="AK4:AK7" si="1">AJ4/AE4</f>
        <v>39.136878464481683</v>
      </c>
    </row>
    <row r="5" spans="1:37">
      <c r="E5" s="90"/>
      <c r="F5" s="299" t="s">
        <v>116</v>
      </c>
      <c r="G5" s="90">
        <f>G4/20*80</f>
        <v>0.51200000000000001</v>
      </c>
      <c r="H5" s="90">
        <v>20</v>
      </c>
      <c r="I5" s="45">
        <v>100</v>
      </c>
      <c r="J5" s="91">
        <v>24.644454547432343</v>
      </c>
      <c r="K5" s="92">
        <v>39.755164221236967</v>
      </c>
      <c r="L5" s="45">
        <f>K5-J5</f>
        <v>15.110709673804624</v>
      </c>
      <c r="M5" s="299" t="s">
        <v>116</v>
      </c>
      <c r="N5" s="299">
        <f>N4/20*80</f>
        <v>0.46679999999999999</v>
      </c>
      <c r="O5" s="90">
        <v>20</v>
      </c>
      <c r="P5" s="90">
        <v>100</v>
      </c>
      <c r="Q5" s="94">
        <v>25.801622915364682</v>
      </c>
      <c r="R5" s="93">
        <v>39.455837127914251</v>
      </c>
      <c r="S5" s="90">
        <f>R5-Q5</f>
        <v>13.654214212549569</v>
      </c>
      <c r="T5" s="299" t="s">
        <v>116</v>
      </c>
      <c r="U5" s="299">
        <f>U4/20*80</f>
        <v>0.52880000000000005</v>
      </c>
      <c r="V5" s="299">
        <v>20</v>
      </c>
      <c r="W5" s="299">
        <v>100</v>
      </c>
      <c r="X5" s="299">
        <v>23.9153647801622</v>
      </c>
      <c r="Y5" s="299">
        <v>39.7127945583143</v>
      </c>
      <c r="Z5" s="299">
        <f>Y5-X5</f>
        <v>15.7974297781521</v>
      </c>
      <c r="AA5" s="299">
        <f>AVERAGE(L5,S5,Z5)</f>
        <v>14.854117888168764</v>
      </c>
      <c r="AB5" s="299">
        <f>_xlfn.STDEV.S(L5,Z5,S5)</f>
        <v>1.0944052030679012</v>
      </c>
      <c r="AC5" s="336"/>
      <c r="AD5" s="336"/>
      <c r="AE5" s="338">
        <f>0.0725-0.0036</f>
        <v>6.8899999999999989E-2</v>
      </c>
      <c r="AF5" s="338">
        <v>20</v>
      </c>
      <c r="AG5" s="338">
        <v>100</v>
      </c>
      <c r="AH5" s="336">
        <v>24.104008025169854</v>
      </c>
      <c r="AI5" s="336">
        <v>28.353633186437666</v>
      </c>
      <c r="AJ5" s="338">
        <f t="shared" si="0"/>
        <v>4.2496251612678115</v>
      </c>
      <c r="AK5" s="336">
        <f t="shared" si="1"/>
        <v>61.678159089518317</v>
      </c>
    </row>
    <row r="6" spans="1:37" s="299" customFormat="1">
      <c r="H6" s="299">
        <v>15</v>
      </c>
      <c r="I6" s="45">
        <v>133</v>
      </c>
      <c r="J6" s="299">
        <v>24.547432364445399</v>
      </c>
      <c r="K6" s="299">
        <v>41.712375516422</v>
      </c>
      <c r="L6" s="45">
        <f>K6-J6</f>
        <v>17.164943151976601</v>
      </c>
      <c r="O6" s="299">
        <v>15</v>
      </c>
      <c r="P6" s="45">
        <v>133</v>
      </c>
      <c r="Q6" s="299">
        <v>23.6444545474323</v>
      </c>
      <c r="R6" s="299">
        <v>41.737551216421998</v>
      </c>
      <c r="S6" s="45">
        <f>R6-Q6</f>
        <v>18.093096668989698</v>
      </c>
      <c r="V6" s="299">
        <v>15</v>
      </c>
      <c r="W6" s="45">
        <v>133</v>
      </c>
      <c r="X6" s="299">
        <v>23.7434445454236</v>
      </c>
      <c r="Y6" s="299">
        <v>41.216755122473003</v>
      </c>
      <c r="Z6" s="45">
        <f>Y6-X6</f>
        <v>17.473310577049403</v>
      </c>
      <c r="AA6" s="299">
        <f>AVERAGE(L6,S6,Z6)</f>
        <v>17.577116799338569</v>
      </c>
      <c r="AB6" s="299">
        <f>_xlfn.STDEV.S(L6,Z6,S6)</f>
        <v>0.47270396298889433</v>
      </c>
      <c r="AC6" s="336"/>
      <c r="AD6" s="336"/>
      <c r="AE6" s="338"/>
      <c r="AF6" s="338"/>
      <c r="AG6" s="338"/>
      <c r="AH6" s="336"/>
      <c r="AI6" s="336"/>
      <c r="AJ6" s="338"/>
      <c r="AK6" s="336"/>
    </row>
    <row r="7" spans="1:37">
      <c r="E7" s="90"/>
      <c r="F7" s="299"/>
      <c r="G7" s="1" t="s">
        <v>25</v>
      </c>
      <c r="H7" s="90"/>
      <c r="I7" s="45"/>
      <c r="J7" s="45"/>
      <c r="K7" s="45"/>
      <c r="L7" s="45"/>
      <c r="M7" s="299"/>
      <c r="N7" s="90"/>
      <c r="O7" s="90"/>
      <c r="P7" s="90"/>
      <c r="Q7" s="90"/>
      <c r="R7" s="90"/>
      <c r="S7" s="90"/>
      <c r="AC7" s="336"/>
      <c r="AD7" s="335">
        <v>42275</v>
      </c>
      <c r="AE7" s="338">
        <f>0.0894-0.0225</f>
        <v>6.6899999999999987E-2</v>
      </c>
      <c r="AF7" s="338">
        <v>20</v>
      </c>
      <c r="AG7" s="338">
        <v>100</v>
      </c>
      <c r="AH7" s="336">
        <v>24.097209369969924</v>
      </c>
      <c r="AI7" s="336">
        <v>26.01768976555406</v>
      </c>
      <c r="AJ7" s="338">
        <f t="shared" si="0"/>
        <v>1.9204803955841356</v>
      </c>
      <c r="AK7" s="336">
        <f t="shared" si="1"/>
        <v>28.70673237046541</v>
      </c>
    </row>
    <row r="8" spans="1:37" ht="18">
      <c r="E8" s="90"/>
      <c r="F8" s="299" t="s">
        <v>106</v>
      </c>
      <c r="G8" s="90">
        <f>0.0702-0.0035</f>
        <v>6.6699999999999995E-2</v>
      </c>
      <c r="H8" s="90" t="s">
        <v>1</v>
      </c>
      <c r="I8" s="45" t="s">
        <v>2</v>
      </c>
      <c r="J8" s="299" t="s">
        <v>107</v>
      </c>
      <c r="K8" s="299" t="s">
        <v>108</v>
      </c>
      <c r="L8" s="299" t="s">
        <v>109</v>
      </c>
      <c r="M8" s="299" t="s">
        <v>106</v>
      </c>
      <c r="N8" s="90">
        <f>0.083-0.0152</f>
        <v>6.7799999999999999E-2</v>
      </c>
      <c r="O8" s="90" t="s">
        <v>1</v>
      </c>
      <c r="P8" s="90" t="s">
        <v>2</v>
      </c>
      <c r="Q8" s="299" t="s">
        <v>107</v>
      </c>
      <c r="R8" s="299" t="s">
        <v>108</v>
      </c>
      <c r="S8" s="299" t="s">
        <v>109</v>
      </c>
      <c r="T8" s="2"/>
      <c r="U8" s="2"/>
      <c r="V8" s="2"/>
      <c r="W8" s="2"/>
      <c r="X8" s="2"/>
      <c r="Y8" s="2"/>
      <c r="Z8" s="2"/>
      <c r="AA8" s="2"/>
      <c r="AB8" s="2"/>
      <c r="AC8" s="336"/>
      <c r="AD8" s="336"/>
      <c r="AE8" s="338">
        <f>0.0839-0.0208</f>
        <v>6.3100000000000003E-2</v>
      </c>
      <c r="AF8" s="338">
        <v>20</v>
      </c>
      <c r="AG8" s="338">
        <v>100</v>
      </c>
      <c r="AH8" s="336">
        <v>24.430622871555258</v>
      </c>
      <c r="AI8" s="336">
        <v>26.322977323709573</v>
      </c>
      <c r="AJ8" s="338">
        <f t="shared" ref="AJ8" si="2">AI8-AH8</f>
        <v>1.892354452154315</v>
      </c>
      <c r="AK8" s="336">
        <f t="shared" ref="AK8" si="3">AJ8/AE8</f>
        <v>29.989769447770442</v>
      </c>
    </row>
    <row r="9" spans="1:37">
      <c r="E9" s="90"/>
      <c r="F9" s="299" t="s">
        <v>116</v>
      </c>
      <c r="G9" s="299">
        <f>G8/20*80</f>
        <v>0.26679999999999998</v>
      </c>
      <c r="H9" s="90">
        <v>20</v>
      </c>
      <c r="I9" s="45">
        <v>100</v>
      </c>
      <c r="J9" s="96">
        <v>25.109370804391553</v>
      </c>
      <c r="K9" s="95">
        <v>28.183294277387517</v>
      </c>
      <c r="L9" s="45">
        <f>K9-J9</f>
        <v>3.0739234729959648</v>
      </c>
      <c r="M9" s="299" t="s">
        <v>116</v>
      </c>
      <c r="N9" s="299">
        <f>N8/20*80</f>
        <v>0.2712</v>
      </c>
      <c r="O9" s="90">
        <v>20</v>
      </c>
      <c r="P9" s="90">
        <v>100</v>
      </c>
      <c r="Q9" s="98">
        <v>25.629514493317274</v>
      </c>
      <c r="R9" s="97">
        <v>28.192980032740824</v>
      </c>
      <c r="S9" s="90">
        <f>R9-Q9</f>
        <v>2.5634655394235502</v>
      </c>
      <c r="AA9" s="299">
        <f>AVERAGE(L9,S9,Z9)</f>
        <v>2.8186945062097575</v>
      </c>
      <c r="AB9" s="299">
        <f>_xlfn.STDEV.S(L9,Z9,S9)</f>
        <v>0.36094826633952659</v>
      </c>
      <c r="AC9" s="336"/>
      <c r="AD9" s="336"/>
      <c r="AE9" s="338">
        <f>0.0732-0.0084</f>
        <v>6.4799999999999996E-2</v>
      </c>
      <c r="AF9" s="338">
        <v>20</v>
      </c>
      <c r="AG9" s="338">
        <v>100</v>
      </c>
      <c r="AH9" s="336">
        <v>24.782383428954081</v>
      </c>
      <c r="AI9" s="336">
        <v>28.533192189526087</v>
      </c>
      <c r="AJ9" s="338">
        <f t="shared" ref="AJ9:AJ10" si="4">AI9-AH9</f>
        <v>3.7508087605720064</v>
      </c>
      <c r="AK9" s="336">
        <f t="shared" ref="AK9:AK10" si="5">AJ9/AE9</f>
        <v>57.882851243395166</v>
      </c>
    </row>
    <row r="10" spans="1:37">
      <c r="E10" s="90"/>
      <c r="F10" s="299"/>
      <c r="G10" s="1" t="s">
        <v>26</v>
      </c>
      <c r="H10" s="90"/>
      <c r="I10" s="45"/>
      <c r="J10" s="45"/>
      <c r="K10" s="45"/>
      <c r="L10" s="45"/>
      <c r="M10" s="299"/>
      <c r="N10" s="90"/>
      <c r="O10" s="90"/>
      <c r="P10" s="90"/>
      <c r="Q10" s="90"/>
      <c r="R10" s="90"/>
      <c r="S10" s="90"/>
      <c r="AC10" s="336"/>
      <c r="AD10" s="335">
        <v>42282</v>
      </c>
      <c r="AE10" s="338">
        <f>0.1053-0.0269</f>
        <v>7.8399999999999997E-2</v>
      </c>
      <c r="AF10" s="338">
        <v>20</v>
      </c>
      <c r="AG10" s="338">
        <v>100</v>
      </c>
      <c r="AH10" s="336">
        <v>24.311692971688093</v>
      </c>
      <c r="AI10" s="336">
        <v>25.857036611857215</v>
      </c>
      <c r="AJ10" s="338">
        <f t="shared" si="4"/>
        <v>1.5453436401691221</v>
      </c>
      <c r="AK10" s="336">
        <f t="shared" si="5"/>
        <v>19.711015818483702</v>
      </c>
    </row>
    <row r="11" spans="1:37" s="289" customFormat="1">
      <c r="G11" s="1"/>
      <c r="I11" s="45"/>
      <c r="J11" s="45"/>
      <c r="K11" s="45"/>
      <c r="L11" s="45"/>
      <c r="M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336"/>
      <c r="AD11" s="336"/>
      <c r="AE11" s="338"/>
      <c r="AF11" s="338"/>
      <c r="AG11" s="338"/>
      <c r="AH11" s="336"/>
      <c r="AI11" s="336"/>
      <c r="AJ11" s="338"/>
      <c r="AK11" s="336"/>
    </row>
    <row r="12" spans="1:37" ht="18">
      <c r="E12" s="90"/>
      <c r="F12" s="299" t="s">
        <v>106</v>
      </c>
      <c r="G12" s="90">
        <f>0.0628-0.0165</f>
        <v>4.6299999999999994E-2</v>
      </c>
      <c r="H12" s="90" t="s">
        <v>1</v>
      </c>
      <c r="I12" s="45" t="s">
        <v>2</v>
      </c>
      <c r="J12" s="299" t="s">
        <v>107</v>
      </c>
      <c r="K12" s="299" t="s">
        <v>108</v>
      </c>
      <c r="L12" s="299" t="s">
        <v>109</v>
      </c>
      <c r="M12" s="299" t="s">
        <v>106</v>
      </c>
      <c r="N12" s="90">
        <f>0.0563-0.0055</f>
        <v>5.0800000000000005E-2</v>
      </c>
      <c r="O12" s="90" t="s">
        <v>1</v>
      </c>
      <c r="P12" s="90" t="s">
        <v>2</v>
      </c>
      <c r="Q12" s="299" t="s">
        <v>107</v>
      </c>
      <c r="R12" s="299" t="s">
        <v>108</v>
      </c>
      <c r="S12" s="299" t="s">
        <v>109</v>
      </c>
      <c r="T12" s="2"/>
      <c r="U12" s="2"/>
      <c r="V12" s="2"/>
      <c r="W12" s="2"/>
      <c r="Z12" s="2"/>
      <c r="AA12" s="2"/>
      <c r="AB12" s="2"/>
      <c r="AC12" s="336"/>
      <c r="AD12" s="336">
        <f>0.0534-0.0065</f>
        <v>4.6900000000000004E-2</v>
      </c>
      <c r="AE12" s="338" t="s">
        <v>1</v>
      </c>
      <c r="AF12" s="338" t="s">
        <v>2</v>
      </c>
      <c r="AG12" s="338" t="s">
        <v>121</v>
      </c>
      <c r="AH12" s="338" t="s">
        <v>4</v>
      </c>
      <c r="AI12" s="341" t="s">
        <v>5</v>
      </c>
      <c r="AJ12" s="336"/>
      <c r="AK12" s="336"/>
    </row>
    <row r="13" spans="1:37">
      <c r="E13" s="90"/>
      <c r="F13" s="299" t="s">
        <v>116</v>
      </c>
      <c r="G13" s="299">
        <f>G12/20*80</f>
        <v>0.18519999999999998</v>
      </c>
      <c r="H13" s="90">
        <v>20</v>
      </c>
      <c r="I13" s="45">
        <v>100</v>
      </c>
      <c r="J13" s="104">
        <v>25.180896382385281</v>
      </c>
      <c r="K13" s="103">
        <v>27.331692864399738</v>
      </c>
      <c r="L13" s="45">
        <f>K13-J13</f>
        <v>2.1507964820144565</v>
      </c>
      <c r="M13" s="299" t="s">
        <v>116</v>
      </c>
      <c r="N13" s="299">
        <f>N12/20*80</f>
        <v>0.20320000000000002</v>
      </c>
      <c r="O13" s="90">
        <v>20</v>
      </c>
      <c r="P13" s="90">
        <v>100</v>
      </c>
      <c r="Q13" s="106">
        <v>24.264288649814659</v>
      </c>
      <c r="R13" s="105">
        <v>25.978294818299698</v>
      </c>
      <c r="S13" s="90">
        <f>R13-Q13</f>
        <v>1.7140061684850387</v>
      </c>
      <c r="AA13" s="299">
        <f>AVERAGE(L13,S13,Z13)</f>
        <v>1.9324013252497476</v>
      </c>
      <c r="AB13" s="299">
        <f>_xlfn.STDEV.S(L13,Z13,S13)</f>
        <v>0.30885739265324996</v>
      </c>
      <c r="AC13" s="336"/>
      <c r="AD13" s="336"/>
      <c r="AE13" s="338">
        <v>20</v>
      </c>
      <c r="AF13" s="338">
        <v>100</v>
      </c>
      <c r="AG13" s="338">
        <v>26.313850361934328</v>
      </c>
      <c r="AH13" s="338">
        <v>27.847273072437822</v>
      </c>
      <c r="AI13" s="338">
        <f>AH13-AG13</f>
        <v>1.5334227105034941</v>
      </c>
      <c r="AJ13" s="336"/>
      <c r="AK13" s="336"/>
    </row>
    <row r="14" spans="1:37">
      <c r="E14" s="90"/>
      <c r="G14" s="1" t="s">
        <v>27</v>
      </c>
      <c r="H14" s="90"/>
      <c r="I14" s="45"/>
      <c r="J14" s="90"/>
      <c r="K14" s="90"/>
      <c r="L14" s="90"/>
      <c r="M14" s="299"/>
      <c r="N14" s="90"/>
      <c r="O14" s="90"/>
      <c r="P14" s="90"/>
      <c r="Q14" s="90"/>
      <c r="R14" s="90"/>
      <c r="S14" s="90"/>
      <c r="AC14" s="336"/>
      <c r="AD14" s="336"/>
      <c r="AE14" s="338"/>
      <c r="AF14" s="338"/>
      <c r="AG14" s="338"/>
      <c r="AH14" s="338"/>
      <c r="AI14" s="338"/>
      <c r="AJ14" s="336"/>
      <c r="AK14" s="336"/>
    </row>
    <row r="15" spans="1:37" ht="18">
      <c r="F15" s="299" t="s">
        <v>106</v>
      </c>
      <c r="G15" s="90">
        <f>0.0693-0.0214</f>
        <v>4.7899999999999998E-2</v>
      </c>
      <c r="H15" s="90" t="s">
        <v>1</v>
      </c>
      <c r="I15" s="45" t="s">
        <v>2</v>
      </c>
      <c r="J15" s="299" t="s">
        <v>107</v>
      </c>
      <c r="K15" s="299" t="s">
        <v>108</v>
      </c>
      <c r="L15" s="299" t="s">
        <v>109</v>
      </c>
      <c r="M15" s="299" t="s">
        <v>106</v>
      </c>
      <c r="N15" s="90">
        <f>0.0776-0.0263</f>
        <v>5.1299999999999998E-2</v>
      </c>
      <c r="O15" s="90" t="s">
        <v>1</v>
      </c>
      <c r="P15" s="90" t="s">
        <v>2</v>
      </c>
      <c r="Q15" s="299" t="s">
        <v>107</v>
      </c>
      <c r="R15" s="299" t="s">
        <v>108</v>
      </c>
      <c r="S15" s="299" t="s">
        <v>109</v>
      </c>
      <c r="T15" s="2"/>
      <c r="U15" s="2"/>
      <c r="V15" s="2"/>
      <c r="W15" s="2"/>
      <c r="X15" s="2"/>
      <c r="Y15" s="2"/>
      <c r="Z15" s="2"/>
      <c r="AA15" s="2"/>
      <c r="AB15" s="2"/>
      <c r="AC15" s="336"/>
      <c r="AD15" s="336">
        <f>0.0488-0.0046</f>
        <v>4.4200000000000003E-2</v>
      </c>
      <c r="AE15" s="338" t="s">
        <v>1</v>
      </c>
      <c r="AF15" s="338" t="s">
        <v>2</v>
      </c>
      <c r="AG15" s="338" t="s">
        <v>121</v>
      </c>
      <c r="AH15" s="338" t="s">
        <v>4</v>
      </c>
      <c r="AI15" s="341" t="s">
        <v>5</v>
      </c>
      <c r="AJ15" s="336"/>
      <c r="AK15" s="336"/>
    </row>
    <row r="16" spans="1:37">
      <c r="F16" s="299" t="s">
        <v>116</v>
      </c>
      <c r="G16" s="299">
        <f>G15/20*80</f>
        <v>0.19159999999999999</v>
      </c>
      <c r="H16" s="90">
        <v>20</v>
      </c>
      <c r="I16" s="45">
        <v>100</v>
      </c>
      <c r="J16" s="100">
        <v>25.102944678243688</v>
      </c>
      <c r="K16" s="99">
        <v>25.790633308329181</v>
      </c>
      <c r="L16" s="45">
        <f>K16-J16</f>
        <v>0.68768863008549275</v>
      </c>
      <c r="M16" s="299" t="s">
        <v>116</v>
      </c>
      <c r="N16" s="299">
        <f>N15/20*80</f>
        <v>0.20519999999999999</v>
      </c>
      <c r="O16" s="90">
        <v>20</v>
      </c>
      <c r="P16" s="90">
        <v>100</v>
      </c>
      <c r="Q16" s="102">
        <v>25.963114259428629</v>
      </c>
      <c r="R16" s="101">
        <v>27.501286715345781</v>
      </c>
      <c r="S16" s="90">
        <f>R16-Q16</f>
        <v>1.5381724559171523</v>
      </c>
      <c r="AA16" s="299">
        <f>AVERAGE(L16,S16,Z16)</f>
        <v>1.1129305430013225</v>
      </c>
      <c r="AB16" s="299">
        <f>_xlfn.STDEV.S(L16,Z16,S16)</f>
        <v>0.60138288053504485</v>
      </c>
      <c r="AC16" s="336"/>
      <c r="AD16" s="336"/>
      <c r="AE16" s="338">
        <v>20</v>
      </c>
      <c r="AF16" s="338">
        <v>100</v>
      </c>
      <c r="AG16" s="338">
        <v>25.971123634047729</v>
      </c>
      <c r="AH16" s="338">
        <v>26.629568733547256</v>
      </c>
      <c r="AI16" s="338">
        <f>AH16-AG16</f>
        <v>0.65844509949952723</v>
      </c>
      <c r="AJ16" s="336"/>
      <c r="AK16" s="336"/>
    </row>
    <row r="17" spans="29:37">
      <c r="AC17" s="336"/>
      <c r="AD17" s="336"/>
      <c r="AE17" s="336"/>
      <c r="AF17" s="336"/>
      <c r="AG17" s="336"/>
      <c r="AH17" s="336"/>
      <c r="AI17" s="336"/>
      <c r="AJ17" s="336"/>
      <c r="AK17" s="336"/>
    </row>
    <row r="18" spans="29:37">
      <c r="AC18" s="336"/>
      <c r="AD18" s="336"/>
      <c r="AE18" s="336"/>
      <c r="AF18" s="336"/>
      <c r="AG18" s="336"/>
      <c r="AH18" s="336"/>
      <c r="AI18" s="336"/>
      <c r="AJ18" s="336"/>
      <c r="AK18" s="336"/>
    </row>
    <row r="19" spans="29:37">
      <c r="AC19" s="336"/>
      <c r="AD19" s="336"/>
      <c r="AE19" s="336"/>
      <c r="AF19" s="336"/>
      <c r="AG19" s="336"/>
      <c r="AH19" s="336"/>
      <c r="AI19" s="336"/>
      <c r="AJ19" s="336"/>
      <c r="AK19" s="336"/>
    </row>
    <row r="20" spans="29:37">
      <c r="AC20" s="336"/>
      <c r="AD20" s="336"/>
      <c r="AE20" s="336"/>
      <c r="AF20" s="336"/>
      <c r="AG20" s="336"/>
      <c r="AH20" s="336"/>
      <c r="AI20" s="336"/>
      <c r="AJ20" s="336"/>
      <c r="AK20" s="336"/>
    </row>
    <row r="21" spans="29:37">
      <c r="AC21" s="336"/>
      <c r="AD21" s="336"/>
      <c r="AE21" s="336"/>
      <c r="AF21" s="336"/>
      <c r="AG21" s="336"/>
      <c r="AH21" s="336"/>
      <c r="AI21" s="336"/>
      <c r="AJ21" s="336"/>
      <c r="AK21" s="336"/>
    </row>
    <row r="22" spans="29:37">
      <c r="AC22" s="336"/>
      <c r="AD22" s="336"/>
      <c r="AE22" s="336"/>
      <c r="AF22" s="336"/>
      <c r="AG22" s="336"/>
      <c r="AH22" s="336"/>
      <c r="AI22" s="336"/>
      <c r="AJ22" s="336"/>
      <c r="AK22" s="336"/>
    </row>
  </sheetData>
  <mergeCells count="1">
    <mergeCell ref="J3:L3"/>
  </mergeCells>
  <phoneticPr fontId="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activeCell="A2" sqref="A2:B2"/>
    </sheetView>
  </sheetViews>
  <sheetFormatPr defaultRowHeight="15"/>
  <cols>
    <col min="6" max="6" width="14.85546875" customWidth="1"/>
    <col min="13" max="13" width="16" customWidth="1"/>
    <col min="20" max="20" width="14" customWidth="1"/>
  </cols>
  <sheetData>
    <row r="1" spans="1:28">
      <c r="A1" s="333" t="s">
        <v>129</v>
      </c>
      <c r="B1" s="332"/>
      <c r="C1" s="332"/>
      <c r="D1" s="332"/>
      <c r="E1" s="332"/>
      <c r="F1" s="332"/>
      <c r="G1" s="332"/>
      <c r="H1" s="332"/>
      <c r="I1" s="332"/>
    </row>
    <row r="2" spans="1:28">
      <c r="A2" s="267" t="s">
        <v>93</v>
      </c>
      <c r="B2" s="267" t="s">
        <v>94</v>
      </c>
    </row>
    <row r="3" spans="1:28">
      <c r="F3" s="107"/>
      <c r="G3" s="107"/>
      <c r="H3" s="107">
        <f>G5/20*100</f>
        <v>0.67599999999999993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8">
      <c r="E4" s="107"/>
      <c r="F4" s="107"/>
      <c r="G4" s="1" t="s">
        <v>28</v>
      </c>
      <c r="H4" s="107"/>
      <c r="I4" s="45"/>
      <c r="J4" s="342" t="s">
        <v>117</v>
      </c>
      <c r="K4" s="342"/>
      <c r="L4" s="342"/>
      <c r="M4" s="299"/>
      <c r="N4" s="299"/>
      <c r="O4" s="299"/>
      <c r="P4" s="299"/>
      <c r="Q4" s="334" t="s">
        <v>118</v>
      </c>
      <c r="R4" s="299"/>
      <c r="S4" s="107"/>
      <c r="X4" s="334" t="s">
        <v>122</v>
      </c>
    </row>
    <row r="5" spans="1:28" ht="18">
      <c r="E5" s="107"/>
      <c r="F5" s="299" t="s">
        <v>106</v>
      </c>
      <c r="G5" s="107">
        <f>0.1412-0.006</f>
        <v>0.13519999999999999</v>
      </c>
      <c r="H5" s="107" t="s">
        <v>1</v>
      </c>
      <c r="I5" s="45" t="s">
        <v>2</v>
      </c>
      <c r="J5" s="299" t="s">
        <v>107</v>
      </c>
      <c r="K5" s="299" t="s">
        <v>108</v>
      </c>
      <c r="L5" s="299" t="s">
        <v>109</v>
      </c>
      <c r="M5" s="299" t="s">
        <v>106</v>
      </c>
      <c r="N5" s="107">
        <f>0.134-0.003</f>
        <v>0.13100000000000001</v>
      </c>
      <c r="O5" s="107" t="s">
        <v>1</v>
      </c>
      <c r="P5" s="107" t="s">
        <v>2</v>
      </c>
      <c r="Q5" s="299" t="s">
        <v>107</v>
      </c>
      <c r="R5" s="299" t="s">
        <v>108</v>
      </c>
      <c r="S5" s="299" t="s">
        <v>109</v>
      </c>
      <c r="AA5" s="299" t="s">
        <v>119</v>
      </c>
      <c r="AB5" s="299" t="s">
        <v>120</v>
      </c>
    </row>
    <row r="6" spans="1:28">
      <c r="E6" s="107"/>
      <c r="F6" s="299" t="s">
        <v>116</v>
      </c>
      <c r="G6" s="299">
        <f>G5/20*100</f>
        <v>0.67599999999999993</v>
      </c>
      <c r="H6" s="107">
        <v>20</v>
      </c>
      <c r="I6" s="45">
        <v>100</v>
      </c>
      <c r="J6" s="109">
        <v>25.116355724117501</v>
      </c>
      <c r="K6" s="108">
        <v>40.74348379632734</v>
      </c>
      <c r="L6" s="45">
        <f>K6-J6</f>
        <v>15.627128072209839</v>
      </c>
      <c r="M6" s="299" t="s">
        <v>116</v>
      </c>
      <c r="N6" s="299">
        <f>N5/20*100</f>
        <v>0.65500000000000003</v>
      </c>
      <c r="O6" s="107">
        <v>20</v>
      </c>
      <c r="P6" s="107">
        <v>100</v>
      </c>
      <c r="Q6" s="111">
        <v>24.771673218707626</v>
      </c>
      <c r="R6" s="110">
        <v>39.089920466537507</v>
      </c>
      <c r="S6" s="107">
        <f>R6-Q6</f>
        <v>14.318247247829881</v>
      </c>
      <c r="AA6" s="299">
        <f>AVERAGE(L6,S6)</f>
        <v>14.97268766001986</v>
      </c>
      <c r="AB6" s="299">
        <f>_xlfn.STDEV.S(S6,L6)</f>
        <v>0.92551850668410718</v>
      </c>
    </row>
    <row r="7" spans="1:28">
      <c r="E7" s="107"/>
      <c r="F7" s="299"/>
      <c r="G7" s="1" t="s">
        <v>29</v>
      </c>
      <c r="H7" s="107"/>
      <c r="I7" s="45"/>
      <c r="J7" s="45"/>
      <c r="K7" s="45"/>
      <c r="L7" s="45"/>
      <c r="M7" s="299"/>
      <c r="N7" s="107"/>
      <c r="O7" s="107"/>
      <c r="P7" s="107"/>
      <c r="Q7" s="107"/>
      <c r="R7" s="107"/>
      <c r="S7" s="107"/>
    </row>
    <row r="8" spans="1:28" ht="18">
      <c r="E8" s="107"/>
      <c r="F8" s="299" t="s">
        <v>106</v>
      </c>
      <c r="G8" s="107">
        <f>0.0904-0.0289</f>
        <v>6.1499999999999999E-2</v>
      </c>
      <c r="H8" s="107" t="s">
        <v>1</v>
      </c>
      <c r="I8" s="45" t="s">
        <v>2</v>
      </c>
      <c r="J8" s="299" t="s">
        <v>107</v>
      </c>
      <c r="K8" s="299" t="s">
        <v>108</v>
      </c>
      <c r="L8" s="299" t="s">
        <v>109</v>
      </c>
      <c r="M8" s="299" t="s">
        <v>106</v>
      </c>
      <c r="N8" s="107">
        <f>0.0749-0.0152</f>
        <v>5.9699999999999996E-2</v>
      </c>
      <c r="O8" s="107" t="s">
        <v>1</v>
      </c>
      <c r="P8" s="107" t="s">
        <v>2</v>
      </c>
      <c r="Q8" s="299" t="s">
        <v>107</v>
      </c>
      <c r="R8" s="299" t="s">
        <v>108</v>
      </c>
      <c r="S8" s="299" t="s">
        <v>109</v>
      </c>
      <c r="T8" s="299" t="s">
        <v>106</v>
      </c>
      <c r="U8" s="115">
        <f>0.0747-0.0067</f>
        <v>6.8000000000000005E-2</v>
      </c>
      <c r="V8" s="115" t="s">
        <v>1</v>
      </c>
      <c r="W8" s="115" t="s">
        <v>2</v>
      </c>
      <c r="X8" s="299" t="s">
        <v>107</v>
      </c>
      <c r="Y8" s="299" t="s">
        <v>108</v>
      </c>
      <c r="Z8" s="299" t="s">
        <v>109</v>
      </c>
    </row>
    <row r="9" spans="1:28">
      <c r="E9" s="107"/>
      <c r="F9" s="299" t="s">
        <v>116</v>
      </c>
      <c r="G9" s="299">
        <f>G8/20*100</f>
        <v>0.3075</v>
      </c>
      <c r="H9" s="107">
        <v>20</v>
      </c>
      <c r="I9" s="45">
        <v>100</v>
      </c>
      <c r="J9" s="113">
        <v>25.110674656073719</v>
      </c>
      <c r="K9" s="112">
        <v>34.710375798367004</v>
      </c>
      <c r="L9" s="45">
        <f>K9-J9</f>
        <v>9.5997011422932843</v>
      </c>
      <c r="M9" s="299" t="s">
        <v>116</v>
      </c>
      <c r="N9" s="299">
        <f>N8/20*100</f>
        <v>0.29849999999999999</v>
      </c>
      <c r="O9" s="107">
        <v>20</v>
      </c>
      <c r="P9" s="107">
        <v>100</v>
      </c>
      <c r="Q9" s="115">
        <v>25.456567880902764</v>
      </c>
      <c r="R9" s="114">
        <v>33.135509230822876</v>
      </c>
      <c r="S9" s="107">
        <f>R9-Q9</f>
        <v>7.6789413499201125</v>
      </c>
      <c r="T9" s="299" t="s">
        <v>116</v>
      </c>
      <c r="U9" s="299">
        <f>U8/20*100</f>
        <v>0.34</v>
      </c>
      <c r="V9" s="115">
        <v>20</v>
      </c>
      <c r="W9" s="115">
        <v>100</v>
      </c>
      <c r="X9" s="117">
        <v>25.446695861023411</v>
      </c>
      <c r="Y9" s="116">
        <v>34.13109312242824</v>
      </c>
      <c r="Z9" s="115">
        <f>Y9-X9</f>
        <v>8.684397261404829</v>
      </c>
      <c r="AA9" s="299">
        <f>AVERAGE(L9,S9,Z9)</f>
        <v>8.6543465845394092</v>
      </c>
      <c r="AB9" s="299">
        <f>_xlfn.STDEV.S(S9,L9,Z9)</f>
        <v>0.96073244318301754</v>
      </c>
    </row>
    <row r="10" spans="1:28">
      <c r="E10" s="107"/>
      <c r="G10" s="1" t="s">
        <v>30</v>
      </c>
      <c r="H10" s="107"/>
      <c r="I10" s="45"/>
      <c r="J10" s="45"/>
      <c r="K10" s="45"/>
      <c r="L10" s="45"/>
      <c r="M10" s="299"/>
      <c r="N10" s="107"/>
      <c r="O10" s="107"/>
      <c r="P10" s="107"/>
      <c r="Q10" s="107"/>
      <c r="R10" s="107"/>
      <c r="S10" s="107"/>
    </row>
    <row r="11" spans="1:28" ht="18">
      <c r="E11" s="107"/>
      <c r="F11" s="299" t="s">
        <v>106</v>
      </c>
      <c r="G11" s="107">
        <f>0.0665-0.0015</f>
        <v>6.5000000000000002E-2</v>
      </c>
      <c r="H11" s="107" t="s">
        <v>1</v>
      </c>
      <c r="I11" s="45" t="s">
        <v>2</v>
      </c>
      <c r="J11" s="299" t="s">
        <v>107</v>
      </c>
      <c r="K11" s="299" t="s">
        <v>108</v>
      </c>
      <c r="L11" s="299" t="s">
        <v>109</v>
      </c>
      <c r="M11" s="299" t="s">
        <v>106</v>
      </c>
      <c r="N11" s="107">
        <f>0.0592</f>
        <v>5.9200000000000003E-2</v>
      </c>
      <c r="O11" s="107" t="s">
        <v>1</v>
      </c>
      <c r="P11" s="107" t="s">
        <v>2</v>
      </c>
      <c r="Q11" s="299" t="s">
        <v>107</v>
      </c>
      <c r="R11" s="299" t="s">
        <v>108</v>
      </c>
      <c r="S11" s="299" t="s">
        <v>109</v>
      </c>
      <c r="T11" s="299" t="s">
        <v>106</v>
      </c>
      <c r="U11" s="121">
        <f>0.0569</f>
        <v>5.6899999999999999E-2</v>
      </c>
      <c r="V11" s="121" t="s">
        <v>1</v>
      </c>
      <c r="W11" s="121" t="s">
        <v>2</v>
      </c>
      <c r="X11" s="299" t="s">
        <v>107</v>
      </c>
      <c r="Y11" s="299" t="s">
        <v>108</v>
      </c>
      <c r="Z11" s="299" t="s">
        <v>109</v>
      </c>
    </row>
    <row r="12" spans="1:28">
      <c r="E12" s="107"/>
      <c r="F12" s="299" t="s">
        <v>116</v>
      </c>
      <c r="G12" s="299">
        <f>G11/20*100</f>
        <v>0.32500000000000001</v>
      </c>
      <c r="H12" s="107">
        <v>20</v>
      </c>
      <c r="I12" s="45">
        <v>100</v>
      </c>
      <c r="J12" s="119">
        <v>25.440549131664593</v>
      </c>
      <c r="K12" s="118">
        <v>30.050503018528413</v>
      </c>
      <c r="L12" s="45">
        <f>K12-J12</f>
        <v>4.6099538868638206</v>
      </c>
      <c r="M12" s="299" t="s">
        <v>116</v>
      </c>
      <c r="N12" s="299">
        <f>N11/20*100</f>
        <v>0.29599999999999999</v>
      </c>
      <c r="O12" s="107">
        <v>20</v>
      </c>
      <c r="P12" s="107">
        <v>100</v>
      </c>
      <c r="Q12" s="121">
        <v>25.956595001017742</v>
      </c>
      <c r="R12" s="120">
        <v>28.6751257583574</v>
      </c>
      <c r="S12" s="107">
        <f>R12-Q12</f>
        <v>2.7185307573396571</v>
      </c>
      <c r="T12" s="299" t="s">
        <v>116</v>
      </c>
      <c r="U12" s="299">
        <f>U11/20*100</f>
        <v>0.28449999999999998</v>
      </c>
      <c r="V12" s="121">
        <v>20</v>
      </c>
      <c r="W12" s="121">
        <v>100</v>
      </c>
      <c r="X12" s="123">
        <v>26.288611518657884</v>
      </c>
      <c r="Y12" s="122">
        <v>27.921778882847953</v>
      </c>
      <c r="Z12" s="121">
        <f>Y12-X12</f>
        <v>1.6331673641900686</v>
      </c>
      <c r="AA12" s="299">
        <f>AVERAGE(L12,S12,Z12)</f>
        <v>2.9872173361311822</v>
      </c>
      <c r="AB12" s="299">
        <f>_xlfn.STDEV.S(S12,L12,Z12)</f>
        <v>1.506472322550283</v>
      </c>
    </row>
    <row r="13" spans="1:28">
      <c r="E13" s="107"/>
      <c r="G13" s="1" t="s">
        <v>31</v>
      </c>
      <c r="H13" s="107"/>
      <c r="I13" s="45"/>
      <c r="J13" s="107"/>
      <c r="K13" s="107"/>
      <c r="L13" s="107"/>
      <c r="M13" s="299"/>
      <c r="N13" s="107"/>
      <c r="O13" s="107"/>
      <c r="P13" s="107"/>
      <c r="Q13" s="107"/>
      <c r="R13" s="107"/>
      <c r="S13" s="107"/>
    </row>
    <row r="14" spans="1:28" ht="18">
      <c r="E14" s="107"/>
      <c r="F14" s="299" t="s">
        <v>106</v>
      </c>
      <c r="G14" s="107">
        <f>0.0504-0.0004</f>
        <v>0.05</v>
      </c>
      <c r="H14" s="107" t="s">
        <v>1</v>
      </c>
      <c r="I14" s="45" t="s">
        <v>2</v>
      </c>
      <c r="J14" s="299" t="s">
        <v>107</v>
      </c>
      <c r="K14" s="299" t="s">
        <v>108</v>
      </c>
      <c r="L14" s="299" t="s">
        <v>109</v>
      </c>
      <c r="M14" s="299" t="s">
        <v>106</v>
      </c>
      <c r="N14" s="107">
        <f>0.0599-0.001</f>
        <v>5.8900000000000001E-2</v>
      </c>
      <c r="O14" s="107" t="s">
        <v>1</v>
      </c>
      <c r="P14" s="107" t="s">
        <v>2</v>
      </c>
      <c r="Q14" s="299" t="s">
        <v>107</v>
      </c>
      <c r="R14" s="299" t="s">
        <v>108</v>
      </c>
      <c r="S14" s="299" t="s">
        <v>109</v>
      </c>
    </row>
    <row r="15" spans="1:28">
      <c r="E15" s="107"/>
      <c r="F15" s="299" t="s">
        <v>116</v>
      </c>
      <c r="G15" s="299">
        <f>G14/20*100</f>
        <v>0.25</v>
      </c>
      <c r="H15" s="107">
        <v>20</v>
      </c>
      <c r="I15" s="45">
        <v>100</v>
      </c>
      <c r="J15" s="125">
        <v>26.182347606560452</v>
      </c>
      <c r="K15" s="124">
        <v>26.983936994310437</v>
      </c>
      <c r="L15" s="45">
        <f>K15-J15</f>
        <v>0.80158938774998489</v>
      </c>
      <c r="M15" s="299" t="s">
        <v>116</v>
      </c>
      <c r="N15" s="299">
        <f>N14/20*100</f>
        <v>0.29450000000000004</v>
      </c>
      <c r="O15" s="107">
        <v>20</v>
      </c>
      <c r="P15" s="107">
        <v>100</v>
      </c>
      <c r="Q15" s="127">
        <v>26.311428923095988</v>
      </c>
      <c r="R15" s="126">
        <v>30.396768772409498</v>
      </c>
      <c r="S15" s="107">
        <f>R15-Q15</f>
        <v>4.0853398493135096</v>
      </c>
      <c r="AA15" s="299">
        <f>AVERAGE(L15,S15)</f>
        <v>2.4434646185317472</v>
      </c>
      <c r="AB15" s="299">
        <f>_xlfn.STDEV.S(S15,L15)</f>
        <v>2.3219622190960236</v>
      </c>
    </row>
    <row r="19" spans="1:20">
      <c r="A19" s="333" t="s">
        <v>130</v>
      </c>
      <c r="B19" s="332"/>
      <c r="C19" s="332"/>
      <c r="D19" s="332"/>
      <c r="E19" s="332"/>
      <c r="F19" s="332"/>
      <c r="G19" s="332"/>
      <c r="H19" s="332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</row>
    <row r="20" spans="1:20">
      <c r="E20" s="127"/>
      <c r="F20" s="127"/>
      <c r="G20" s="1" t="s">
        <v>28</v>
      </c>
      <c r="H20" s="127"/>
      <c r="I20" s="45"/>
      <c r="J20" s="127"/>
      <c r="K20" s="45"/>
      <c r="L20" s="45"/>
      <c r="M20" s="127"/>
      <c r="N20" s="127"/>
      <c r="O20" s="127"/>
      <c r="P20" s="127"/>
      <c r="Q20" s="127"/>
      <c r="R20" s="127"/>
      <c r="S20" s="127"/>
    </row>
    <row r="21" spans="1:20" ht="18">
      <c r="E21" s="127"/>
      <c r="F21" s="299" t="s">
        <v>106</v>
      </c>
      <c r="G21" s="127">
        <f>0.1417-0.0103</f>
        <v>0.13139999999999999</v>
      </c>
      <c r="H21" s="127" t="s">
        <v>1</v>
      </c>
      <c r="I21" s="45" t="s">
        <v>2</v>
      </c>
      <c r="J21" s="299" t="s">
        <v>107</v>
      </c>
      <c r="K21" s="299" t="s">
        <v>108</v>
      </c>
      <c r="L21" s="299" t="s">
        <v>109</v>
      </c>
      <c r="M21" s="127"/>
      <c r="N21" s="127"/>
      <c r="O21" s="127"/>
      <c r="P21" s="127"/>
      <c r="Q21" s="127"/>
      <c r="R21" s="127"/>
      <c r="S21" s="2"/>
    </row>
    <row r="22" spans="1:20">
      <c r="E22" s="127"/>
      <c r="F22" s="299" t="s">
        <v>116</v>
      </c>
      <c r="G22" s="299">
        <f>G21/20*100</f>
        <v>0.65699999999999992</v>
      </c>
      <c r="H22" s="127">
        <v>20</v>
      </c>
      <c r="I22" s="45">
        <v>100</v>
      </c>
      <c r="J22" s="129">
        <v>25.127997256994085</v>
      </c>
      <c r="K22" s="128">
        <v>40.584972684679791</v>
      </c>
      <c r="L22" s="45">
        <f>K22-J22</f>
        <v>15.456975427685705</v>
      </c>
      <c r="M22" s="127"/>
      <c r="N22" s="127"/>
      <c r="O22" s="127"/>
      <c r="P22" s="127"/>
      <c r="Q22" s="127"/>
      <c r="R22" s="127"/>
      <c r="S22" s="127"/>
    </row>
    <row r="23" spans="1:20">
      <c r="E23" s="127"/>
      <c r="F23" s="299"/>
      <c r="G23" s="1" t="s">
        <v>29</v>
      </c>
      <c r="H23" s="127"/>
      <c r="I23" s="45"/>
      <c r="J23" s="45"/>
      <c r="K23" s="45"/>
      <c r="L23" s="45"/>
      <c r="M23" s="127"/>
      <c r="N23" s="127"/>
      <c r="O23" s="127"/>
      <c r="P23" s="127"/>
      <c r="Q23" s="127"/>
      <c r="R23" s="127"/>
      <c r="S23" s="127"/>
    </row>
    <row r="24" spans="1:20" ht="18">
      <c r="E24" s="127"/>
      <c r="F24" s="299" t="s">
        <v>106</v>
      </c>
      <c r="G24" s="127">
        <f>0.0654-0.0012</f>
        <v>6.4199999999999993E-2</v>
      </c>
      <c r="H24" s="127" t="s">
        <v>1</v>
      </c>
      <c r="I24" s="45" t="s">
        <v>2</v>
      </c>
      <c r="J24" s="299" t="s">
        <v>107</v>
      </c>
      <c r="K24" s="299" t="s">
        <v>108</v>
      </c>
      <c r="L24" s="299" t="s">
        <v>109</v>
      </c>
      <c r="M24" s="299" t="s">
        <v>106</v>
      </c>
      <c r="N24" s="127">
        <f>0.0817-0.0229</f>
        <v>5.8799999999999991E-2</v>
      </c>
      <c r="O24" s="127" t="s">
        <v>1</v>
      </c>
      <c r="P24" s="127" t="s">
        <v>2</v>
      </c>
      <c r="Q24" s="299" t="s">
        <v>107</v>
      </c>
      <c r="R24" s="299" t="s">
        <v>108</v>
      </c>
      <c r="S24" s="299" t="s">
        <v>109</v>
      </c>
    </row>
    <row r="25" spans="1:20">
      <c r="E25" s="127"/>
      <c r="F25" s="299" t="s">
        <v>116</v>
      </c>
      <c r="G25" s="299">
        <f>G24/20*100</f>
        <v>0.32099999999999995</v>
      </c>
      <c r="H25" s="127">
        <v>20</v>
      </c>
      <c r="I25" s="45">
        <v>100</v>
      </c>
      <c r="J25" s="131">
        <v>25.117007649958584</v>
      </c>
      <c r="K25" s="130">
        <v>31.940342899581363</v>
      </c>
      <c r="L25" s="45">
        <f>K25-J25</f>
        <v>6.8233352496227795</v>
      </c>
      <c r="M25" s="299" t="s">
        <v>116</v>
      </c>
      <c r="N25" s="299">
        <f>N24/20*100</f>
        <v>0.29399999999999993</v>
      </c>
      <c r="O25" s="127">
        <v>20</v>
      </c>
      <c r="P25" s="127">
        <v>100</v>
      </c>
      <c r="Q25" s="133">
        <v>25.455543426009616</v>
      </c>
      <c r="R25" s="132">
        <v>31.091721719009985</v>
      </c>
      <c r="S25" s="127">
        <f>R25-Q25</f>
        <v>5.6361782930003699</v>
      </c>
      <c r="T25" s="212"/>
    </row>
    <row r="26" spans="1:20">
      <c r="E26" s="127"/>
      <c r="F26" s="299"/>
      <c r="G26" s="1" t="s">
        <v>30</v>
      </c>
      <c r="H26" s="127"/>
      <c r="I26" s="45"/>
      <c r="J26" s="45"/>
      <c r="K26" s="45"/>
      <c r="L26" s="45"/>
      <c r="N26" s="127"/>
      <c r="O26" s="127"/>
      <c r="P26" s="127"/>
      <c r="Q26" s="127"/>
      <c r="R26" s="127"/>
      <c r="S26" s="127"/>
    </row>
    <row r="27" spans="1:20" ht="18">
      <c r="E27" s="127"/>
      <c r="F27" s="299" t="s">
        <v>106</v>
      </c>
      <c r="G27" s="127">
        <f>0.073-0.0215</f>
        <v>5.1499999999999997E-2</v>
      </c>
      <c r="H27" s="127" t="s">
        <v>1</v>
      </c>
      <c r="I27" s="45" t="s">
        <v>2</v>
      </c>
      <c r="J27" s="299" t="s">
        <v>107</v>
      </c>
      <c r="K27" s="299" t="s">
        <v>108</v>
      </c>
      <c r="L27" s="299" t="s">
        <v>109</v>
      </c>
      <c r="M27" s="299" t="s">
        <v>106</v>
      </c>
      <c r="N27" s="127">
        <f>0.0525-0.0068</f>
        <v>4.5699999999999998E-2</v>
      </c>
      <c r="O27" s="127" t="s">
        <v>1</v>
      </c>
      <c r="P27" s="127" t="s">
        <v>2</v>
      </c>
      <c r="Q27" s="299" t="s">
        <v>107</v>
      </c>
      <c r="R27" s="299" t="s">
        <v>108</v>
      </c>
      <c r="S27" s="299" t="s">
        <v>109</v>
      </c>
    </row>
    <row r="28" spans="1:20">
      <c r="E28" s="127"/>
      <c r="F28" s="299" t="s">
        <v>116</v>
      </c>
      <c r="G28" s="299">
        <f>G27/20*100</f>
        <v>0.25750000000000001</v>
      </c>
      <c r="H28" s="127">
        <v>20</v>
      </c>
      <c r="I28" s="45">
        <v>100</v>
      </c>
      <c r="J28" s="135">
        <v>25.189371418319418</v>
      </c>
      <c r="K28" s="134">
        <v>27.859473398892494</v>
      </c>
      <c r="L28" s="45">
        <f>K28-J28</f>
        <v>2.6701019805730759</v>
      </c>
      <c r="M28" s="299" t="s">
        <v>116</v>
      </c>
      <c r="N28" s="299">
        <f>N27/20*100</f>
        <v>0.22849999999999998</v>
      </c>
      <c r="O28" s="127">
        <v>20</v>
      </c>
      <c r="P28" s="127">
        <v>100</v>
      </c>
      <c r="Q28" s="137">
        <v>25.121012337268134</v>
      </c>
      <c r="R28" s="136">
        <v>26.671850780954994</v>
      </c>
      <c r="S28" s="127">
        <f>R28-Q28</f>
        <v>1.5508384436868603</v>
      </c>
      <c r="T28" s="212"/>
    </row>
    <row r="29" spans="1:20">
      <c r="E29" s="137"/>
      <c r="F29" s="299"/>
      <c r="G29" s="1" t="s">
        <v>31</v>
      </c>
      <c r="H29" s="137"/>
      <c r="I29" s="45"/>
      <c r="J29" s="137"/>
      <c r="K29" s="137"/>
      <c r="L29" s="137"/>
      <c r="M29" s="137"/>
      <c r="N29" s="137"/>
      <c r="O29" s="137"/>
      <c r="P29" s="137"/>
      <c r="Q29" s="137"/>
      <c r="R29" s="137"/>
      <c r="S29" s="137"/>
    </row>
    <row r="30" spans="1:20" ht="18">
      <c r="E30" s="137"/>
      <c r="F30" s="299" t="s">
        <v>106</v>
      </c>
      <c r="G30" s="137">
        <f>0.0564-0.007</f>
        <v>4.9399999999999999E-2</v>
      </c>
      <c r="H30" s="137" t="s">
        <v>1</v>
      </c>
      <c r="I30" s="45" t="s">
        <v>2</v>
      </c>
      <c r="J30" s="299" t="s">
        <v>107</v>
      </c>
      <c r="K30" s="299" t="s">
        <v>108</v>
      </c>
      <c r="L30" s="299" t="s">
        <v>109</v>
      </c>
      <c r="M30" s="299" t="s">
        <v>106</v>
      </c>
      <c r="N30" s="137">
        <f>0.061-0.0112</f>
        <v>4.9799999999999997E-2</v>
      </c>
      <c r="O30" s="137" t="s">
        <v>1</v>
      </c>
      <c r="P30" s="137" t="s">
        <v>2</v>
      </c>
      <c r="Q30" s="299" t="s">
        <v>107</v>
      </c>
      <c r="R30" s="299" t="s">
        <v>108</v>
      </c>
      <c r="S30" s="299" t="s">
        <v>109</v>
      </c>
    </row>
    <row r="31" spans="1:20">
      <c r="E31" s="137"/>
      <c r="F31" s="299" t="s">
        <v>116</v>
      </c>
      <c r="G31" s="299">
        <f>G30/20*100</f>
        <v>0.247</v>
      </c>
      <c r="H31" s="137">
        <v>20</v>
      </c>
      <c r="I31" s="45">
        <v>100</v>
      </c>
      <c r="J31" s="139">
        <v>25.122874982528387</v>
      </c>
      <c r="K31" s="138">
        <v>26.990642517247345</v>
      </c>
      <c r="L31" s="45">
        <f>K31-J31</f>
        <v>1.8677675347189577</v>
      </c>
      <c r="M31" s="299" t="s">
        <v>116</v>
      </c>
      <c r="N31" s="299">
        <f>N30/20*100</f>
        <v>0.249</v>
      </c>
      <c r="O31" s="137">
        <v>20</v>
      </c>
      <c r="P31" s="137">
        <v>100</v>
      </c>
      <c r="Q31" s="141">
        <v>25.122036792161285</v>
      </c>
      <c r="R31" s="140">
        <v>26.309286881046717</v>
      </c>
      <c r="S31" s="137">
        <f>R31-Q31</f>
        <v>1.1872500888854312</v>
      </c>
    </row>
  </sheetData>
  <mergeCells count="1">
    <mergeCell ref="J4:L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selection activeCell="J4" sqref="J4:R4"/>
    </sheetView>
  </sheetViews>
  <sheetFormatPr defaultRowHeight="15"/>
  <sheetData>
    <row r="1" spans="1:26">
      <c r="A1" s="333" t="s">
        <v>131</v>
      </c>
      <c r="B1" s="332"/>
      <c r="C1" s="332"/>
      <c r="D1" s="332"/>
      <c r="E1" s="332"/>
      <c r="F1" s="332"/>
      <c r="G1" s="332"/>
      <c r="H1" s="332"/>
      <c r="I1" s="332"/>
    </row>
    <row r="2" spans="1:26">
      <c r="A2" s="267" t="s">
        <v>93</v>
      </c>
      <c r="B2" s="267" t="s">
        <v>94</v>
      </c>
    </row>
    <row r="4" spans="1:26">
      <c r="E4" s="141"/>
      <c r="F4" s="141"/>
      <c r="G4" s="1" t="s">
        <v>32</v>
      </c>
      <c r="H4" s="141"/>
      <c r="I4" s="45"/>
      <c r="J4" s="342" t="s">
        <v>117</v>
      </c>
      <c r="K4" s="342"/>
      <c r="L4" s="342"/>
      <c r="M4" s="299"/>
      <c r="N4" s="299"/>
      <c r="O4" s="299"/>
      <c r="P4" s="299"/>
      <c r="Q4" s="334" t="s">
        <v>118</v>
      </c>
      <c r="R4" s="299"/>
      <c r="S4" s="141"/>
    </row>
    <row r="5" spans="1:26" ht="18">
      <c r="E5" s="141"/>
      <c r="F5" s="299" t="s">
        <v>106</v>
      </c>
      <c r="G5" s="141">
        <f>0.1249-0.0032</f>
        <v>0.1217</v>
      </c>
      <c r="H5" s="141" t="s">
        <v>1</v>
      </c>
      <c r="I5" s="45" t="s">
        <v>2</v>
      </c>
      <c r="J5" s="299" t="s">
        <v>107</v>
      </c>
      <c r="K5" s="299" t="s">
        <v>108</v>
      </c>
      <c r="L5" s="299" t="s">
        <v>109</v>
      </c>
      <c r="M5" s="299" t="s">
        <v>106</v>
      </c>
      <c r="N5" s="141">
        <f>0.1588-0.0186</f>
        <v>0.14019999999999999</v>
      </c>
      <c r="O5" s="141" t="s">
        <v>1</v>
      </c>
      <c r="P5" s="45" t="s">
        <v>2</v>
      </c>
      <c r="Q5" s="299" t="s">
        <v>107</v>
      </c>
      <c r="R5" s="299" t="s">
        <v>108</v>
      </c>
      <c r="S5" s="299" t="s">
        <v>109</v>
      </c>
    </row>
    <row r="6" spans="1:26">
      <c r="E6" s="141"/>
      <c r="F6" s="299" t="s">
        <v>116</v>
      </c>
      <c r="G6" s="299">
        <f>G5/20*120</f>
        <v>0.73019999999999996</v>
      </c>
      <c r="H6" s="141">
        <v>20</v>
      </c>
      <c r="I6" s="45">
        <v>100</v>
      </c>
      <c r="J6" s="143">
        <v>24.078210388315352</v>
      </c>
      <c r="K6" s="142">
        <v>38.908591950451857</v>
      </c>
      <c r="L6" s="45">
        <f>K6-J6</f>
        <v>14.830381562136505</v>
      </c>
      <c r="M6" s="299" t="s">
        <v>116</v>
      </c>
      <c r="N6" s="299">
        <f>N5/20*120</f>
        <v>0.84119999999999995</v>
      </c>
      <c r="O6" s="141">
        <v>20</v>
      </c>
      <c r="P6" s="45">
        <v>100</v>
      </c>
      <c r="Q6" s="145">
        <v>24.427363242348999</v>
      </c>
      <c r="R6" s="144">
        <v>39.063377771578899</v>
      </c>
      <c r="S6" s="45">
        <f>R6-Q6</f>
        <v>14.6360145292299</v>
      </c>
      <c r="T6" s="158"/>
    </row>
    <row r="7" spans="1:26">
      <c r="E7" s="141"/>
      <c r="F7" s="299"/>
      <c r="G7" s="1" t="s">
        <v>33</v>
      </c>
      <c r="H7" s="141"/>
      <c r="I7" s="45"/>
      <c r="J7" s="45"/>
      <c r="K7" s="45"/>
      <c r="L7" s="45"/>
      <c r="M7" s="299"/>
      <c r="N7" s="141"/>
      <c r="O7" s="141"/>
      <c r="P7" s="141"/>
      <c r="Q7" s="141"/>
      <c r="R7" s="141"/>
      <c r="S7" s="141"/>
    </row>
    <row r="8" spans="1:26" ht="18">
      <c r="E8" s="141"/>
      <c r="F8" s="299" t="s">
        <v>106</v>
      </c>
      <c r="G8" s="141">
        <f>0.0827-0.0189</f>
        <v>6.3799999999999996E-2</v>
      </c>
      <c r="H8" s="141" t="s">
        <v>1</v>
      </c>
      <c r="I8" s="45" t="s">
        <v>2</v>
      </c>
      <c r="J8" s="299" t="s">
        <v>107</v>
      </c>
      <c r="K8" s="299" t="s">
        <v>108</v>
      </c>
      <c r="L8" s="299" t="s">
        <v>109</v>
      </c>
      <c r="M8" s="299" t="s">
        <v>106</v>
      </c>
      <c r="N8" s="148">
        <f>0.0776-0.015</f>
        <v>6.2600000000000003E-2</v>
      </c>
      <c r="O8" s="148" t="s">
        <v>1</v>
      </c>
      <c r="P8" s="148" t="s">
        <v>2</v>
      </c>
      <c r="Q8" s="299" t="s">
        <v>107</v>
      </c>
      <c r="R8" s="299" t="s">
        <v>108</v>
      </c>
      <c r="S8" s="299" t="s">
        <v>109</v>
      </c>
      <c r="U8" s="150"/>
      <c r="V8" s="150"/>
      <c r="W8" s="150"/>
      <c r="X8" s="150"/>
      <c r="Y8" s="150"/>
      <c r="Z8" s="2"/>
    </row>
    <row r="9" spans="1:26">
      <c r="E9" s="141"/>
      <c r="F9" s="299" t="s">
        <v>116</v>
      </c>
      <c r="G9" s="299">
        <f>G8/20*120</f>
        <v>0.38279999999999997</v>
      </c>
      <c r="H9" s="141">
        <v>20</v>
      </c>
      <c r="I9" s="45">
        <v>100</v>
      </c>
      <c r="J9" s="147">
        <v>24.926365907571668</v>
      </c>
      <c r="K9" s="146">
        <v>31.090883528642856</v>
      </c>
      <c r="L9" s="45">
        <f>K9-J9</f>
        <v>6.1645176210711874</v>
      </c>
      <c r="M9" s="299" t="s">
        <v>116</v>
      </c>
      <c r="N9" s="299">
        <f>N8/20*120</f>
        <v>0.37559999999999999</v>
      </c>
      <c r="O9" s="148">
        <v>20</v>
      </c>
      <c r="P9" s="148">
        <v>100</v>
      </c>
      <c r="Q9" s="150">
        <v>24.059370804391602</v>
      </c>
      <c r="R9" s="149">
        <v>30.934196170222499</v>
      </c>
      <c r="S9" s="148">
        <f>R9-Q9</f>
        <v>6.8748253658308975</v>
      </c>
      <c r="T9" s="160"/>
      <c r="U9" s="150"/>
      <c r="V9" s="150"/>
      <c r="W9" s="150"/>
      <c r="X9" s="152"/>
      <c r="Y9" s="151"/>
      <c r="Z9" s="150"/>
    </row>
    <row r="10" spans="1:26">
      <c r="E10" s="141"/>
      <c r="F10" s="299"/>
      <c r="G10" s="1" t="s">
        <v>34</v>
      </c>
      <c r="H10" s="141"/>
      <c r="I10" s="45"/>
      <c r="J10" s="45"/>
      <c r="K10" s="45"/>
      <c r="L10" s="45"/>
      <c r="M10" s="299"/>
      <c r="N10" s="141"/>
      <c r="O10" s="141"/>
      <c r="P10" s="141"/>
      <c r="Q10" s="141"/>
      <c r="R10" s="141"/>
      <c r="S10" s="141"/>
    </row>
    <row r="11" spans="1:26" ht="18">
      <c r="E11" s="141"/>
      <c r="F11" s="299" t="s">
        <v>106</v>
      </c>
      <c r="G11" s="141">
        <f>0.0741-0.0315</f>
        <v>4.2599999999999999E-2</v>
      </c>
      <c r="H11" s="141" t="s">
        <v>1</v>
      </c>
      <c r="I11" s="45" t="s">
        <v>2</v>
      </c>
      <c r="J11" s="299" t="s">
        <v>107</v>
      </c>
      <c r="K11" s="299" t="s">
        <v>108</v>
      </c>
      <c r="L11" s="299" t="s">
        <v>109</v>
      </c>
      <c r="M11" s="299" t="s">
        <v>106</v>
      </c>
      <c r="N11" s="141">
        <f>0.0525-0.0068</f>
        <v>4.5699999999999998E-2</v>
      </c>
      <c r="O11" s="141" t="s">
        <v>1</v>
      </c>
      <c r="P11" s="141" t="s">
        <v>2</v>
      </c>
      <c r="Q11" s="299" t="s">
        <v>107</v>
      </c>
      <c r="R11" s="299" t="s">
        <v>108</v>
      </c>
      <c r="S11" s="299" t="s">
        <v>109</v>
      </c>
    </row>
    <row r="12" spans="1:26">
      <c r="E12" s="141"/>
      <c r="F12" s="299" t="s">
        <v>116</v>
      </c>
      <c r="G12" s="299">
        <f>G11/20*120</f>
        <v>0.25559999999999999</v>
      </c>
      <c r="H12" s="141">
        <v>20</v>
      </c>
      <c r="I12" s="45">
        <v>100</v>
      </c>
      <c r="J12" s="154">
        <v>25.291910039896372</v>
      </c>
      <c r="K12" s="153">
        <v>26.325585027073934</v>
      </c>
      <c r="L12" s="45">
        <f>K12-J12</f>
        <v>1.0336749871775623</v>
      </c>
      <c r="M12" s="299" t="s">
        <v>116</v>
      </c>
      <c r="N12" s="299">
        <f>N11/20*120</f>
        <v>0.27419999999999994</v>
      </c>
      <c r="O12" s="141">
        <v>20</v>
      </c>
      <c r="P12" s="141">
        <v>100</v>
      </c>
      <c r="Q12" s="156">
        <v>25.29451774326073</v>
      </c>
      <c r="R12" s="155">
        <v>27.376675747434831</v>
      </c>
      <c r="S12" s="141">
        <f>R12-Q12</f>
        <v>2.0821580041741008</v>
      </c>
      <c r="T12" s="167"/>
    </row>
    <row r="13" spans="1:26">
      <c r="E13" s="141"/>
      <c r="F13" s="299"/>
      <c r="G13" s="1" t="s">
        <v>35</v>
      </c>
      <c r="H13" s="141"/>
      <c r="I13" s="45"/>
      <c r="J13" s="141"/>
      <c r="K13" s="141"/>
      <c r="L13" s="141"/>
      <c r="M13" s="299"/>
      <c r="N13" s="141"/>
      <c r="O13" s="141"/>
      <c r="P13" s="141"/>
      <c r="Q13" s="141"/>
      <c r="R13" s="141"/>
      <c r="S13" s="141"/>
    </row>
    <row r="14" spans="1:26" ht="18">
      <c r="E14" s="141"/>
      <c r="F14" s="299" t="s">
        <v>106</v>
      </c>
      <c r="G14" s="141">
        <f>0.0564-0.007</f>
        <v>4.9399999999999999E-2</v>
      </c>
      <c r="H14" s="141" t="s">
        <v>1</v>
      </c>
      <c r="I14" s="45" t="s">
        <v>2</v>
      </c>
      <c r="J14" s="299" t="s">
        <v>107</v>
      </c>
      <c r="K14" s="299" t="s">
        <v>108</v>
      </c>
      <c r="L14" s="299" t="s">
        <v>109</v>
      </c>
      <c r="M14" s="299" t="s">
        <v>106</v>
      </c>
      <c r="N14" s="141">
        <f>0.061-0.0112</f>
        <v>4.9799999999999997E-2</v>
      </c>
      <c r="O14" s="141" t="s">
        <v>1</v>
      </c>
      <c r="P14" s="141" t="s">
        <v>2</v>
      </c>
      <c r="Q14" s="299" t="s">
        <v>107</v>
      </c>
      <c r="R14" s="299" t="s">
        <v>108</v>
      </c>
      <c r="S14" s="299" t="s">
        <v>109</v>
      </c>
    </row>
    <row r="15" spans="1:26">
      <c r="E15" s="141"/>
      <c r="F15" s="299" t="s">
        <v>116</v>
      </c>
      <c r="G15" s="299">
        <f>G14/20*120</f>
        <v>0.2964</v>
      </c>
      <c r="H15" s="141">
        <v>20</v>
      </c>
      <c r="I15" s="45">
        <v>100</v>
      </c>
      <c r="J15" s="141"/>
      <c r="K15" s="141"/>
      <c r="L15" s="45">
        <f>K15-J15</f>
        <v>0</v>
      </c>
      <c r="M15" s="299" t="s">
        <v>116</v>
      </c>
      <c r="N15" s="299">
        <f>N14/20*120</f>
        <v>0.29880000000000001</v>
      </c>
      <c r="O15" s="141">
        <v>20</v>
      </c>
      <c r="P15" s="141">
        <v>100</v>
      </c>
      <c r="Q15" s="141"/>
      <c r="R15" s="141"/>
      <c r="S15" s="141">
        <f>R15-Q15</f>
        <v>0</v>
      </c>
    </row>
    <row r="19" spans="5:20">
      <c r="E19" s="19">
        <v>42167</v>
      </c>
    </row>
    <row r="20" spans="5:20">
      <c r="E20" s="156"/>
      <c r="F20" s="156"/>
      <c r="G20" s="1" t="s">
        <v>32</v>
      </c>
      <c r="H20" s="156"/>
      <c r="I20" s="45"/>
      <c r="J20" s="156"/>
      <c r="K20" s="45"/>
      <c r="L20" s="45"/>
      <c r="M20" s="156"/>
      <c r="N20" s="156"/>
      <c r="O20" s="156"/>
      <c r="P20" s="156"/>
      <c r="Q20" s="156"/>
      <c r="R20" s="156"/>
      <c r="S20" s="156"/>
    </row>
    <row r="21" spans="5:20" ht="18">
      <c r="E21" s="156"/>
      <c r="F21" s="156"/>
      <c r="G21" s="156">
        <f>0.146-0.0071</f>
        <v>0.1389</v>
      </c>
      <c r="H21" s="156" t="s">
        <v>1</v>
      </c>
      <c r="I21" s="45" t="s">
        <v>2</v>
      </c>
      <c r="J21" s="45" t="s">
        <v>3</v>
      </c>
      <c r="K21" s="45" t="s">
        <v>4</v>
      </c>
      <c r="L21" s="46" t="s">
        <v>5</v>
      </c>
      <c r="M21" s="156"/>
      <c r="N21" s="156"/>
      <c r="O21" s="156"/>
      <c r="P21" s="45"/>
      <c r="Q21" s="45"/>
      <c r="R21" s="45"/>
      <c r="S21" s="46"/>
    </row>
    <row r="22" spans="5:20">
      <c r="E22" s="156"/>
      <c r="F22" s="156"/>
      <c r="G22" s="156"/>
      <c r="H22" s="156">
        <v>20</v>
      </c>
      <c r="I22" s="45">
        <v>100</v>
      </c>
      <c r="J22" s="158">
        <v>25.081896786802815</v>
      </c>
      <c r="K22" s="157">
        <v>39.94394331836363</v>
      </c>
      <c r="L22" s="45">
        <f>K22-J22</f>
        <v>14.862046531560814</v>
      </c>
      <c r="M22" s="156">
        <f>G24*6</f>
        <v>0.36719999999999997</v>
      </c>
      <c r="N22" s="156"/>
      <c r="O22" s="156"/>
      <c r="P22" s="45"/>
      <c r="Q22" s="156"/>
      <c r="R22" s="156"/>
      <c r="S22" s="45"/>
    </row>
    <row r="23" spans="5:20">
      <c r="E23" s="156"/>
      <c r="F23" s="156"/>
      <c r="G23" s="1" t="s">
        <v>33</v>
      </c>
      <c r="H23" s="156"/>
      <c r="I23" s="45"/>
      <c r="J23" s="45"/>
      <c r="K23" s="45"/>
      <c r="L23" s="45"/>
      <c r="M23" s="156"/>
      <c r="N23" s="156"/>
      <c r="O23" s="156"/>
      <c r="P23" s="156"/>
      <c r="Q23" s="156"/>
      <c r="R23" s="156"/>
      <c r="S23" s="156">
        <f>N27*6</f>
        <v>0.32639999999999997</v>
      </c>
    </row>
    <row r="24" spans="5:20" ht="18">
      <c r="E24" s="156"/>
      <c r="F24" s="156"/>
      <c r="G24" s="156">
        <f>0.0677-0.0065</f>
        <v>6.1199999999999997E-2</v>
      </c>
      <c r="H24" s="156" t="s">
        <v>1</v>
      </c>
      <c r="I24" s="45" t="s">
        <v>2</v>
      </c>
      <c r="J24" s="45" t="s">
        <v>3</v>
      </c>
      <c r="K24" s="45" t="s">
        <v>4</v>
      </c>
      <c r="L24" s="46" t="s">
        <v>5</v>
      </c>
      <c r="M24" s="156"/>
      <c r="N24" s="156">
        <f>0.0713-0.0014</f>
        <v>6.9900000000000004E-2</v>
      </c>
      <c r="O24" s="156" t="s">
        <v>1</v>
      </c>
      <c r="P24" s="156" t="s">
        <v>2</v>
      </c>
      <c r="Q24" s="156" t="s">
        <v>3</v>
      </c>
      <c r="R24" s="156" t="s">
        <v>4</v>
      </c>
      <c r="S24" s="2" t="s">
        <v>5</v>
      </c>
    </row>
    <row r="25" spans="5:20">
      <c r="E25" s="156"/>
      <c r="F25" s="156"/>
      <c r="G25" s="156"/>
      <c r="H25" s="156">
        <v>20</v>
      </c>
      <c r="I25" s="45">
        <v>100</v>
      </c>
      <c r="J25" s="160">
        <v>25.453401383960319</v>
      </c>
      <c r="K25" s="159">
        <v>31.589793061601711</v>
      </c>
      <c r="L25" s="45">
        <f>K25-J25</f>
        <v>6.1363916776413916</v>
      </c>
      <c r="M25" s="220"/>
      <c r="N25" s="156"/>
      <c r="O25" s="156">
        <v>20</v>
      </c>
      <c r="P25" s="156">
        <v>100</v>
      </c>
      <c r="Q25" s="162">
        <v>25.109184539865531</v>
      </c>
      <c r="R25" s="161">
        <v>32.263604984498329</v>
      </c>
      <c r="S25" s="156">
        <f>R25-Q25</f>
        <v>7.1544204446327981</v>
      </c>
      <c r="T25" s="172"/>
    </row>
    <row r="26" spans="5:20">
      <c r="E26" s="156"/>
      <c r="F26" s="156"/>
      <c r="G26" s="1" t="s">
        <v>34</v>
      </c>
      <c r="H26" s="156"/>
      <c r="I26" s="45"/>
      <c r="J26" s="45"/>
      <c r="K26" s="45"/>
      <c r="L26" s="45"/>
      <c r="M26" s="156"/>
      <c r="N26" s="156"/>
      <c r="O26" s="156"/>
      <c r="P26" s="156"/>
      <c r="Q26" s="156"/>
      <c r="R26" s="156"/>
      <c r="S26" s="156"/>
    </row>
    <row r="27" spans="5:20" ht="18">
      <c r="E27" s="156"/>
      <c r="F27" s="156"/>
      <c r="G27" s="156">
        <f>0.0575-0.0015</f>
        <v>5.6000000000000001E-2</v>
      </c>
      <c r="H27" s="156" t="s">
        <v>1</v>
      </c>
      <c r="I27" s="45" t="s">
        <v>2</v>
      </c>
      <c r="J27" s="45" t="s">
        <v>3</v>
      </c>
      <c r="K27" s="45" t="s">
        <v>4</v>
      </c>
      <c r="L27" s="46" t="s">
        <v>5</v>
      </c>
      <c r="M27" s="156"/>
      <c r="N27" s="156">
        <f>0.0552-0.0008</f>
        <v>5.4399999999999997E-2</v>
      </c>
      <c r="O27" s="156" t="s">
        <v>1</v>
      </c>
      <c r="P27" s="156" t="s">
        <v>2</v>
      </c>
      <c r="Q27" s="156" t="s">
        <v>3</v>
      </c>
      <c r="R27" s="156" t="s">
        <v>4</v>
      </c>
      <c r="S27" s="2" t="s">
        <v>5</v>
      </c>
    </row>
    <row r="28" spans="5:20">
      <c r="E28" s="156"/>
      <c r="F28" s="156"/>
      <c r="G28" s="156"/>
      <c r="H28" s="156">
        <v>20</v>
      </c>
      <c r="I28" s="45">
        <v>100</v>
      </c>
      <c r="J28" s="164">
        <v>25.160034755470431</v>
      </c>
      <c r="K28" s="163">
        <v>26.657601544714076</v>
      </c>
      <c r="L28" s="45">
        <f>K28-J28</f>
        <v>1.4975667892436455</v>
      </c>
      <c r="M28" s="167"/>
      <c r="N28" s="156"/>
      <c r="O28" s="156">
        <v>20</v>
      </c>
      <c r="P28" s="156">
        <v>100</v>
      </c>
      <c r="Q28" s="166">
        <v>25.608980364142699</v>
      </c>
      <c r="R28" s="165">
        <v>26.993622749663743</v>
      </c>
      <c r="S28" s="156">
        <f>R28-Q28</f>
        <v>1.3846423855210439</v>
      </c>
      <c r="T28" s="212"/>
    </row>
    <row r="29" spans="5:20">
      <c r="E29" s="156"/>
      <c r="F29" s="156"/>
      <c r="G29" s="1" t="s">
        <v>35</v>
      </c>
      <c r="H29" s="156"/>
      <c r="I29" s="45"/>
      <c r="J29" s="156"/>
      <c r="K29" s="156"/>
      <c r="L29" s="156"/>
      <c r="M29" s="156"/>
      <c r="N29" s="156"/>
      <c r="O29" s="156"/>
      <c r="P29" s="156"/>
      <c r="Q29" s="156"/>
      <c r="R29" s="156"/>
      <c r="S29" s="156"/>
    </row>
    <row r="30" spans="5:20" ht="18">
      <c r="E30" s="156"/>
      <c r="F30" s="156"/>
      <c r="G30" s="156">
        <f>0.0517-0.002</f>
        <v>4.9700000000000001E-2</v>
      </c>
      <c r="H30" s="156" t="s">
        <v>1</v>
      </c>
      <c r="I30" s="45" t="s">
        <v>2</v>
      </c>
      <c r="J30" s="45" t="s">
        <v>3</v>
      </c>
      <c r="K30" s="45" t="s">
        <v>4</v>
      </c>
      <c r="L30" s="46" t="s">
        <v>5</v>
      </c>
      <c r="M30" s="156"/>
      <c r="N30" s="156">
        <f>0.0602-0.0142</f>
        <v>4.5999999999999999E-2</v>
      </c>
      <c r="O30" s="156" t="s">
        <v>1</v>
      </c>
      <c r="P30" s="156" t="s">
        <v>2</v>
      </c>
      <c r="Q30" s="156" t="s">
        <v>3</v>
      </c>
      <c r="R30" s="156" t="s">
        <v>4</v>
      </c>
      <c r="S30" s="2" t="s">
        <v>5</v>
      </c>
    </row>
    <row r="31" spans="5:20">
      <c r="E31" s="156"/>
      <c r="F31" s="156"/>
      <c r="G31" s="156"/>
      <c r="H31" s="156">
        <v>20</v>
      </c>
      <c r="I31" s="45">
        <v>100</v>
      </c>
      <c r="J31" s="169">
        <v>24.886412166739248</v>
      </c>
      <c r="K31" s="168">
        <v>25.618059224966711</v>
      </c>
      <c r="L31" s="45">
        <f>K31-J31</f>
        <v>0.73164705822746257</v>
      </c>
      <c r="M31" s="171"/>
      <c r="N31" s="156"/>
      <c r="O31" s="156">
        <v>20</v>
      </c>
      <c r="P31" s="156">
        <v>100</v>
      </c>
      <c r="Q31" s="171">
        <v>25.606883353405191</v>
      </c>
      <c r="R31" s="170">
        <v>26.30351268073991</v>
      </c>
      <c r="S31" s="156">
        <f>R31-Q31</f>
        <v>0.69662932733471905</v>
      </c>
    </row>
  </sheetData>
  <mergeCells count="1">
    <mergeCell ref="J4:L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workbookViewId="0">
      <selection activeCell="F5" sqref="F5"/>
    </sheetView>
  </sheetViews>
  <sheetFormatPr defaultRowHeight="15"/>
  <sheetData>
    <row r="1" spans="1:62">
      <c r="A1" s="333" t="s">
        <v>132</v>
      </c>
      <c r="B1" s="332"/>
      <c r="C1" s="332"/>
      <c r="D1" s="332"/>
      <c r="E1" s="332"/>
      <c r="F1" s="332"/>
      <c r="G1" s="332"/>
      <c r="H1" s="332"/>
      <c r="I1" s="332"/>
    </row>
    <row r="2" spans="1:62">
      <c r="A2" s="267" t="s">
        <v>93</v>
      </c>
      <c r="B2" s="267" t="s">
        <v>94</v>
      </c>
      <c r="F2" s="172"/>
      <c r="G2" s="45"/>
      <c r="H2" s="45"/>
      <c r="I2" s="45"/>
      <c r="J2" s="46"/>
    </row>
    <row r="3" spans="1:62">
      <c r="E3" s="172"/>
      <c r="F3" s="172"/>
      <c r="G3" s="1" t="s">
        <v>41</v>
      </c>
      <c r="H3" s="172"/>
      <c r="I3" s="45">
        <f>G4/20*140</f>
        <v>0.94919999999999993</v>
      </c>
      <c r="J3" s="342" t="s">
        <v>117</v>
      </c>
      <c r="K3" s="342"/>
      <c r="L3" s="342"/>
      <c r="M3" s="299"/>
      <c r="N3" s="299"/>
      <c r="O3" s="299"/>
      <c r="P3" s="299"/>
      <c r="Q3" s="334" t="s">
        <v>118</v>
      </c>
      <c r="R3" s="299"/>
      <c r="S3" s="172"/>
      <c r="X3" s="342" t="s">
        <v>122</v>
      </c>
      <c r="Y3" s="342"/>
      <c r="Z3" s="342"/>
      <c r="AA3" s="299"/>
      <c r="AB3" s="299"/>
      <c r="AC3" s="299"/>
      <c r="AD3" s="299"/>
      <c r="AE3" s="334" t="s">
        <v>133</v>
      </c>
      <c r="AF3" s="299"/>
      <c r="AL3" s="334" t="s">
        <v>134</v>
      </c>
    </row>
    <row r="4" spans="1:62" ht="18">
      <c r="E4" s="172"/>
      <c r="F4" s="299" t="s">
        <v>106</v>
      </c>
      <c r="G4" s="172">
        <f>0.1373-0.0017</f>
        <v>0.1356</v>
      </c>
      <c r="H4" s="172" t="s">
        <v>1</v>
      </c>
      <c r="I4" s="45" t="s">
        <v>2</v>
      </c>
      <c r="J4" s="299" t="s">
        <v>107</v>
      </c>
      <c r="K4" s="299" t="s">
        <v>108</v>
      </c>
      <c r="L4" s="299" t="s">
        <v>109</v>
      </c>
      <c r="M4" s="299" t="s">
        <v>106</v>
      </c>
      <c r="N4" s="176">
        <f>0.145-0.0095</f>
        <v>0.13549999999999998</v>
      </c>
      <c r="O4" s="176" t="s">
        <v>1</v>
      </c>
      <c r="P4" s="45" t="s">
        <v>2</v>
      </c>
      <c r="Q4" s="299" t="s">
        <v>107</v>
      </c>
      <c r="R4" s="299" t="s">
        <v>108</v>
      </c>
      <c r="S4" s="299" t="s">
        <v>109</v>
      </c>
      <c r="T4" s="299" t="s">
        <v>106</v>
      </c>
      <c r="U4" s="178">
        <f>0.1353-0.0015</f>
        <v>0.1338</v>
      </c>
      <c r="V4" s="178" t="s">
        <v>1</v>
      </c>
      <c r="W4" s="45" t="s">
        <v>2</v>
      </c>
      <c r="X4" s="299" t="s">
        <v>107</v>
      </c>
      <c r="Y4" s="299" t="s">
        <v>108</v>
      </c>
      <c r="Z4" s="299" t="s">
        <v>109</v>
      </c>
      <c r="AA4" s="299" t="s">
        <v>106</v>
      </c>
      <c r="AB4" s="180">
        <f>0.1379-0.0043</f>
        <v>0.1336</v>
      </c>
      <c r="AC4" s="180" t="s">
        <v>1</v>
      </c>
      <c r="AD4" s="45" t="s">
        <v>2</v>
      </c>
      <c r="AE4" s="45" t="s">
        <v>3</v>
      </c>
      <c r="AF4" s="45" t="s">
        <v>4</v>
      </c>
      <c r="AG4" s="46" t="s">
        <v>5</v>
      </c>
      <c r="AH4" s="299" t="s">
        <v>106</v>
      </c>
      <c r="AI4" s="199">
        <f>0.1455-0.0105</f>
        <v>0.13499999999999998</v>
      </c>
      <c r="AJ4" s="199" t="s">
        <v>1</v>
      </c>
      <c r="AK4" s="45" t="s">
        <v>2</v>
      </c>
      <c r="AL4" s="299" t="s">
        <v>107</v>
      </c>
      <c r="AM4" s="299" t="s">
        <v>108</v>
      </c>
      <c r="AN4" s="299" t="s">
        <v>109</v>
      </c>
    </row>
    <row r="5" spans="1:62">
      <c r="E5" s="172"/>
      <c r="F5" s="299" t="s">
        <v>116</v>
      </c>
      <c r="G5" s="299">
        <f>G4/20*140</f>
        <v>0.94919999999999993</v>
      </c>
      <c r="H5" s="172">
        <v>20</v>
      </c>
      <c r="I5" s="45">
        <v>100</v>
      </c>
      <c r="J5" s="175">
        <v>24.76440890219266</v>
      </c>
      <c r="K5" s="176">
        <v>42.413810933459452</v>
      </c>
      <c r="L5" s="45">
        <f>K5-J5</f>
        <v>17.649402031266792</v>
      </c>
      <c r="M5" s="299" t="s">
        <v>116</v>
      </c>
      <c r="N5" s="299">
        <f>N4/20*140</f>
        <v>0.9484999999999999</v>
      </c>
      <c r="O5" s="176">
        <v>20</v>
      </c>
      <c r="P5" s="45">
        <v>100</v>
      </c>
      <c r="Q5" s="178">
        <v>25.110674656073719</v>
      </c>
      <c r="R5" s="177">
        <v>44.427796121108301</v>
      </c>
      <c r="S5" s="45">
        <f>R5-Q5</f>
        <v>19.317121465034582</v>
      </c>
      <c r="T5" s="299" t="s">
        <v>116</v>
      </c>
      <c r="U5" s="299">
        <f>U4/20*140</f>
        <v>0.93659999999999999</v>
      </c>
      <c r="V5" s="178">
        <v>20</v>
      </c>
      <c r="W5" s="45">
        <v>100</v>
      </c>
      <c r="X5" s="180">
        <v>25.451818135489109</v>
      </c>
      <c r="Y5" s="179">
        <v>41.816739995285282</v>
      </c>
      <c r="Z5" s="45">
        <f>Y5-X5</f>
        <v>16.364921859796173</v>
      </c>
      <c r="AA5" s="299" t="s">
        <v>116</v>
      </c>
      <c r="AB5" s="299">
        <f>AB4/20*140</f>
        <v>0.93520000000000003</v>
      </c>
      <c r="AC5" s="180">
        <v>20</v>
      </c>
      <c r="AD5" s="45">
        <v>100</v>
      </c>
      <c r="AE5" s="182">
        <v>25.629514493317274</v>
      </c>
      <c r="AF5" s="181">
        <v>41.638577976142052</v>
      </c>
      <c r="AG5" s="45">
        <f>AF5-AE5</f>
        <v>16.009063482824779</v>
      </c>
      <c r="AH5" s="299" t="s">
        <v>116</v>
      </c>
      <c r="AI5" s="299">
        <f>AI4/20*140</f>
        <v>0.94499999999999984</v>
      </c>
      <c r="AJ5" s="199">
        <v>20</v>
      </c>
      <c r="AK5" s="45">
        <v>100</v>
      </c>
      <c r="AL5" s="201">
        <v>25.953242239549301</v>
      </c>
      <c r="AM5" s="200">
        <v>44.540765556142652</v>
      </c>
      <c r="AN5" s="45">
        <f>AM5-AL5</f>
        <v>18.587523316593352</v>
      </c>
    </row>
    <row r="6" spans="1:62">
      <c r="E6" s="172"/>
      <c r="F6" s="172"/>
      <c r="G6" s="222" t="s">
        <v>42</v>
      </c>
      <c r="H6" s="172"/>
      <c r="I6" s="45"/>
      <c r="J6" s="45"/>
      <c r="K6" s="45"/>
      <c r="L6" s="45"/>
      <c r="M6" s="172"/>
      <c r="N6" s="172"/>
      <c r="O6" s="172"/>
      <c r="P6" s="172"/>
      <c r="Q6" s="172"/>
      <c r="R6" s="172"/>
      <c r="S6" s="172"/>
      <c r="AB6" s="19">
        <v>42194</v>
      </c>
    </row>
    <row r="7" spans="1:62" ht="18">
      <c r="E7" s="172"/>
      <c r="F7" s="299" t="s">
        <v>106</v>
      </c>
      <c r="G7" s="172">
        <f>0.0682-0.008</f>
        <v>6.0199999999999997E-2</v>
      </c>
      <c r="H7" s="172" t="s">
        <v>1</v>
      </c>
      <c r="I7" s="45" t="s">
        <v>2</v>
      </c>
      <c r="J7" s="299" t="s">
        <v>107</v>
      </c>
      <c r="K7" s="299" t="s">
        <v>108</v>
      </c>
      <c r="L7" s="299" t="s">
        <v>109</v>
      </c>
      <c r="M7" s="299" t="s">
        <v>106</v>
      </c>
      <c r="N7" s="172">
        <f>0.0702-0.0093</f>
        <v>6.0899999999999996E-2</v>
      </c>
      <c r="O7" s="172" t="s">
        <v>1</v>
      </c>
      <c r="P7" s="172" t="s">
        <v>2</v>
      </c>
      <c r="Q7" s="299" t="s">
        <v>107</v>
      </c>
      <c r="R7" s="299" t="s">
        <v>108</v>
      </c>
      <c r="S7" s="299" t="s">
        <v>109</v>
      </c>
      <c r="T7" s="299" t="s">
        <v>106</v>
      </c>
      <c r="U7" s="201">
        <f>0.0648-0.0048</f>
        <v>0.06</v>
      </c>
      <c r="V7" s="201" t="s">
        <v>1</v>
      </c>
      <c r="W7" s="201" t="s">
        <v>2</v>
      </c>
      <c r="X7" s="299" t="s">
        <v>107</v>
      </c>
      <c r="Y7" s="299" t="s">
        <v>108</v>
      </c>
      <c r="Z7" s="299" t="s">
        <v>109</v>
      </c>
      <c r="AA7" s="299" t="s">
        <v>106</v>
      </c>
      <c r="AB7" s="207">
        <f>0.0705-0.0064</f>
        <v>6.409999999999999E-2</v>
      </c>
      <c r="AC7" s="207" t="s">
        <v>1</v>
      </c>
      <c r="AD7" s="207" t="s">
        <v>2</v>
      </c>
      <c r="AE7" s="207" t="s">
        <v>3</v>
      </c>
      <c r="AF7" s="207" t="s">
        <v>4</v>
      </c>
      <c r="AG7" s="2" t="s">
        <v>5</v>
      </c>
      <c r="AH7" s="299" t="s">
        <v>106</v>
      </c>
      <c r="AI7" s="224">
        <f>0.0609-0.0003</f>
        <v>6.0600000000000001E-2</v>
      </c>
      <c r="AJ7" s="224" t="s">
        <v>1</v>
      </c>
      <c r="AK7" s="224" t="s">
        <v>2</v>
      </c>
      <c r="AL7" s="299" t="s">
        <v>107</v>
      </c>
      <c r="AM7" s="299" t="s">
        <v>108</v>
      </c>
      <c r="AN7" s="299" t="s">
        <v>109</v>
      </c>
    </row>
    <row r="8" spans="1:62">
      <c r="E8" s="172"/>
      <c r="F8" s="299" t="s">
        <v>116</v>
      </c>
      <c r="G8" s="299">
        <f>G7/20*140</f>
        <v>0.42139999999999994</v>
      </c>
      <c r="H8" s="172">
        <v>20</v>
      </c>
      <c r="I8" s="45">
        <v>100</v>
      </c>
      <c r="J8" s="184">
        <v>25.459734377845184</v>
      </c>
      <c r="K8" s="183">
        <v>28.523413301909756</v>
      </c>
      <c r="L8" s="45">
        <f>K8-J8</f>
        <v>3.0636789240645719</v>
      </c>
      <c r="M8" s="299" t="s">
        <v>116</v>
      </c>
      <c r="N8" s="299">
        <f>N7/20*140</f>
        <v>0.42630000000000001</v>
      </c>
      <c r="O8" s="172">
        <v>20</v>
      </c>
      <c r="P8" s="172">
        <v>100</v>
      </c>
      <c r="Q8" s="186">
        <v>25.460200039160249</v>
      </c>
      <c r="R8" s="185">
        <v>28.025248827055034</v>
      </c>
      <c r="S8" s="172">
        <f>R8-Q8</f>
        <v>2.565048787894785</v>
      </c>
      <c r="T8" s="299" t="s">
        <v>116</v>
      </c>
      <c r="U8" s="299">
        <f>U7/20*140</f>
        <v>0.42</v>
      </c>
      <c r="V8" s="201">
        <v>20</v>
      </c>
      <c r="W8" s="201">
        <v>100</v>
      </c>
      <c r="X8" s="203">
        <v>25.60604516303809</v>
      </c>
      <c r="Y8" s="202">
        <v>26.973785577642069</v>
      </c>
      <c r="Z8" s="201">
        <f>Y8-X8</f>
        <v>1.3677404146039791</v>
      </c>
      <c r="AA8" s="299" t="s">
        <v>116</v>
      </c>
      <c r="AB8" s="299">
        <f>AB7/20*140</f>
        <v>0.44869999999999993</v>
      </c>
      <c r="AC8" s="207">
        <v>20</v>
      </c>
      <c r="AD8" s="207">
        <v>100</v>
      </c>
      <c r="AE8" s="209">
        <v>25.452097532278152</v>
      </c>
      <c r="AF8" s="208">
        <v>26.981515555472097</v>
      </c>
      <c r="AG8" s="209">
        <f>AF8-AE8</f>
        <v>1.5294180231939443</v>
      </c>
      <c r="AH8" s="299" t="s">
        <v>116</v>
      </c>
      <c r="AI8" s="299">
        <f>AI7/20*140</f>
        <v>0.42420000000000002</v>
      </c>
      <c r="AJ8" s="224">
        <v>20</v>
      </c>
      <c r="AK8" s="224">
        <v>100</v>
      </c>
      <c r="AL8" s="224">
        <v>24.749787136899648</v>
      </c>
      <c r="AM8" s="223">
        <v>28.847047915878761</v>
      </c>
      <c r="AN8">
        <f>AM8-AL8</f>
        <v>4.0972607789791127</v>
      </c>
    </row>
    <row r="9" spans="1:62">
      <c r="E9" s="172"/>
      <c r="F9" s="172"/>
      <c r="G9" s="1" t="s">
        <v>43</v>
      </c>
      <c r="H9" s="172"/>
      <c r="I9" s="45"/>
      <c r="J9" s="45"/>
      <c r="K9" s="45"/>
      <c r="L9" s="45"/>
      <c r="M9" s="172"/>
      <c r="N9" s="172"/>
      <c r="O9" s="172"/>
      <c r="P9" s="172"/>
      <c r="Q9" s="172"/>
      <c r="R9" s="172"/>
      <c r="S9" s="172"/>
      <c r="AH9" s="209"/>
      <c r="AI9" s="19"/>
    </row>
    <row r="10" spans="1:62" ht="18">
      <c r="E10" s="172"/>
      <c r="F10" s="299" t="s">
        <v>106</v>
      </c>
      <c r="G10" s="172">
        <f>0.0806-0.0224</f>
        <v>5.8200000000000002E-2</v>
      </c>
      <c r="H10" s="172" t="s">
        <v>1</v>
      </c>
      <c r="I10" s="45" t="s">
        <v>2</v>
      </c>
      <c r="J10" s="299" t="s">
        <v>107</v>
      </c>
      <c r="K10" s="299" t="s">
        <v>108</v>
      </c>
      <c r="L10" s="299" t="s">
        <v>109</v>
      </c>
      <c r="M10" s="299" t="s">
        <v>106</v>
      </c>
      <c r="N10" s="172">
        <f>0.0565-0.0048</f>
        <v>5.1700000000000003E-2</v>
      </c>
      <c r="O10" s="172" t="s">
        <v>1</v>
      </c>
      <c r="P10" s="172" t="s">
        <v>2</v>
      </c>
      <c r="Q10" s="299" t="s">
        <v>107</v>
      </c>
      <c r="R10" s="299" t="s">
        <v>108</v>
      </c>
      <c r="S10" s="299" t="s">
        <v>109</v>
      </c>
      <c r="T10" s="299" t="s">
        <v>106</v>
      </c>
      <c r="U10" s="191">
        <f>0.0642-0.0105</f>
        <v>5.3699999999999991E-2</v>
      </c>
      <c r="V10" s="191" t="s">
        <v>1</v>
      </c>
      <c r="W10" s="191" t="s">
        <v>2</v>
      </c>
      <c r="X10" s="299" t="s">
        <v>107</v>
      </c>
      <c r="Y10" s="299" t="s">
        <v>108</v>
      </c>
      <c r="Z10" s="299" t="s">
        <v>109</v>
      </c>
      <c r="AA10" s="299" t="s">
        <v>106</v>
      </c>
      <c r="AB10" s="193">
        <f>0.0542-0.002</f>
        <v>5.2199999999999996E-2</v>
      </c>
      <c r="AC10" s="193" t="s">
        <v>1</v>
      </c>
      <c r="AD10" s="193" t="s">
        <v>2</v>
      </c>
      <c r="AE10" s="193" t="s">
        <v>3</v>
      </c>
      <c r="AF10" s="193" t="s">
        <v>4</v>
      </c>
      <c r="AG10" s="2" t="s">
        <v>5</v>
      </c>
      <c r="AH10" s="299" t="s">
        <v>106</v>
      </c>
      <c r="AI10" s="209">
        <f>0.0539-0.0013</f>
        <v>5.2600000000000001E-2</v>
      </c>
      <c r="AJ10" s="209" t="s">
        <v>1</v>
      </c>
      <c r="AK10" s="209" t="s">
        <v>2</v>
      </c>
      <c r="AL10" s="299" t="s">
        <v>107</v>
      </c>
      <c r="AM10" s="299" t="s">
        <v>108</v>
      </c>
      <c r="AN10" s="299" t="s">
        <v>109</v>
      </c>
      <c r="BJ10" s="214"/>
    </row>
    <row r="11" spans="1:62">
      <c r="E11" s="172"/>
      <c r="F11" s="299" t="s">
        <v>116</v>
      </c>
      <c r="G11" s="299">
        <f>G10/20*140</f>
        <v>0.40740000000000004</v>
      </c>
      <c r="H11" s="172">
        <v>20</v>
      </c>
      <c r="I11" s="45">
        <v>100</v>
      </c>
      <c r="J11" s="188">
        <v>25.491306215006492</v>
      </c>
      <c r="K11" s="187">
        <v>31.250605359709571</v>
      </c>
      <c r="L11" s="45">
        <f>K11-J11</f>
        <v>5.7592991447030784</v>
      </c>
      <c r="M11" s="299" t="s">
        <v>116</v>
      </c>
      <c r="N11" s="299">
        <f>N10/20*140</f>
        <v>0.3619</v>
      </c>
      <c r="O11" s="172">
        <v>20</v>
      </c>
      <c r="P11" s="172">
        <v>100</v>
      </c>
      <c r="Q11" s="190">
        <v>25.62485788016664</v>
      </c>
      <c r="R11" s="189">
        <v>29.722025526882728</v>
      </c>
      <c r="S11" s="172">
        <f>R11-Q11</f>
        <v>4.0971676467160876</v>
      </c>
      <c r="T11" s="299" t="s">
        <v>116</v>
      </c>
      <c r="U11" s="299">
        <f>U10/20*140</f>
        <v>0.3758999999999999</v>
      </c>
      <c r="V11" s="191">
        <v>20</v>
      </c>
      <c r="W11" s="191">
        <v>100</v>
      </c>
      <c r="X11" s="193">
        <v>25.624764747903619</v>
      </c>
      <c r="Y11" s="192">
        <v>30.06335527082414</v>
      </c>
      <c r="Z11" s="191">
        <f>Y11-X11</f>
        <v>4.4385905229205207</v>
      </c>
      <c r="AA11" s="299" t="s">
        <v>116</v>
      </c>
      <c r="AB11" s="299">
        <f>AB10/20*140</f>
        <v>0.3654</v>
      </c>
      <c r="AC11" s="193">
        <v>20</v>
      </c>
      <c r="AD11" s="193">
        <v>100</v>
      </c>
      <c r="AE11" s="195">
        <v>25.444553818974114</v>
      </c>
      <c r="AF11" s="194">
        <v>28.876943372305835</v>
      </c>
      <c r="AG11" s="193">
        <f>AF11-AE11</f>
        <v>3.4323895533317206</v>
      </c>
      <c r="AH11" s="299" t="s">
        <v>116</v>
      </c>
      <c r="AI11" s="299">
        <f>AI10/20*140</f>
        <v>0.36819999999999997</v>
      </c>
      <c r="AJ11" s="209">
        <v>20</v>
      </c>
      <c r="AK11" s="209">
        <v>100</v>
      </c>
      <c r="AL11" s="211">
        <v>25.624578483377597</v>
      </c>
      <c r="AM11" s="210">
        <v>29.420835788299787</v>
      </c>
      <c r="AN11" s="209">
        <f>AM11-AL11</f>
        <v>3.7962573049221895</v>
      </c>
      <c r="BJ11" s="214"/>
    </row>
    <row r="12" spans="1:62">
      <c r="E12" s="172"/>
      <c r="F12" s="172"/>
      <c r="G12" s="233" t="s">
        <v>45</v>
      </c>
      <c r="H12" s="172"/>
      <c r="I12" s="4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U12" s="19"/>
      <c r="AH12" s="211"/>
      <c r="AI12" s="19"/>
    </row>
    <row r="13" spans="1:62" ht="18">
      <c r="E13" s="172"/>
      <c r="F13" s="299" t="s">
        <v>106</v>
      </c>
      <c r="G13" s="172">
        <f>0.0537-0.0084</f>
        <v>4.53E-2</v>
      </c>
      <c r="H13" s="172" t="s">
        <v>1</v>
      </c>
      <c r="I13" s="45" t="s">
        <v>2</v>
      </c>
      <c r="J13" s="299" t="s">
        <v>107</v>
      </c>
      <c r="K13" s="299" t="s">
        <v>108</v>
      </c>
      <c r="L13" s="299" t="s">
        <v>109</v>
      </c>
      <c r="M13" s="299" t="s">
        <v>106</v>
      </c>
      <c r="N13" s="172">
        <f>0.0608-0.0167</f>
        <v>4.41E-2</v>
      </c>
      <c r="O13" s="172" t="s">
        <v>1</v>
      </c>
      <c r="P13" s="172" t="s">
        <v>2</v>
      </c>
      <c r="Q13" s="299" t="s">
        <v>107</v>
      </c>
      <c r="R13" s="299" t="s">
        <v>108</v>
      </c>
      <c r="S13" s="299" t="s">
        <v>109</v>
      </c>
      <c r="T13" s="299" t="s">
        <v>106</v>
      </c>
      <c r="U13" s="216">
        <f>0.054-0.009</f>
        <v>4.4999999999999998E-2</v>
      </c>
      <c r="V13" s="216" t="s">
        <v>1</v>
      </c>
      <c r="W13" s="216" t="s">
        <v>2</v>
      </c>
      <c r="X13" s="299" t="s">
        <v>107</v>
      </c>
      <c r="Y13" s="299" t="s">
        <v>108</v>
      </c>
      <c r="Z13" s="299" t="s">
        <v>109</v>
      </c>
      <c r="AA13" s="299" t="s">
        <v>106</v>
      </c>
      <c r="AB13" s="218">
        <f>0.0482-0.0017</f>
        <v>4.65E-2</v>
      </c>
      <c r="AC13" s="218" t="s">
        <v>1</v>
      </c>
      <c r="AD13" s="218" t="s">
        <v>2</v>
      </c>
      <c r="AE13" s="218" t="s">
        <v>3</v>
      </c>
      <c r="AF13" s="218" t="s">
        <v>4</v>
      </c>
      <c r="AG13" s="2" t="s">
        <v>5</v>
      </c>
      <c r="AH13" s="299" t="s">
        <v>106</v>
      </c>
      <c r="AI13" s="226">
        <f>0.0543-0.005</f>
        <v>4.9300000000000004E-2</v>
      </c>
      <c r="AJ13" s="226" t="s">
        <v>1</v>
      </c>
      <c r="AK13" s="226" t="s">
        <v>2</v>
      </c>
      <c r="AL13" s="299" t="s">
        <v>107</v>
      </c>
      <c r="AM13" s="299" t="s">
        <v>108</v>
      </c>
      <c r="AN13" s="299" t="s">
        <v>109</v>
      </c>
    </row>
    <row r="14" spans="1:62">
      <c r="E14" s="172"/>
      <c r="F14" s="299" t="s">
        <v>116</v>
      </c>
      <c r="G14" s="299">
        <f>G13/20*140</f>
        <v>0.31709999999999999</v>
      </c>
      <c r="H14" s="172">
        <v>20</v>
      </c>
      <c r="I14" s="45">
        <v>100</v>
      </c>
      <c r="J14" s="197">
        <v>25.451166209648026</v>
      </c>
      <c r="K14" s="196">
        <v>28.691703301173661</v>
      </c>
      <c r="L14" s="45">
        <f>K14-J14</f>
        <v>3.2405370915256348</v>
      </c>
      <c r="M14" s="299" t="s">
        <v>116</v>
      </c>
      <c r="N14" s="299">
        <f>N13/20*140</f>
        <v>0.30869999999999997</v>
      </c>
      <c r="O14" s="172">
        <v>20</v>
      </c>
      <c r="P14" s="172">
        <v>100</v>
      </c>
      <c r="Q14" s="199">
        <v>25.438034560563228</v>
      </c>
      <c r="R14" s="198">
        <v>27.467665968398226</v>
      </c>
      <c r="S14" s="172">
        <f>R14-Q14</f>
        <v>2.029631407834998</v>
      </c>
      <c r="T14" s="299" t="s">
        <v>116</v>
      </c>
      <c r="U14" s="299">
        <f>U13/20*140</f>
        <v>0.315</v>
      </c>
      <c r="V14" s="216">
        <v>20</v>
      </c>
      <c r="W14" s="216">
        <v>100</v>
      </c>
      <c r="X14" s="218">
        <v>25.119801617848964</v>
      </c>
      <c r="Y14" s="217">
        <v>29.58847386172258</v>
      </c>
      <c r="Z14" s="216">
        <f>Y14-X14</f>
        <v>4.4686722438736162</v>
      </c>
      <c r="AA14" s="299" t="s">
        <v>116</v>
      </c>
      <c r="AB14" s="299">
        <f>AB13/20*140</f>
        <v>0.32549999999999996</v>
      </c>
      <c r="AC14" s="218">
        <v>20</v>
      </c>
      <c r="AD14" s="218">
        <v>100</v>
      </c>
      <c r="AE14" s="220">
        <v>25.441852983346759</v>
      </c>
      <c r="AF14" s="219">
        <v>27.329830219139485</v>
      </c>
      <c r="AG14" s="218">
        <f>AF14-AE14</f>
        <v>1.8879772357927251</v>
      </c>
      <c r="AH14" s="299" t="s">
        <v>116</v>
      </c>
      <c r="AI14" s="299">
        <f>AI13/20*140</f>
        <v>0.34510000000000002</v>
      </c>
      <c r="AJ14" s="226">
        <v>20</v>
      </c>
      <c r="AK14" s="226">
        <v>100</v>
      </c>
      <c r="AL14" s="229">
        <v>24.771673218707626</v>
      </c>
      <c r="AM14" s="228">
        <v>28.184877525858727</v>
      </c>
      <c r="AN14" s="229">
        <f>AM14-AL14</f>
        <v>3.4132043071511013</v>
      </c>
    </row>
    <row r="15" spans="1:62"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</row>
    <row r="19" spans="6:26">
      <c r="G19" s="19">
        <v>42194</v>
      </c>
      <c r="U19" s="19">
        <v>42195</v>
      </c>
    </row>
    <row r="20" spans="6:26" ht="18">
      <c r="G20" s="203">
        <f>0.1447-0.01</f>
        <v>0.13469999999999999</v>
      </c>
      <c r="H20" s="203" t="s">
        <v>1</v>
      </c>
      <c r="I20" s="45" t="s">
        <v>2</v>
      </c>
      <c r="J20" s="299" t="s">
        <v>107</v>
      </c>
      <c r="K20" s="299" t="s">
        <v>108</v>
      </c>
      <c r="L20" s="299" t="s">
        <v>109</v>
      </c>
      <c r="N20" s="205">
        <f>0.1564-0.0217</f>
        <v>0.13470000000000001</v>
      </c>
      <c r="O20" s="205" t="s">
        <v>1</v>
      </c>
      <c r="P20" s="45" t="s">
        <v>2</v>
      </c>
      <c r="Q20" s="299" t="s">
        <v>107</v>
      </c>
      <c r="R20" s="299" t="s">
        <v>108</v>
      </c>
      <c r="S20" s="299" t="s">
        <v>109</v>
      </c>
      <c r="U20" s="224">
        <f>0.145-0.008</f>
        <v>0.13699999999999998</v>
      </c>
      <c r="V20" s="224" t="s">
        <v>1</v>
      </c>
      <c r="W20" s="45" t="s">
        <v>2</v>
      </c>
      <c r="X20" s="299" t="s">
        <v>107</v>
      </c>
      <c r="Y20" s="299" t="s">
        <v>108</v>
      </c>
      <c r="Z20" s="299" t="s">
        <v>109</v>
      </c>
    </row>
    <row r="21" spans="6:26">
      <c r="F21" s="226"/>
      <c r="G21" s="203"/>
      <c r="H21" s="203">
        <v>20</v>
      </c>
      <c r="I21" s="45">
        <v>100</v>
      </c>
      <c r="J21" s="205">
        <v>25.447068390075479</v>
      </c>
      <c r="K21" s="204">
        <v>45.727177454660982</v>
      </c>
      <c r="L21" s="45">
        <f>K21-J21</f>
        <v>20.280109064585503</v>
      </c>
      <c r="M21" s="226"/>
      <c r="N21" s="205"/>
      <c r="O21" s="205">
        <v>20</v>
      </c>
      <c r="P21" s="45">
        <v>100</v>
      </c>
      <c r="Q21" s="207">
        <v>25.452190664541174</v>
      </c>
      <c r="R21" s="206">
        <v>42.703545403691855</v>
      </c>
      <c r="S21" s="45">
        <f>R21-Q21</f>
        <v>17.251354739150681</v>
      </c>
      <c r="T21" s="226"/>
      <c r="U21" s="224"/>
      <c r="V21" s="224">
        <v>20</v>
      </c>
      <c r="W21" s="45">
        <v>100</v>
      </c>
      <c r="X21" s="226">
        <v>25.103317207295728</v>
      </c>
      <c r="Y21" s="225">
        <v>44.967497585266692</v>
      </c>
      <c r="Z21" s="45">
        <f>Y21-X21</f>
        <v>19.864180377970964</v>
      </c>
    </row>
    <row r="22" spans="6:26">
      <c r="U22" s="19">
        <v>42207</v>
      </c>
    </row>
    <row r="23" spans="6:26" ht="18">
      <c r="F23" s="19">
        <v>42196</v>
      </c>
      <c r="G23" s="237">
        <f>0.0701-0.009</f>
        <v>6.1099999999999995E-2</v>
      </c>
      <c r="H23" s="237" t="s">
        <v>1</v>
      </c>
      <c r="I23" s="237" t="s">
        <v>2</v>
      </c>
      <c r="J23" s="299" t="s">
        <v>107</v>
      </c>
      <c r="K23" s="299" t="s">
        <v>108</v>
      </c>
      <c r="L23" s="299" t="s">
        <v>109</v>
      </c>
      <c r="M23" s="19">
        <v>42198</v>
      </c>
      <c r="N23" s="239">
        <f>0.0701-0.0076</f>
        <v>6.2499999999999993E-2</v>
      </c>
      <c r="O23" s="239" t="s">
        <v>1</v>
      </c>
      <c r="P23" s="239" t="s">
        <v>2</v>
      </c>
      <c r="Q23" s="299" t="s">
        <v>107</v>
      </c>
      <c r="R23" s="299" t="s">
        <v>108</v>
      </c>
      <c r="S23" s="299" t="s">
        <v>109</v>
      </c>
      <c r="U23" s="242">
        <f>0.0675-0.0087</f>
        <v>5.8800000000000005E-2</v>
      </c>
      <c r="V23" s="242" t="s">
        <v>1</v>
      </c>
      <c r="W23" s="242" t="s">
        <v>2</v>
      </c>
      <c r="X23" s="299" t="s">
        <v>107</v>
      </c>
      <c r="Y23" s="299" t="s">
        <v>108</v>
      </c>
      <c r="Z23" s="299" t="s">
        <v>109</v>
      </c>
    </row>
    <row r="24" spans="6:26">
      <c r="G24" s="237"/>
      <c r="H24" s="237">
        <v>20</v>
      </c>
      <c r="I24" s="237">
        <v>100</v>
      </c>
      <c r="J24" s="239">
        <v>25.537779214249802</v>
      </c>
      <c r="K24" s="238">
        <v>28.199592423414732</v>
      </c>
      <c r="L24" s="237">
        <f>K24-J24</f>
        <v>2.6618132091649294</v>
      </c>
      <c r="N24" s="239"/>
      <c r="O24" s="239">
        <v>20</v>
      </c>
      <c r="P24" s="239">
        <v>100</v>
      </c>
      <c r="Q24" s="241">
        <v>24.781358974060957</v>
      </c>
      <c r="R24" s="240">
        <v>27.508178502808732</v>
      </c>
      <c r="S24" s="239">
        <f>R24-Q24</f>
        <v>2.7268195287477752</v>
      </c>
      <c r="U24" s="242"/>
      <c r="V24" s="242">
        <v>20</v>
      </c>
      <c r="W24" s="242">
        <v>100</v>
      </c>
      <c r="X24" s="244">
        <v>25.455264029220572</v>
      </c>
      <c r="Y24" s="243">
        <v>27.838052978399581</v>
      </c>
      <c r="Z24" s="242">
        <f>Y24-X24</f>
        <v>2.3827889491790089</v>
      </c>
    </row>
    <row r="25" spans="6:26">
      <c r="N25">
        <f>N26*7</f>
        <v>0.40109999999999996</v>
      </c>
    </row>
    <row r="26" spans="6:26" ht="18">
      <c r="G26" s="211">
        <f>0.0631-0.0108</f>
        <v>5.2299999999999999E-2</v>
      </c>
      <c r="H26" s="211" t="s">
        <v>1</v>
      </c>
      <c r="I26" s="211" t="s">
        <v>2</v>
      </c>
      <c r="J26" s="211" t="s">
        <v>3</v>
      </c>
      <c r="K26" s="211" t="s">
        <v>4</v>
      </c>
      <c r="L26" s="2" t="s">
        <v>5</v>
      </c>
      <c r="N26" s="212">
        <f>0.0701-0.0128</f>
        <v>5.7299999999999997E-2</v>
      </c>
      <c r="O26" s="212" t="s">
        <v>1</v>
      </c>
      <c r="P26" s="212" t="s">
        <v>2</v>
      </c>
      <c r="Q26" s="299" t="s">
        <v>107</v>
      </c>
      <c r="R26" s="299" t="s">
        <v>108</v>
      </c>
      <c r="S26" s="299" t="s">
        <v>109</v>
      </c>
      <c r="U26" s="214">
        <f>0.0538-0.0005</f>
        <v>5.33E-2</v>
      </c>
      <c r="V26" s="214" t="s">
        <v>1</v>
      </c>
      <c r="W26" s="214" t="s">
        <v>2</v>
      </c>
      <c r="X26" s="299" t="s">
        <v>107</v>
      </c>
      <c r="Y26" s="299" t="s">
        <v>108</v>
      </c>
      <c r="Z26" s="299" t="s">
        <v>109</v>
      </c>
    </row>
    <row r="27" spans="6:26" ht="18">
      <c r="F27" s="211"/>
      <c r="G27" s="211"/>
      <c r="H27" s="211">
        <v>20</v>
      </c>
      <c r="I27" s="211">
        <v>100</v>
      </c>
      <c r="J27" s="299" t="s">
        <v>107</v>
      </c>
      <c r="K27" s="299" t="s">
        <v>108</v>
      </c>
      <c r="L27" s="299" t="s">
        <v>109</v>
      </c>
      <c r="M27" s="214"/>
      <c r="N27" s="212"/>
      <c r="O27" s="212">
        <v>20</v>
      </c>
      <c r="P27" s="212">
        <v>100</v>
      </c>
      <c r="Q27" s="214">
        <v>25.446975257812454</v>
      </c>
      <c r="R27" s="213">
        <v>29.946567413006271</v>
      </c>
      <c r="S27" s="212">
        <f>R27-Q27</f>
        <v>4.4995921551938167</v>
      </c>
      <c r="T27" s="214"/>
      <c r="U27" s="214"/>
      <c r="V27" s="214">
        <v>20</v>
      </c>
      <c r="W27" s="214">
        <v>100</v>
      </c>
      <c r="X27" s="216">
        <v>25.110115862495658</v>
      </c>
      <c r="Y27" s="215">
        <v>29.296969878492945</v>
      </c>
      <c r="Z27" s="214">
        <f>Y27-X27</f>
        <v>4.1868540159972873</v>
      </c>
    </row>
    <row r="28" spans="6:26">
      <c r="U28">
        <f>U26*7</f>
        <v>0.37309999999999999</v>
      </c>
    </row>
    <row r="29" spans="6:26" ht="18">
      <c r="G29" s="227">
        <f>0.0479-0.0008</f>
        <v>4.7099999999999996E-2</v>
      </c>
      <c r="H29" s="227" t="s">
        <v>1</v>
      </c>
      <c r="I29" s="227" t="s">
        <v>2</v>
      </c>
      <c r="J29" s="299" t="s">
        <v>107</v>
      </c>
      <c r="K29" s="299" t="s">
        <v>108</v>
      </c>
      <c r="L29" s="299" t="s">
        <v>109</v>
      </c>
      <c r="N29" s="232">
        <f>0.059-0.0123</f>
        <v>4.6699999999999998E-2</v>
      </c>
      <c r="O29" s="232" t="s">
        <v>1</v>
      </c>
      <c r="P29" s="232" t="s">
        <v>2</v>
      </c>
      <c r="Q29" s="299" t="s">
        <v>107</v>
      </c>
      <c r="R29" s="299" t="s">
        <v>108</v>
      </c>
      <c r="S29" s="299" t="s">
        <v>109</v>
      </c>
      <c r="U29" s="235">
        <f>0.0532-0.0046</f>
        <v>4.8599999999999997E-2</v>
      </c>
      <c r="V29" s="235" t="s">
        <v>1</v>
      </c>
      <c r="W29" s="235" t="s">
        <v>2</v>
      </c>
      <c r="X29" s="299" t="s">
        <v>107</v>
      </c>
      <c r="Y29" s="299" t="s">
        <v>108</v>
      </c>
      <c r="Z29" s="299" t="s">
        <v>109</v>
      </c>
    </row>
    <row r="30" spans="6:26">
      <c r="F30" s="230"/>
      <c r="G30" s="227"/>
      <c r="H30" s="227">
        <v>20</v>
      </c>
      <c r="I30" s="227">
        <v>100</v>
      </c>
      <c r="J30" s="232">
        <v>24.438539113911336</v>
      </c>
      <c r="K30" s="231">
        <v>26.885309927780039</v>
      </c>
      <c r="L30" s="232">
        <f>K30-J30</f>
        <v>2.446770813868703</v>
      </c>
      <c r="N30" s="232"/>
      <c r="O30" s="232">
        <v>20</v>
      </c>
      <c r="P30" s="232">
        <v>100</v>
      </c>
      <c r="Q30" s="234">
        <v>25.635474958150073</v>
      </c>
      <c r="R30" s="235">
        <v>29.386935644563188</v>
      </c>
      <c r="S30" s="232">
        <f>R30-Q30</f>
        <v>3.7514606864131146</v>
      </c>
      <c r="U30" s="235"/>
      <c r="V30" s="235">
        <v>20</v>
      </c>
      <c r="W30" s="235">
        <v>100</v>
      </c>
      <c r="X30" s="237">
        <v>25.46150389084244</v>
      </c>
      <c r="Y30" s="236">
        <v>29.220973951874601</v>
      </c>
      <c r="Z30" s="235">
        <f>Y30-X30</f>
        <v>3.759470061032161</v>
      </c>
    </row>
  </sheetData>
  <mergeCells count="2">
    <mergeCell ref="J3:L3"/>
    <mergeCell ref="X3:Z3"/>
  </mergeCells>
  <phoneticPr fontId="3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topLeftCell="A40" workbookViewId="0">
      <selection activeCell="N61" sqref="N61"/>
    </sheetView>
  </sheetViews>
  <sheetFormatPr defaultRowHeight="15"/>
  <cols>
    <col min="3" max="3" width="9" style="299"/>
    <col min="4" max="4" width="13" customWidth="1"/>
    <col min="5" max="5" width="13.140625" customWidth="1"/>
    <col min="8" max="8" width="9" style="299"/>
    <col min="12" max="12" width="12.28515625" customWidth="1"/>
    <col min="14" max="14" width="20.140625" customWidth="1"/>
    <col min="15" max="15" width="10" customWidth="1"/>
    <col min="16" max="16" width="22.85546875" customWidth="1"/>
    <col min="17" max="17" width="14.5703125" customWidth="1"/>
    <col min="18" max="18" width="7" customWidth="1"/>
    <col min="19" max="19" width="12.42578125" customWidth="1"/>
  </cols>
  <sheetData>
    <row r="1" spans="1:23" s="299" customFormat="1">
      <c r="E1" s="307"/>
      <c r="F1" s="308" t="s">
        <v>64</v>
      </c>
      <c r="G1" s="308" t="s">
        <v>65</v>
      </c>
      <c r="H1" s="309" t="s">
        <v>66</v>
      </c>
    </row>
    <row r="2" spans="1:23" s="299" customFormat="1">
      <c r="A2" t="s">
        <v>59</v>
      </c>
      <c r="B2"/>
      <c r="E2" s="25">
        <v>0</v>
      </c>
      <c r="F2" s="301">
        <v>0</v>
      </c>
      <c r="G2" s="301">
        <v>0</v>
      </c>
      <c r="H2" s="26">
        <v>0</v>
      </c>
    </row>
    <row r="3" spans="1:23" s="290" customFormat="1">
      <c r="A3" s="307"/>
      <c r="B3" s="308" t="s">
        <v>64</v>
      </c>
      <c r="C3" s="308" t="s">
        <v>65</v>
      </c>
      <c r="D3" s="309" t="s">
        <v>66</v>
      </c>
      <c r="E3" s="36">
        <v>8.5630407616780699E-4</v>
      </c>
      <c r="F3" s="302">
        <v>0.33695252757982175</v>
      </c>
      <c r="G3" s="302">
        <v>0.51678900000000005</v>
      </c>
      <c r="H3" s="27">
        <v>0.65348790000000001</v>
      </c>
    </row>
    <row r="4" spans="1:23">
      <c r="A4" s="36">
        <v>5.1999999999999998E-2</v>
      </c>
      <c r="B4" s="302">
        <v>0.68065961629170668</v>
      </c>
      <c r="C4" s="302">
        <v>1.2749265384489601</v>
      </c>
      <c r="D4" s="27">
        <v>1.53842636993251</v>
      </c>
      <c r="E4" s="303">
        <v>7.8000000000000014E-2</v>
      </c>
      <c r="F4" s="302">
        <v>1.7786951140969101</v>
      </c>
      <c r="G4" s="302">
        <v>2.3925875470584299</v>
      </c>
      <c r="H4" s="27">
        <v>2.7249254399809502</v>
      </c>
      <c r="I4" t="s">
        <v>39</v>
      </c>
      <c r="L4" t="s">
        <v>40</v>
      </c>
      <c r="Q4" t="s">
        <v>14</v>
      </c>
    </row>
    <row r="5" spans="1:23">
      <c r="A5" s="36">
        <v>0</v>
      </c>
      <c r="B5" s="302">
        <v>0</v>
      </c>
      <c r="C5" s="302">
        <v>0</v>
      </c>
      <c r="D5" s="27">
        <v>0</v>
      </c>
      <c r="E5" s="22">
        <v>5.2000000000000005E-2</v>
      </c>
      <c r="F5" s="310">
        <v>1.3043395143697001</v>
      </c>
      <c r="G5" s="302">
        <v>1.5218471897749699</v>
      </c>
      <c r="H5" s="27">
        <v>1.8963770506607001</v>
      </c>
      <c r="I5" t="s">
        <v>36</v>
      </c>
      <c r="L5" t="s">
        <v>13</v>
      </c>
      <c r="M5" t="s">
        <v>5</v>
      </c>
      <c r="S5" s="20" t="s">
        <v>13</v>
      </c>
      <c r="T5" s="21" t="s">
        <v>5</v>
      </c>
    </row>
    <row r="6" spans="1:23">
      <c r="A6" s="36">
        <v>0.1353</v>
      </c>
      <c r="B6" s="302">
        <v>3.5869891099327411</v>
      </c>
      <c r="C6" s="271">
        <v>3.85894</v>
      </c>
      <c r="D6" s="272">
        <v>4.5678900000000002</v>
      </c>
      <c r="E6" s="36">
        <v>2.7639999999999998E-2</v>
      </c>
      <c r="F6" s="302">
        <v>0.83735217674686169</v>
      </c>
      <c r="G6" s="302">
        <v>1.2157935926791299</v>
      </c>
      <c r="H6" s="27">
        <v>1.3733493312209468</v>
      </c>
      <c r="I6" t="s">
        <v>37</v>
      </c>
      <c r="J6" t="s">
        <v>38</v>
      </c>
      <c r="L6">
        <v>0.46970297029702979</v>
      </c>
      <c r="M6">
        <v>8.6475168852518074</v>
      </c>
      <c r="T6" s="173"/>
      <c r="W6" s="174">
        <v>0.68</v>
      </c>
    </row>
    <row r="7" spans="1:23">
      <c r="A7" s="36">
        <v>0.29099999999999998</v>
      </c>
      <c r="B7" s="302">
        <v>6.3096176868449199</v>
      </c>
      <c r="C7" s="271">
        <v>7.9587599999999998</v>
      </c>
      <c r="D7" s="272">
        <v>9.3786400000000008</v>
      </c>
      <c r="E7" s="36">
        <v>0.1148</v>
      </c>
      <c r="F7" s="302">
        <v>3.4894560867223801</v>
      </c>
      <c r="G7" s="300">
        <v>3.8758400000000002</v>
      </c>
      <c r="H7" s="304">
        <v>4.7293026999999999</v>
      </c>
      <c r="I7">
        <v>0.12809999999999999</v>
      </c>
      <c r="J7">
        <v>0.34654515067013136</v>
      </c>
      <c r="L7">
        <v>0.34957816377171219</v>
      </c>
      <c r="M7">
        <v>7.5051565471384691</v>
      </c>
      <c r="R7" s="172"/>
      <c r="S7">
        <v>0.1148</v>
      </c>
      <c r="T7">
        <v>1.8538365873000999</v>
      </c>
    </row>
    <row r="8" spans="1:23">
      <c r="A8" s="36">
        <v>0.3987</v>
      </c>
      <c r="B8" s="302">
        <v>8.8025278629379091</v>
      </c>
      <c r="C8" s="302">
        <v>10.587634</v>
      </c>
      <c r="D8" s="27">
        <v>12.789634</v>
      </c>
      <c r="E8" s="36">
        <v>0.26200000000000001</v>
      </c>
      <c r="F8" s="302">
        <v>8.5324985404311668</v>
      </c>
      <c r="G8" s="300">
        <v>9.7290632000000006</v>
      </c>
      <c r="H8" s="304">
        <v>11.094783919999999</v>
      </c>
      <c r="I8">
        <v>0.23859999999999998</v>
      </c>
      <c r="J8">
        <v>2.208538485082304</v>
      </c>
      <c r="L8">
        <v>0.25970149253731345</v>
      </c>
      <c r="M8">
        <v>6.6314827878166938</v>
      </c>
      <c r="R8" s="172"/>
      <c r="S8">
        <v>0.1653</v>
      </c>
      <c r="T8">
        <v>3.0879475526778499</v>
      </c>
    </row>
    <row r="9" spans="1:23">
      <c r="A9" s="36">
        <v>0.54600000000000004</v>
      </c>
      <c r="B9" s="302">
        <v>11.4973098932093</v>
      </c>
      <c r="C9" s="302">
        <v>14.7548902</v>
      </c>
      <c r="D9" s="27">
        <v>18.240279999999998</v>
      </c>
      <c r="E9" s="22">
        <f>(Stock3!G4/20.15)*60</f>
        <v>0.40674937965260549</v>
      </c>
      <c r="F9" s="310">
        <v>11.719857109776587</v>
      </c>
      <c r="G9" s="302">
        <v>15.0859878</v>
      </c>
      <c r="H9" s="27">
        <v>17.159368203</v>
      </c>
      <c r="I9">
        <v>0.34260000000000002</v>
      </c>
      <c r="J9">
        <v>3.748387321733663</v>
      </c>
      <c r="L9">
        <v>0.12698254364089775</v>
      </c>
      <c r="M9">
        <v>4.4333751161918009</v>
      </c>
      <c r="R9" s="172"/>
      <c r="S9">
        <v>0.29399999999999998</v>
      </c>
      <c r="T9">
        <v>5.68233352496227</v>
      </c>
    </row>
    <row r="10" spans="1:23">
      <c r="A10" s="36">
        <v>0.69</v>
      </c>
      <c r="B10" s="302">
        <v>15.1551337632617</v>
      </c>
      <c r="C10" s="302">
        <v>17.892761</v>
      </c>
      <c r="D10" s="27">
        <v>22.382719000000002</v>
      </c>
      <c r="E10" s="24">
        <v>0.51200000000000001</v>
      </c>
      <c r="F10" s="311">
        <v>15.110709673804624</v>
      </c>
      <c r="G10" s="305">
        <v>18.193000000000001</v>
      </c>
      <c r="H10" s="306">
        <v>21.639852999999999</v>
      </c>
      <c r="I10">
        <v>0.52559999999999996</v>
      </c>
      <c r="J10">
        <v>6.6225809826005104</v>
      </c>
      <c r="L10">
        <v>0.65876543209876537</v>
      </c>
      <c r="M10">
        <v>9.3220585180555897</v>
      </c>
      <c r="O10">
        <f>29.6*1.3</f>
        <v>38.480000000000004</v>
      </c>
      <c r="R10" s="172"/>
      <c r="S10">
        <v>0.36720000000000003</v>
      </c>
      <c r="T10">
        <v>6.8544204446328001</v>
      </c>
    </row>
    <row r="11" spans="1:23">
      <c r="A11" s="24">
        <v>2.76E-2</v>
      </c>
      <c r="B11" s="312">
        <v>0.45860493883996706</v>
      </c>
      <c r="C11" s="274">
        <v>0.792296417293883</v>
      </c>
      <c r="D11" s="275">
        <v>0.67889297063561982</v>
      </c>
      <c r="E11" s="36">
        <v>0.65700000000000003</v>
      </c>
      <c r="F11" s="23">
        <v>15.46</v>
      </c>
      <c r="G11" s="45"/>
      <c r="H11" s="45"/>
      <c r="L11">
        <v>0.71598622725036898</v>
      </c>
      <c r="M11">
        <v>9.7085727577550749</v>
      </c>
      <c r="N11">
        <v>0.59085095917363506</v>
      </c>
      <c r="O11">
        <v>9.507500201910748</v>
      </c>
      <c r="R11" s="172"/>
    </row>
    <row r="12" spans="1:23">
      <c r="A12" t="s">
        <v>62</v>
      </c>
      <c r="E12" s="24">
        <v>0.94919999999999993</v>
      </c>
      <c r="F12" s="45">
        <v>17.649402031266792</v>
      </c>
      <c r="L12">
        <v>0.91177042801556429</v>
      </c>
      <c r="M12">
        <v>10.499917596573699</v>
      </c>
    </row>
    <row r="13" spans="1:23">
      <c r="A13">
        <v>1.584E-2</v>
      </c>
      <c r="B13">
        <v>1.5681369941316099</v>
      </c>
      <c r="E13" s="221">
        <v>1.2203999999999999</v>
      </c>
      <c r="F13" s="251">
        <v>17.735828771342572</v>
      </c>
    </row>
    <row r="14" spans="1:23">
      <c r="A14">
        <v>2.9279999999999994E-2</v>
      </c>
      <c r="B14">
        <v>1.9773601578092701</v>
      </c>
      <c r="E14">
        <v>1.0791999999999999</v>
      </c>
      <c r="F14">
        <v>17.450937178786823</v>
      </c>
    </row>
    <row r="15" spans="1:23">
      <c r="A15">
        <v>4.3726500000000001E-2</v>
      </c>
      <c r="B15">
        <v>2.4</v>
      </c>
      <c r="E15">
        <v>1.407</v>
      </c>
      <c r="F15">
        <v>17.011950582978201</v>
      </c>
    </row>
    <row r="16" spans="1:23">
      <c r="A16">
        <v>7.3499999999999996E-2</v>
      </c>
      <c r="B16">
        <v>3.2</v>
      </c>
    </row>
    <row r="18" spans="13:21">
      <c r="Q18" s="45" t="e">
        <f>#REF!-R10</f>
        <v>#REF!</v>
      </c>
    </row>
    <row r="20" spans="13:21">
      <c r="M20">
        <f>25*1.5</f>
        <v>37.5</v>
      </c>
    </row>
    <row r="31" spans="13:21">
      <c r="P31" t="s">
        <v>44</v>
      </c>
      <c r="T31" t="s">
        <v>46</v>
      </c>
    </row>
    <row r="32" spans="13:21">
      <c r="P32" t="s">
        <v>48</v>
      </c>
      <c r="Q32" t="s">
        <v>50</v>
      </c>
      <c r="R32" t="s">
        <v>51</v>
      </c>
      <c r="S32" t="s">
        <v>49</v>
      </c>
      <c r="T32" s="252" t="s">
        <v>50</v>
      </c>
      <c r="U32" s="252" t="s">
        <v>51</v>
      </c>
    </row>
    <row r="33" spans="4:21">
      <c r="P33">
        <f>Q33/4</f>
        <v>5.6599999999999998E-2</v>
      </c>
      <c r="Q33" s="45">
        <v>0.22639999999999999</v>
      </c>
      <c r="R33" s="45">
        <v>1.3846423855210439</v>
      </c>
      <c r="S33">
        <f>T33*7</f>
        <v>2.5634000000000001</v>
      </c>
      <c r="T33">
        <v>0.36620000000000003</v>
      </c>
      <c r="U33">
        <v>2.02</v>
      </c>
    </row>
    <row r="34" spans="4:21">
      <c r="P34" s="294">
        <f t="shared" ref="P34:P38" si="0">Q34/4</f>
        <v>8.7300000000000003E-2</v>
      </c>
      <c r="Q34" s="45">
        <v>0.34920000000000001</v>
      </c>
      <c r="R34">
        <v>3.79</v>
      </c>
      <c r="S34" s="294">
        <f t="shared" ref="S34:S37" si="1">T34*7</f>
        <v>2.8056000000000001</v>
      </c>
      <c r="T34">
        <v>0.40079999999999999</v>
      </c>
      <c r="U34">
        <v>2.5</v>
      </c>
    </row>
    <row r="35" spans="4:21">
      <c r="P35" s="294">
        <f t="shared" si="0"/>
        <v>0.10780000000000001</v>
      </c>
      <c r="Q35">
        <v>0.43120000000000003</v>
      </c>
      <c r="R35" s="45">
        <v>5.0490151948066639</v>
      </c>
      <c r="S35" s="294">
        <f t="shared" si="1"/>
        <v>3.3137999999999996</v>
      </c>
      <c r="T35">
        <v>0.47339999999999993</v>
      </c>
      <c r="U35">
        <v>4.2659801105249464</v>
      </c>
    </row>
    <row r="36" spans="4:21">
      <c r="P36" s="294">
        <f t="shared" si="0"/>
        <v>0.12014999999999999</v>
      </c>
      <c r="Q36">
        <v>0.48059999999999997</v>
      </c>
      <c r="R36">
        <v>6.6267175203592119</v>
      </c>
      <c r="S36" s="294">
        <f t="shared" si="1"/>
        <v>3.661</v>
      </c>
      <c r="T36">
        <v>0.52300000000000002</v>
      </c>
      <c r="U36">
        <v>5.5260238066926171</v>
      </c>
    </row>
    <row r="37" spans="4:21">
      <c r="P37" s="294">
        <f t="shared" si="0"/>
        <v>0.13250000000000001</v>
      </c>
      <c r="Q37">
        <v>0.53</v>
      </c>
      <c r="R37">
        <v>7.4718151969799607</v>
      </c>
      <c r="S37" s="294">
        <f t="shared" si="1"/>
        <v>3.9193000000000007</v>
      </c>
      <c r="T37">
        <v>0.55990000000000006</v>
      </c>
      <c r="U37">
        <v>5.9</v>
      </c>
    </row>
    <row r="38" spans="4:21">
      <c r="P38" s="294">
        <f t="shared" si="0"/>
        <v>0.17352500000000001</v>
      </c>
      <c r="Q38">
        <v>0.69410000000000005</v>
      </c>
      <c r="R38">
        <v>7.5423163200805377</v>
      </c>
    </row>
    <row r="45" spans="4:21">
      <c r="D45" s="19">
        <v>42268</v>
      </c>
      <c r="E45" s="45" t="s">
        <v>53</v>
      </c>
      <c r="N45" s="268" t="s">
        <v>55</v>
      </c>
      <c r="O45" s="267" t="s">
        <v>58</v>
      </c>
    </row>
    <row r="46" spans="4:21">
      <c r="D46" t="s">
        <v>52</v>
      </c>
      <c r="N46" s="268" t="s">
        <v>56</v>
      </c>
    </row>
    <row r="47" spans="4:21" ht="18">
      <c r="E47" s="255">
        <f>0.1357-0.001</f>
        <v>0.13469999999999999</v>
      </c>
      <c r="G47" s="45" t="s">
        <v>3</v>
      </c>
      <c r="H47" s="45"/>
      <c r="I47" s="45" t="s">
        <v>4</v>
      </c>
      <c r="J47" s="46" t="s">
        <v>5</v>
      </c>
      <c r="N47" s="276" t="s">
        <v>54</v>
      </c>
      <c r="O47" s="277" t="s">
        <v>5</v>
      </c>
      <c r="P47" s="277" t="s">
        <v>63</v>
      </c>
      <c r="Q47" s="278" t="s">
        <v>57</v>
      </c>
    </row>
    <row r="48" spans="4:21">
      <c r="D48" t="s">
        <v>13</v>
      </c>
      <c r="E48" s="248">
        <f>(E47/20)*(20.3+15.2)</f>
        <v>0.23909249999999999</v>
      </c>
      <c r="G48" s="253">
        <v>24.098978882967156</v>
      </c>
      <c r="I48" s="258">
        <v>32.274128930218801</v>
      </c>
      <c r="J48">
        <f>I48-G48</f>
        <v>8.1751500472516447</v>
      </c>
      <c r="K48" s="254">
        <f>J49-E48</f>
        <v>3.1802595641423903E-3</v>
      </c>
      <c r="N48" s="270">
        <v>0.23909249999999999</v>
      </c>
      <c r="O48" s="271">
        <v>7.1751500472516403</v>
      </c>
      <c r="P48" s="271">
        <v>0.26739805686340218</v>
      </c>
      <c r="Q48" s="269">
        <f>100*(P48-N48)/N48</f>
        <v>11.838747289606404</v>
      </c>
    </row>
    <row r="49" spans="4:17">
      <c r="J49" s="247">
        <f>(O48)/29.616</f>
        <v>0.24227275956414238</v>
      </c>
      <c r="K49" s="254">
        <f>100*K48/E48</f>
        <v>1.3301377350366033</v>
      </c>
      <c r="N49" s="270">
        <v>0.24175499999999997</v>
      </c>
      <c r="O49" s="271">
        <v>7.6987396299087756</v>
      </c>
      <c r="P49" s="271">
        <v>0.25934241882774445</v>
      </c>
      <c r="Q49" s="272">
        <f t="shared" ref="Q49:Q50" si="2">100*(P49-N49)/N49</f>
        <v>7.2748935193664996</v>
      </c>
    </row>
    <row r="50" spans="4:17">
      <c r="G50" s="257">
        <v>24.106615728534216</v>
      </c>
      <c r="I50" s="256">
        <v>31.969006655753098</v>
      </c>
      <c r="J50" s="257">
        <f>I50-G50</f>
        <v>7.8623909272188826</v>
      </c>
      <c r="K50" s="254">
        <f>J51-E48</f>
        <v>-9.7304921092039032E-3</v>
      </c>
      <c r="N50" s="270">
        <v>0.23873749999999999</v>
      </c>
      <c r="O50" s="271">
        <v>7.8172908614451373</v>
      </c>
      <c r="P50" s="271">
        <v>0.26475596426526948</v>
      </c>
      <c r="Q50" s="272">
        <f t="shared" si="2"/>
        <v>10.898356674284305</v>
      </c>
    </row>
    <row r="51" spans="4:17">
      <c r="J51" s="247">
        <f>(J48)/35.643</f>
        <v>0.22936200789079608</v>
      </c>
      <c r="K51" s="254">
        <f>100*K50/E48</f>
        <v>-4.0697604940363679</v>
      </c>
      <c r="N51" s="270">
        <v>0.36984800000000001</v>
      </c>
      <c r="O51" s="271">
        <v>10.645137914725375</v>
      </c>
      <c r="P51" s="271">
        <v>0.39388729689599405</v>
      </c>
      <c r="Q51" s="272">
        <f>100*(P51-N51)/N51</f>
        <v>6.4997774480310948</v>
      </c>
    </row>
    <row r="52" spans="4:17">
      <c r="N52" s="273">
        <v>0.390457</v>
      </c>
      <c r="O52" s="274">
        <v>11.233241035535393</v>
      </c>
      <c r="P52" s="274">
        <v>0.42074254694439889</v>
      </c>
      <c r="Q52" s="275">
        <f>100*(P52-N52)/N52</f>
        <v>7.7564359057204477</v>
      </c>
    </row>
    <row r="53" spans="4:17" ht="18">
      <c r="E53" s="255">
        <f>0.1386-0.0024</f>
        <v>0.13619999999999999</v>
      </c>
      <c r="F53" s="258"/>
      <c r="G53" s="45" t="s">
        <v>3</v>
      </c>
      <c r="H53" s="45"/>
      <c r="I53" s="45" t="s">
        <v>4</v>
      </c>
      <c r="J53" s="46" t="s">
        <v>5</v>
      </c>
      <c r="K53" s="258"/>
    </row>
    <row r="54" spans="4:17">
      <c r="D54" s="262" t="s">
        <v>13</v>
      </c>
      <c r="E54" s="248">
        <f>(E53/20)*(20.3+15.2)</f>
        <v>0.24175499999999997</v>
      </c>
      <c r="F54" s="258"/>
      <c r="G54" s="260">
        <v>24.434068765286721</v>
      </c>
      <c r="I54" s="259">
        <v>32.132808395195497</v>
      </c>
      <c r="J54" s="258">
        <f>I54-G54</f>
        <v>7.6987396299087756</v>
      </c>
      <c r="K54" s="254">
        <f>J55-E54</f>
        <v>-5.1804177901977444E-2</v>
      </c>
    </row>
    <row r="55" spans="4:17">
      <c r="E55" s="258"/>
      <c r="F55" s="258"/>
      <c r="G55" s="258"/>
      <c r="I55" s="258"/>
      <c r="J55" s="247">
        <f>(J54-2.0194)/29.899</f>
        <v>0.18995082209802253</v>
      </c>
      <c r="K55" s="254">
        <f>K54/E54</f>
        <v>-0.21428379103628653</v>
      </c>
    </row>
    <row r="56" spans="4:17">
      <c r="E56" s="258"/>
      <c r="F56" s="258"/>
      <c r="G56" s="262">
        <v>24.773070202652814</v>
      </c>
      <c r="I56" s="261">
        <v>32.555349472483996</v>
      </c>
      <c r="J56" s="258">
        <f>I56-G56</f>
        <v>7.7822792698311822</v>
      </c>
      <c r="K56" s="254">
        <f>J57-E54</f>
        <v>-4.9010116564728479E-2</v>
      </c>
    </row>
    <row r="57" spans="4:17">
      <c r="E57" s="258"/>
      <c r="F57" s="258"/>
      <c r="G57" s="258"/>
      <c r="I57" s="258"/>
      <c r="J57" s="247">
        <f>(J56-2.0194)/29.899</f>
        <v>0.19274488343527149</v>
      </c>
      <c r="K57" s="254">
        <f>K56/E54</f>
        <v>-0.2027263823487766</v>
      </c>
    </row>
    <row r="59" spans="4:17" ht="18">
      <c r="D59" s="262"/>
      <c r="E59" s="255">
        <f>0.1437-0.0092</f>
        <v>0.13450000000000001</v>
      </c>
      <c r="F59" s="262"/>
      <c r="G59" s="45" t="s">
        <v>3</v>
      </c>
      <c r="H59" s="45"/>
      <c r="I59" s="45" t="s">
        <v>4</v>
      </c>
      <c r="J59" s="46" t="s">
        <v>5</v>
      </c>
      <c r="K59" s="262"/>
    </row>
    <row r="60" spans="4:17">
      <c r="D60" s="262" t="s">
        <v>13</v>
      </c>
      <c r="E60" s="248">
        <f>(E59/20)*(20.3+15.2)</f>
        <v>0.23873749999999999</v>
      </c>
      <c r="F60" s="262"/>
      <c r="G60" s="264">
        <v>24.773256467178861</v>
      </c>
      <c r="I60" s="263">
        <v>32.590547328623998</v>
      </c>
      <c r="J60" s="262">
        <f>I60-G60</f>
        <v>7.8172908614451373</v>
      </c>
      <c r="K60" s="254">
        <f>J61-E60</f>
        <v>-4.4821621159733205E-2</v>
      </c>
    </row>
    <row r="61" spans="4:17">
      <c r="D61" s="262"/>
      <c r="E61" s="262"/>
      <c r="F61" s="262"/>
      <c r="G61" s="262"/>
      <c r="I61" s="262"/>
      <c r="J61" s="247">
        <f>(J60-2.0194)/29.899</f>
        <v>0.19391587884026679</v>
      </c>
      <c r="K61" s="254">
        <f>K60/E60</f>
        <v>-0.18774436843702061</v>
      </c>
    </row>
    <row r="62" spans="4:17">
      <c r="D62" s="262"/>
      <c r="E62" s="262"/>
      <c r="F62" s="262"/>
      <c r="G62" s="266">
        <v>24.424010480881375</v>
      </c>
      <c r="I62" s="265">
        <v>32.530014427305098</v>
      </c>
      <c r="J62" s="262">
        <f>I62-G62</f>
        <v>8.1060039464237228</v>
      </c>
      <c r="K62" s="254">
        <f>J63-E60</f>
        <v>3.9202312156889463E-2</v>
      </c>
    </row>
    <row r="63" spans="4:17">
      <c r="D63" s="262"/>
      <c r="E63" s="262"/>
      <c r="F63" s="262"/>
      <c r="G63" s="262"/>
      <c r="I63" s="262"/>
      <c r="J63" s="247">
        <f>(J62-2.0194)/21.899</f>
        <v>0.27793981215688945</v>
      </c>
      <c r="K63" s="254">
        <f>K62/E60</f>
        <v>0.16420676331489381</v>
      </c>
    </row>
    <row r="66" spans="3:11">
      <c r="D66" s="19">
        <v>42275</v>
      </c>
    </row>
    <row r="67" spans="3:11" ht="18">
      <c r="D67" s="279"/>
      <c r="E67" s="255">
        <f>0.1417-0.0015</f>
        <v>0.14019999999999999</v>
      </c>
      <c r="F67" s="279"/>
      <c r="G67" s="45" t="s">
        <v>3</v>
      </c>
      <c r="H67" s="45"/>
      <c r="I67" s="45" t="s">
        <v>4</v>
      </c>
      <c r="J67" s="46" t="s">
        <v>5</v>
      </c>
      <c r="K67" s="279"/>
    </row>
    <row r="68" spans="3:11">
      <c r="D68" s="279" t="s">
        <v>13</v>
      </c>
      <c r="E68" s="248">
        <f>(E67/20)*(20.3+15.2+20.2)</f>
        <v>0.390457</v>
      </c>
      <c r="F68" s="279"/>
      <c r="G68" s="281">
        <v>25.424157853374354</v>
      </c>
      <c r="I68" s="280">
        <v>36.897725158794202</v>
      </c>
      <c r="J68" s="279">
        <f>I68-G68</f>
        <v>11.473567305419849</v>
      </c>
      <c r="K68" s="254">
        <f>J69-E68</f>
        <v>-7.4253538164492205E-2</v>
      </c>
    </row>
    <row r="69" spans="3:11">
      <c r="D69" s="279"/>
      <c r="E69" s="279"/>
      <c r="F69" s="279"/>
      <c r="G69" s="279"/>
      <c r="I69" s="279"/>
      <c r="J69" s="247">
        <f>(J68-2.0194)/29.899</f>
        <v>0.31620346183550779</v>
      </c>
      <c r="K69" s="254">
        <f>K68/E68</f>
        <v>-0.1901708463787106</v>
      </c>
    </row>
    <row r="70" spans="3:11">
      <c r="D70" s="279"/>
      <c r="E70" s="279"/>
      <c r="F70" s="279"/>
      <c r="G70" s="282">
        <v>24.768506721765206</v>
      </c>
      <c r="I70" s="283">
        <v>36.001747757300599</v>
      </c>
      <c r="J70" s="279">
        <f>I70-G70</f>
        <v>11.233241035535393</v>
      </c>
      <c r="K70" s="254">
        <f>J71-E68</f>
        <v>3.0285546944398889E-2</v>
      </c>
    </row>
    <row r="71" spans="3:11">
      <c r="D71" s="279"/>
      <c r="E71" s="279"/>
      <c r="F71" s="279"/>
      <c r="G71" s="279"/>
      <c r="I71" s="279"/>
      <c r="J71" s="247">
        <f>(J70-2.0194)/21.899</f>
        <v>0.42074254694439889</v>
      </c>
      <c r="K71" s="254">
        <f>K70/E68</f>
        <v>7.7564359057204477E-2</v>
      </c>
    </row>
    <row r="72" spans="3:11" s="288" customFormat="1">
      <c r="C72" s="299"/>
      <c r="H72" s="299"/>
      <c r="J72" s="247"/>
      <c r="K72" s="254"/>
    </row>
    <row r="73" spans="3:11" ht="18">
      <c r="D73" s="283"/>
      <c r="E73" s="255">
        <f>0.1435-0.0107</f>
        <v>0.1328</v>
      </c>
      <c r="F73" s="283"/>
      <c r="G73" s="45" t="s">
        <v>3</v>
      </c>
      <c r="H73" s="45"/>
      <c r="I73" s="45" t="s">
        <v>4</v>
      </c>
      <c r="J73" s="46" t="s">
        <v>5</v>
      </c>
      <c r="K73" s="283"/>
    </row>
    <row r="74" spans="3:11">
      <c r="D74" s="283"/>
      <c r="E74" s="248">
        <f>(E73/20)*(20.3+15.2+20.2)</f>
        <v>0.36984800000000001</v>
      </c>
      <c r="F74" s="283"/>
      <c r="G74" s="285">
        <v>24.975912271494401</v>
      </c>
      <c r="I74" s="284">
        <v>35.962355879685603</v>
      </c>
      <c r="J74" s="283">
        <f>I74-G74</f>
        <v>10.986443608191202</v>
      </c>
      <c r="K74" s="254">
        <f>J75-E74</f>
        <v>-6.993684550683299E-2</v>
      </c>
    </row>
    <row r="75" spans="3:11">
      <c r="D75" s="283"/>
      <c r="E75" s="283"/>
      <c r="F75" s="283"/>
      <c r="G75" s="283"/>
      <c r="I75" s="283"/>
      <c r="J75" s="247">
        <f>(J74-2.0194)/29.899</f>
        <v>0.29991115449316702</v>
      </c>
      <c r="K75" s="254">
        <f>K74/E74</f>
        <v>-0.18909618412654114</v>
      </c>
    </row>
    <row r="76" spans="3:11">
      <c r="D76" s="283"/>
      <c r="E76" s="283"/>
      <c r="F76" s="283"/>
      <c r="G76" s="287">
        <v>25.551842185964723</v>
      </c>
      <c r="I76" s="286">
        <v>36.796980100690099</v>
      </c>
      <c r="J76" s="283">
        <f>I76-G76</f>
        <v>11.245137914725376</v>
      </c>
      <c r="K76" s="254">
        <f>J77-E74</f>
        <v>-6.1284572637032186E-2</v>
      </c>
    </row>
    <row r="77" spans="3:11">
      <c r="D77" s="283"/>
      <c r="E77" s="283"/>
      <c r="F77" s="283"/>
      <c r="G77" s="283"/>
      <c r="I77" s="283"/>
      <c r="J77" s="247">
        <f>(J76-2.0194)/29.899</f>
        <v>0.30856342736296782</v>
      </c>
      <c r="K77" s="254">
        <f>K76/E74</f>
        <v>-0.16570205229454313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Stock1</vt:lpstr>
      <vt:lpstr>Stock2</vt:lpstr>
      <vt:lpstr>Stock3</vt:lpstr>
      <vt:lpstr>Stock 4</vt:lpstr>
      <vt:lpstr>Stock 5</vt:lpstr>
      <vt:lpstr>Stock6</vt:lpstr>
      <vt:lpstr>Stock7</vt:lpstr>
      <vt:lpstr>Plot</vt:lpstr>
      <vt:lpstr>lowconcentration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dcterms:created xsi:type="dcterms:W3CDTF">2015-05-08T14:50:50Z</dcterms:created>
  <dcterms:modified xsi:type="dcterms:W3CDTF">2017-07-11T20:00:44Z</dcterms:modified>
</cp:coreProperties>
</file>