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pdatedFiles\"/>
    </mc:Choice>
  </mc:AlternateContent>
  <bookViews>
    <workbookView xWindow="0" yWindow="0" windowWidth="20490" windowHeight="7755" tabRatio="601" activeTab="4"/>
  </bookViews>
  <sheets>
    <sheet name="ReadMe" sheetId="22" r:id="rId1"/>
    <sheet name="Different Mass of matrices" sheetId="15" r:id="rId2"/>
    <sheet name="Soilonly" sheetId="1" r:id="rId3"/>
    <sheet name="Plot" sheetId="10" r:id="rId4"/>
    <sheet name="MWCNT" sheetId="12" r:id="rId5"/>
    <sheet name="SWCNT" sheetId="13" r:id="rId6"/>
    <sheet name="MWCNTCTAB" sheetId="9" r:id="rId7"/>
    <sheet name="COOH" sheetId="11" r:id="rId8"/>
    <sheet name="MW Energy and Time" sheetId="20" r:id="rId9"/>
    <sheet name="HA" sheetId="18" r:id="rId10"/>
    <sheet name="MDL" sheetId="19" r:id="rId11"/>
    <sheet name="40mgMWCNTandSWCNT" sheetId="4" r:id="rId12"/>
    <sheet name="20mgMWCNTandSWCNT" sheetId="3" r:id="rId13"/>
    <sheet name="Other carbon" sheetId="16" r:id="rId14"/>
    <sheet name="IC" sheetId="17" r:id="rId15"/>
  </sheets>
  <externalReferences>
    <externalReference r:id="rId16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11" l="1"/>
  <c r="C78" i="11"/>
  <c r="C75" i="11"/>
  <c r="C69" i="11"/>
  <c r="C65" i="11"/>
  <c r="Q50" i="11"/>
  <c r="J50" i="11"/>
  <c r="P20" i="11"/>
  <c r="P19" i="11"/>
  <c r="K19" i="11"/>
  <c r="K20" i="11" s="1"/>
  <c r="P18" i="11"/>
  <c r="C22" i="11"/>
  <c r="C5" i="11"/>
  <c r="C95" i="13"/>
  <c r="C79" i="12"/>
  <c r="C74" i="12"/>
  <c r="C68" i="12"/>
  <c r="C63" i="12"/>
  <c r="C59" i="12"/>
  <c r="P55" i="1" l="1"/>
  <c r="P56" i="1"/>
  <c r="P57" i="1"/>
  <c r="P59" i="1"/>
  <c r="P60" i="1"/>
  <c r="P61" i="1"/>
  <c r="P63" i="1"/>
  <c r="P64" i="1"/>
  <c r="P65" i="1"/>
  <c r="P67" i="1"/>
  <c r="P68" i="1"/>
  <c r="P69" i="1"/>
  <c r="P71" i="1"/>
  <c r="P72" i="1"/>
  <c r="P73" i="1"/>
  <c r="C5" i="13"/>
  <c r="H5" i="13"/>
  <c r="H6" i="13"/>
  <c r="C8" i="13"/>
  <c r="H8" i="13"/>
  <c r="H9" i="13"/>
  <c r="C11" i="13"/>
  <c r="H11" i="13"/>
  <c r="H12" i="13"/>
  <c r="B56" i="1" l="1"/>
  <c r="G56" i="1"/>
  <c r="G57" i="1"/>
  <c r="G58" i="1"/>
  <c r="C72" i="9"/>
  <c r="C69" i="9"/>
  <c r="C66" i="9"/>
  <c r="C63" i="9"/>
  <c r="C60" i="9"/>
  <c r="C57" i="9"/>
  <c r="K44" i="1"/>
  <c r="P44" i="1"/>
  <c r="P45" i="1"/>
  <c r="P46" i="1"/>
  <c r="K47" i="1"/>
  <c r="P47" i="1"/>
  <c r="P48" i="1"/>
  <c r="P49" i="1"/>
  <c r="K50" i="1"/>
  <c r="P50" i="1"/>
  <c r="P51" i="1"/>
  <c r="P52" i="1"/>
  <c r="B44" i="1"/>
  <c r="G44" i="1"/>
  <c r="G45" i="1"/>
  <c r="B46" i="1"/>
  <c r="G46" i="1"/>
  <c r="G47" i="1"/>
  <c r="B48" i="1"/>
  <c r="G48" i="1"/>
  <c r="G49" i="1"/>
  <c r="G50" i="1"/>
  <c r="K35" i="1"/>
  <c r="P35" i="1"/>
  <c r="P36" i="1"/>
  <c r="K37" i="1"/>
  <c r="P37" i="1"/>
  <c r="P38" i="1"/>
  <c r="K39" i="1"/>
  <c r="P39" i="1"/>
  <c r="P40" i="1"/>
  <c r="B35" i="1"/>
  <c r="G35" i="1"/>
  <c r="G36" i="1"/>
  <c r="B39" i="1"/>
  <c r="G39" i="1"/>
  <c r="G40" i="1"/>
  <c r="C15" i="9"/>
  <c r="O8" i="4"/>
  <c r="O7" i="4"/>
  <c r="O10" i="4"/>
  <c r="O9" i="4"/>
  <c r="G35" i="4" l="1"/>
  <c r="G34" i="4"/>
  <c r="B34" i="4"/>
  <c r="G31" i="4"/>
  <c r="G30" i="4"/>
  <c r="G29" i="4"/>
  <c r="B29" i="4"/>
  <c r="G60" i="3"/>
  <c r="G61" i="3"/>
  <c r="G62" i="3"/>
  <c r="G63" i="3"/>
  <c r="G64" i="3"/>
  <c r="G59" i="3"/>
  <c r="B61" i="3"/>
  <c r="K25" i="3"/>
  <c r="K8" i="3"/>
  <c r="Y70" i="18" l="1"/>
  <c r="B48" i="18"/>
  <c r="S37" i="20"/>
  <c r="S36" i="20"/>
  <c r="S35" i="20"/>
  <c r="S34" i="20"/>
  <c r="S33" i="20"/>
  <c r="S32" i="20"/>
  <c r="S31" i="20"/>
  <c r="S30" i="20"/>
  <c r="S29" i="20"/>
  <c r="S28" i="20"/>
  <c r="S27" i="20"/>
  <c r="S26" i="20"/>
  <c r="S25" i="20"/>
  <c r="Z37" i="20"/>
  <c r="Z36" i="20"/>
  <c r="Z35" i="20"/>
  <c r="Z34" i="20"/>
  <c r="Z33" i="20"/>
  <c r="Z32" i="20"/>
  <c r="U32" i="20"/>
  <c r="Z31" i="20"/>
  <c r="U31" i="20"/>
  <c r="Z30" i="20"/>
  <c r="U30" i="20"/>
  <c r="Z29" i="20"/>
  <c r="U29" i="20"/>
  <c r="Z28" i="20"/>
  <c r="U28" i="20"/>
  <c r="Z27" i="20"/>
  <c r="U27" i="20"/>
  <c r="Z26" i="20"/>
  <c r="U26" i="20"/>
  <c r="Z25" i="20"/>
  <c r="U25" i="20"/>
  <c r="Y69" i="18"/>
  <c r="L37" i="20"/>
  <c r="G37" i="20"/>
  <c r="B37" i="20"/>
  <c r="L36" i="20"/>
  <c r="G36" i="20"/>
  <c r="B36" i="20"/>
  <c r="L35" i="20"/>
  <c r="G35" i="20"/>
  <c r="B35" i="20"/>
  <c r="L34" i="20"/>
  <c r="G34" i="20"/>
  <c r="B34" i="20"/>
  <c r="L33" i="20"/>
  <c r="G33" i="20"/>
  <c r="B33" i="20"/>
  <c r="L32" i="20"/>
  <c r="G32" i="20"/>
  <c r="B32" i="20"/>
  <c r="G31" i="20"/>
  <c r="B31" i="20"/>
  <c r="L30" i="20"/>
  <c r="G30" i="20"/>
  <c r="B30" i="20"/>
  <c r="G29" i="20"/>
  <c r="B29" i="20"/>
  <c r="G28" i="20"/>
  <c r="B28" i="20"/>
  <c r="L27" i="20"/>
  <c r="G27" i="20"/>
  <c r="B27" i="20"/>
  <c r="L26" i="20"/>
  <c r="G26" i="20"/>
  <c r="B26" i="20"/>
  <c r="L25" i="20"/>
  <c r="G25" i="20"/>
  <c r="B25" i="20"/>
  <c r="AD35" i="18"/>
  <c r="W37" i="18"/>
  <c r="W35" i="18"/>
  <c r="W23" i="18"/>
  <c r="O37" i="18"/>
  <c r="AD38" i="18"/>
  <c r="AD37" i="18"/>
  <c r="AD36" i="18"/>
  <c r="W38" i="18"/>
  <c r="W36" i="18"/>
  <c r="W24" i="18"/>
  <c r="W22" i="18"/>
  <c r="W21" i="18"/>
  <c r="O38" i="18"/>
  <c r="O36" i="18"/>
  <c r="O35" i="18"/>
  <c r="B12" i="18"/>
  <c r="B10" i="18"/>
  <c r="AC72" i="16"/>
  <c r="AC74" i="16"/>
  <c r="AC54" i="16"/>
  <c r="AC75" i="16"/>
  <c r="AC73" i="16"/>
  <c r="R70" i="16"/>
  <c r="R68" i="16"/>
  <c r="R63" i="16"/>
  <c r="R61" i="16"/>
  <c r="R77" i="16"/>
  <c r="R76" i="16"/>
  <c r="R75" i="16"/>
  <c r="R71" i="16"/>
  <c r="R69" i="16"/>
  <c r="R64" i="16"/>
  <c r="R62" i="16"/>
  <c r="C36" i="17" l="1"/>
  <c r="C22" i="17"/>
  <c r="Z93" i="15" l="1"/>
  <c r="Z92" i="15"/>
  <c r="U92" i="15"/>
  <c r="Z91" i="15"/>
  <c r="Z90" i="15"/>
  <c r="U90" i="15"/>
  <c r="Z87" i="15"/>
  <c r="Z86" i="15"/>
  <c r="U86" i="15"/>
  <c r="Z85" i="15"/>
  <c r="Z84" i="15"/>
  <c r="U84" i="15"/>
  <c r="Z81" i="15"/>
  <c r="Z80" i="15"/>
  <c r="U80" i="15"/>
  <c r="Z79" i="15"/>
  <c r="Z78" i="15"/>
  <c r="U78" i="15"/>
  <c r="Z74" i="15"/>
  <c r="Z73" i="15"/>
  <c r="U73" i="15"/>
  <c r="Z72" i="15"/>
  <c r="Z71" i="15"/>
  <c r="U71" i="15"/>
  <c r="Z67" i="15"/>
  <c r="Z66" i="15"/>
  <c r="U66" i="15"/>
  <c r="Z65" i="15"/>
  <c r="Z64" i="15"/>
  <c r="U64" i="15"/>
  <c r="Q91" i="15"/>
  <c r="Q90" i="15"/>
  <c r="L90" i="15"/>
  <c r="Q89" i="15"/>
  <c r="Q88" i="15"/>
  <c r="L88" i="15"/>
  <c r="Q85" i="15"/>
  <c r="Q84" i="15"/>
  <c r="L84" i="15"/>
  <c r="Q83" i="15"/>
  <c r="Q82" i="15"/>
  <c r="L82" i="15"/>
  <c r="K82" i="15"/>
  <c r="Q79" i="15"/>
  <c r="Q78" i="15"/>
  <c r="L78" i="15"/>
  <c r="Q77" i="15"/>
  <c r="Q76" i="15"/>
  <c r="L76" i="15"/>
  <c r="K76" i="15"/>
  <c r="Q73" i="15"/>
  <c r="Q72" i="15"/>
  <c r="L72" i="15"/>
  <c r="Q71" i="15"/>
  <c r="K71" i="15"/>
  <c r="Q70" i="15"/>
  <c r="L70" i="15"/>
  <c r="Q67" i="15"/>
  <c r="Q66" i="15"/>
  <c r="L66" i="15"/>
  <c r="Q65" i="15"/>
  <c r="K65" i="15"/>
  <c r="Q64" i="15"/>
  <c r="L64" i="15"/>
  <c r="H85" i="15"/>
  <c r="H84" i="15"/>
  <c r="C84" i="15"/>
  <c r="H83" i="15"/>
  <c r="H82" i="15"/>
  <c r="C82" i="15"/>
  <c r="B82" i="15"/>
  <c r="H79" i="15"/>
  <c r="H78" i="15"/>
  <c r="C78" i="15"/>
  <c r="H77" i="15"/>
  <c r="B77" i="15"/>
  <c r="H76" i="15"/>
  <c r="C76" i="15"/>
  <c r="H73" i="15"/>
  <c r="H72" i="15"/>
  <c r="C72" i="15"/>
  <c r="H71" i="15"/>
  <c r="H70" i="15"/>
  <c r="C70" i="15"/>
  <c r="B70" i="15"/>
  <c r="H67" i="15"/>
  <c r="H66" i="15"/>
  <c r="C66" i="15"/>
  <c r="H65" i="15"/>
  <c r="B65" i="15"/>
  <c r="H64" i="15"/>
  <c r="C64" i="15"/>
  <c r="J37" i="15"/>
  <c r="J31" i="15"/>
  <c r="J26" i="15"/>
  <c r="J20" i="15"/>
  <c r="AU99" i="16" l="1"/>
  <c r="AU111" i="16"/>
  <c r="AU110" i="16"/>
  <c r="AU109" i="16"/>
  <c r="AU108" i="16"/>
  <c r="AU107" i="16"/>
  <c r="AU106" i="16"/>
  <c r="AU103" i="16"/>
  <c r="AU102" i="16"/>
  <c r="AU101" i="16"/>
  <c r="AU100" i="16"/>
  <c r="AU98" i="16"/>
  <c r="AU95" i="16"/>
  <c r="AU94" i="16"/>
  <c r="AU93" i="16"/>
  <c r="AU92" i="16"/>
  <c r="AU91" i="16"/>
  <c r="AU90" i="16"/>
  <c r="AC69" i="16"/>
  <c r="AC68" i="16"/>
  <c r="AC67" i="16"/>
  <c r="AC66" i="16"/>
  <c r="AW100" i="16" l="1"/>
  <c r="AW99" i="16"/>
  <c r="AW91" i="16"/>
  <c r="AW107" i="16"/>
  <c r="AW108" i="16"/>
  <c r="AW92" i="16"/>
  <c r="AC53" i="16" l="1"/>
  <c r="AC52" i="16"/>
  <c r="AC51" i="16"/>
  <c r="AC48" i="16"/>
  <c r="AC47" i="16"/>
  <c r="AC62" i="16"/>
  <c r="AC61" i="16"/>
  <c r="AC60" i="16"/>
  <c r="AC59" i="16"/>
  <c r="R56" i="16" l="1"/>
  <c r="R55" i="16"/>
  <c r="R54" i="16"/>
  <c r="R53" i="16"/>
  <c r="G54" i="16" l="1"/>
  <c r="G53" i="16"/>
  <c r="AO55" i="16"/>
  <c r="AJ47" i="17"/>
  <c r="AJ46" i="17"/>
  <c r="AJ45" i="17"/>
  <c r="AJ44" i="17"/>
  <c r="Z44" i="17"/>
  <c r="Z45" i="17"/>
  <c r="Z46" i="17"/>
  <c r="Z47" i="17"/>
  <c r="AJ39" i="17"/>
  <c r="AJ38" i="17"/>
  <c r="H81" i="11" l="1"/>
  <c r="H80" i="11"/>
  <c r="H78" i="11"/>
  <c r="H77" i="11"/>
  <c r="H75" i="11"/>
  <c r="H74" i="11"/>
  <c r="V59" i="11"/>
  <c r="V58" i="11"/>
  <c r="O59" i="11"/>
  <c r="O58" i="11"/>
  <c r="V51" i="11"/>
  <c r="V50" i="11"/>
  <c r="V49" i="11"/>
  <c r="O51" i="11"/>
  <c r="O50" i="11"/>
  <c r="O49" i="11"/>
  <c r="P28" i="11"/>
  <c r="P27" i="11"/>
  <c r="K27" i="11"/>
  <c r="P26" i="11"/>
  <c r="H31" i="11"/>
  <c r="I31" i="11" s="1"/>
  <c r="H30" i="11"/>
  <c r="I30" i="11" s="1"/>
  <c r="C30" i="11"/>
  <c r="H29" i="11"/>
  <c r="I29" i="11" s="1"/>
  <c r="K12" i="11"/>
  <c r="P14" i="11"/>
  <c r="P13" i="11"/>
  <c r="K13" i="11"/>
  <c r="P12" i="11"/>
  <c r="C49" i="13"/>
  <c r="H51" i="13"/>
  <c r="H50" i="13"/>
  <c r="C50" i="13"/>
  <c r="H49" i="13"/>
  <c r="C40" i="13"/>
  <c r="C39" i="13"/>
  <c r="H41" i="13"/>
  <c r="H40" i="13"/>
  <c r="H39" i="13"/>
  <c r="C34" i="13"/>
  <c r="C29" i="13"/>
  <c r="C26" i="13"/>
  <c r="O69" i="13"/>
  <c r="O68" i="13"/>
  <c r="J68" i="13"/>
  <c r="O67" i="13"/>
  <c r="P23" i="13"/>
  <c r="P22" i="13"/>
  <c r="K22" i="13"/>
  <c r="P21" i="13"/>
  <c r="P18" i="13"/>
  <c r="P17" i="13"/>
  <c r="K17" i="13"/>
  <c r="P16" i="13"/>
  <c r="H80" i="12"/>
  <c r="H79" i="12"/>
  <c r="H78" i="12"/>
  <c r="H77" i="12"/>
  <c r="C39" i="12"/>
  <c r="C17" i="12"/>
  <c r="C14" i="12"/>
  <c r="C71" i="9"/>
  <c r="C68" i="9"/>
  <c r="C65" i="9"/>
  <c r="C62" i="9"/>
  <c r="C59" i="9"/>
  <c r="C56" i="9"/>
  <c r="C50" i="9"/>
  <c r="C51" i="9" s="1"/>
  <c r="C47" i="9"/>
  <c r="C48" i="9" s="1"/>
  <c r="C44" i="9"/>
  <c r="C45" i="9" s="1"/>
  <c r="C41" i="9"/>
  <c r="C42" i="9" s="1"/>
  <c r="C38" i="9"/>
  <c r="C39" i="9" s="1"/>
  <c r="C32" i="9"/>
  <c r="C33" i="9" s="1"/>
  <c r="C30" i="9"/>
  <c r="C31" i="9" s="1"/>
  <c r="C26" i="9"/>
  <c r="C27" i="9" s="1"/>
  <c r="C24" i="9"/>
  <c r="C25" i="9" s="1"/>
  <c r="C21" i="9"/>
  <c r="C22" i="9" s="1"/>
  <c r="H32" i="12"/>
  <c r="H31" i="12"/>
  <c r="H30" i="12"/>
  <c r="P30" i="19" l="1"/>
  <c r="N7" i="19"/>
  <c r="N8" i="19"/>
  <c r="N9" i="19"/>
  <c r="N10" i="19"/>
  <c r="N11" i="19"/>
  <c r="N12" i="19"/>
  <c r="N6" i="19"/>
  <c r="N39" i="19"/>
  <c r="N38" i="19"/>
  <c r="Q12" i="19"/>
  <c r="R12" i="19" s="1"/>
  <c r="B7" i="20" l="1"/>
  <c r="B9" i="20"/>
  <c r="B10" i="20"/>
  <c r="B11" i="20"/>
  <c r="B12" i="20"/>
  <c r="B13" i="20"/>
  <c r="B14" i="20"/>
  <c r="B20" i="20"/>
  <c r="B15" i="20"/>
  <c r="B16" i="20"/>
  <c r="B17" i="20"/>
  <c r="B19" i="20"/>
  <c r="B8" i="20"/>
  <c r="L25" i="19" l="1"/>
  <c r="L26" i="19"/>
  <c r="L27" i="19"/>
  <c r="L28" i="19"/>
  <c r="L29" i="19"/>
  <c r="L30" i="19"/>
  <c r="L24" i="19"/>
  <c r="L16" i="19"/>
  <c r="L17" i="19"/>
  <c r="L18" i="19"/>
  <c r="L19" i="19"/>
  <c r="L20" i="19"/>
  <c r="L21" i="19"/>
  <c r="L15" i="19"/>
  <c r="L7" i="19"/>
  <c r="L8" i="19"/>
  <c r="L9" i="19"/>
  <c r="L10" i="19"/>
  <c r="L11" i="19"/>
  <c r="L12" i="19"/>
  <c r="L6" i="19"/>
  <c r="M22" i="19" l="1"/>
  <c r="P13" i="19" s="1"/>
  <c r="P14" i="19" s="1"/>
  <c r="M31" i="19"/>
  <c r="P22" i="19" s="1"/>
  <c r="P23" i="19" s="1"/>
  <c r="M13" i="19"/>
  <c r="N4" i="19" s="1"/>
  <c r="N5" i="19" s="1"/>
  <c r="I19" i="19"/>
  <c r="I18" i="19"/>
  <c r="B48" i="19"/>
  <c r="G47" i="19"/>
  <c r="B44" i="19"/>
  <c r="G49" i="19"/>
  <c r="G48" i="19"/>
  <c r="G45" i="19"/>
  <c r="G44" i="19"/>
  <c r="B40" i="19"/>
  <c r="B37" i="19"/>
  <c r="B33" i="19"/>
  <c r="B29" i="19"/>
  <c r="B26" i="19"/>
  <c r="B23" i="19"/>
  <c r="B20" i="19"/>
  <c r="B18" i="19"/>
  <c r="B16" i="19"/>
  <c r="G42" i="19"/>
  <c r="G41" i="19"/>
  <c r="G40" i="19"/>
  <c r="G39" i="19"/>
  <c r="G38" i="19"/>
  <c r="G37" i="19"/>
  <c r="G35" i="19"/>
  <c r="G34" i="19"/>
  <c r="G33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4" i="19"/>
  <c r="G13" i="19"/>
  <c r="B13" i="19"/>
  <c r="G11" i="19"/>
  <c r="G10" i="19"/>
  <c r="B10" i="19"/>
  <c r="G9" i="19"/>
  <c r="G8" i="19"/>
  <c r="B8" i="19"/>
  <c r="G6" i="19"/>
  <c r="G5" i="19"/>
  <c r="B5" i="19"/>
  <c r="V62" i="18" l="1"/>
  <c r="V61" i="18"/>
  <c r="Q61" i="18"/>
  <c r="V60" i="18"/>
  <c r="V59" i="18"/>
  <c r="Q59" i="18"/>
  <c r="G63" i="18"/>
  <c r="G62" i="18"/>
  <c r="B62" i="18"/>
  <c r="G61" i="18"/>
  <c r="G60" i="18"/>
  <c r="B60" i="18"/>
  <c r="V56" i="18"/>
  <c r="V55" i="18"/>
  <c r="Q55" i="18"/>
  <c r="V54" i="18"/>
  <c r="V53" i="18"/>
  <c r="Q53" i="18"/>
  <c r="G56" i="18"/>
  <c r="G55" i="18"/>
  <c r="B55" i="18"/>
  <c r="G54" i="18"/>
  <c r="G53" i="18"/>
  <c r="B53" i="18"/>
  <c r="G47" i="18"/>
  <c r="M70" i="18"/>
  <c r="G46" i="18"/>
  <c r="M69" i="18"/>
  <c r="V49" i="18"/>
  <c r="V48" i="18"/>
  <c r="S70" i="18"/>
  <c r="V47" i="18"/>
  <c r="S69" i="18"/>
  <c r="V46" i="18"/>
  <c r="Q46" i="18"/>
  <c r="G70" i="18"/>
  <c r="T69" i="18"/>
  <c r="G69" i="18"/>
  <c r="V9" i="17" l="1"/>
  <c r="V10" i="17"/>
  <c r="V11" i="17"/>
  <c r="V8" i="17"/>
  <c r="R49" i="16" l="1"/>
  <c r="R48" i="16"/>
  <c r="AK71" i="16"/>
  <c r="AK60" i="16"/>
  <c r="AO56" i="16"/>
  <c r="C45" i="17"/>
  <c r="H39" i="17"/>
  <c r="H38" i="17"/>
  <c r="H37" i="17"/>
  <c r="C38" i="17"/>
  <c r="T45" i="15"/>
  <c r="T47" i="15"/>
  <c r="Y48" i="15"/>
  <c r="Y47" i="15"/>
  <c r="Y46" i="15"/>
  <c r="Y45" i="15"/>
  <c r="T41" i="15"/>
  <c r="T39" i="15"/>
  <c r="Y42" i="15"/>
  <c r="Y41" i="15"/>
  <c r="Y40" i="15"/>
  <c r="Y39" i="15"/>
  <c r="T35" i="15"/>
  <c r="T33" i="15"/>
  <c r="K21" i="15"/>
  <c r="C39" i="15"/>
  <c r="AU80" i="16" l="1"/>
  <c r="AU79" i="16"/>
  <c r="AU78" i="16"/>
  <c r="AR77" i="16"/>
  <c r="AR78" i="16"/>
  <c r="AR79" i="16"/>
  <c r="AR80" i="16"/>
  <c r="AO80" i="16"/>
  <c r="AO79" i="16"/>
  <c r="AO67" i="16"/>
  <c r="AO78" i="16"/>
  <c r="AU67" i="16"/>
  <c r="AU69" i="16"/>
  <c r="AR69" i="16"/>
  <c r="AO69" i="16"/>
  <c r="AR68" i="16"/>
  <c r="AO68" i="16"/>
  <c r="AU58" i="16"/>
  <c r="AU57" i="16"/>
  <c r="AR58" i="16"/>
  <c r="AR57" i="16"/>
  <c r="AR56" i="16"/>
  <c r="AO58" i="16"/>
  <c r="AO57" i="16"/>
  <c r="AR81" i="16" l="1"/>
  <c r="AU59" i="16"/>
  <c r="AR59" i="16"/>
  <c r="AO59" i="16"/>
  <c r="AO81" i="16"/>
  <c r="AO70" i="16"/>
  <c r="AU70" i="16"/>
  <c r="AU81" i="16"/>
  <c r="AR70" i="16"/>
  <c r="AD24" i="18" l="1"/>
  <c r="AD23" i="18"/>
  <c r="AD22" i="18"/>
  <c r="AD21" i="18"/>
  <c r="AD31" i="18"/>
  <c r="AD30" i="18"/>
  <c r="AD29" i="18"/>
  <c r="AD28" i="18"/>
  <c r="W31" i="18"/>
  <c r="W30" i="18"/>
  <c r="W29" i="18"/>
  <c r="W28" i="18"/>
  <c r="O31" i="18"/>
  <c r="O30" i="18"/>
  <c r="O29" i="18"/>
  <c r="O28" i="18"/>
  <c r="B46" i="18"/>
  <c r="G49" i="18"/>
  <c r="G48" i="18"/>
  <c r="O24" i="18"/>
  <c r="O23" i="18"/>
  <c r="O22" i="18"/>
  <c r="O21" i="18"/>
  <c r="J60" i="18"/>
  <c r="J58" i="18"/>
  <c r="O61" i="18"/>
  <c r="O60" i="18"/>
  <c r="O59" i="18"/>
  <c r="O58" i="18"/>
  <c r="J54" i="18"/>
  <c r="J52" i="18"/>
  <c r="O55" i="18"/>
  <c r="O54" i="18"/>
  <c r="O53" i="18"/>
  <c r="O52" i="18"/>
  <c r="J48" i="18"/>
  <c r="J46" i="18"/>
  <c r="O49" i="18"/>
  <c r="O48" i="18"/>
  <c r="O47" i="18"/>
  <c r="O46" i="18"/>
  <c r="G38" i="18"/>
  <c r="G37" i="18"/>
  <c r="G36" i="18"/>
  <c r="G35" i="18"/>
  <c r="G31" i="18"/>
  <c r="G30" i="18"/>
  <c r="G29" i="18"/>
  <c r="G28" i="18"/>
  <c r="G24" i="18"/>
  <c r="G23" i="18"/>
  <c r="G22" i="18"/>
  <c r="G21" i="18"/>
  <c r="I12" i="18"/>
  <c r="I10" i="18"/>
  <c r="N13" i="18"/>
  <c r="N12" i="18"/>
  <c r="N11" i="18"/>
  <c r="N10" i="18"/>
  <c r="R47" i="16" l="1"/>
  <c r="R46" i="16"/>
  <c r="G68" i="16" l="1"/>
  <c r="G67" i="16"/>
  <c r="G74" i="16"/>
  <c r="G73" i="16"/>
  <c r="G72" i="16"/>
  <c r="G71" i="16"/>
  <c r="G65" i="16"/>
  <c r="G66" i="16"/>
  <c r="B14" i="18" l="1"/>
  <c r="G15" i="18"/>
  <c r="G14" i="18"/>
  <c r="L75" i="17" l="1"/>
  <c r="K75" i="17" l="1"/>
  <c r="I75" i="17"/>
  <c r="J75" i="17"/>
  <c r="H13" i="17"/>
  <c r="H12" i="17"/>
  <c r="H11" i="17"/>
  <c r="H10" i="17"/>
  <c r="H9" i="17"/>
  <c r="H8" i="17"/>
  <c r="G13" i="18"/>
  <c r="G12" i="18"/>
  <c r="G11" i="18"/>
  <c r="G10" i="18"/>
  <c r="AC19" i="17"/>
  <c r="AC20" i="17"/>
  <c r="S19" i="17"/>
  <c r="S20" i="17" s="1"/>
  <c r="H69" i="11" l="1"/>
  <c r="H68" i="11"/>
  <c r="C43" i="17"/>
  <c r="AE30" i="17"/>
  <c r="AJ33" i="17"/>
  <c r="AJ32" i="17"/>
  <c r="AJ31" i="17"/>
  <c r="AJ30" i="17"/>
  <c r="L38" i="17"/>
  <c r="Q39" i="17"/>
  <c r="Q38" i="17"/>
  <c r="Q37" i="17"/>
  <c r="Q36" i="17"/>
  <c r="L36" i="17"/>
  <c r="Q46" i="17"/>
  <c r="Q45" i="17"/>
  <c r="Q44" i="17"/>
  <c r="Q43" i="17"/>
  <c r="Q32" i="17"/>
  <c r="Q31" i="17"/>
  <c r="L31" i="17"/>
  <c r="Q30" i="17"/>
  <c r="Q29" i="17"/>
  <c r="L29" i="17"/>
  <c r="C31" i="17"/>
  <c r="S45" i="17" l="1"/>
  <c r="S44" i="17"/>
  <c r="AC46" i="16"/>
  <c r="AC45" i="16"/>
  <c r="AC42" i="16"/>
  <c r="AC41" i="16"/>
  <c r="AC40" i="16"/>
  <c r="AC39" i="16"/>
  <c r="AC34" i="16"/>
  <c r="AC33" i="16"/>
  <c r="AC32" i="16"/>
  <c r="AC31" i="16"/>
  <c r="Z33" i="17" l="1"/>
  <c r="Z32" i="17"/>
  <c r="U24" i="17"/>
  <c r="Z25" i="17"/>
  <c r="Z24" i="17"/>
  <c r="U38" i="17"/>
  <c r="Z41" i="17"/>
  <c r="Z40" i="17"/>
  <c r="Z39" i="17"/>
  <c r="Z38" i="17"/>
  <c r="L24" i="17"/>
  <c r="Q25" i="17"/>
  <c r="Q24" i="17"/>
  <c r="U30" i="17"/>
  <c r="Z31" i="17"/>
  <c r="Z30" i="17"/>
  <c r="AJ24" i="17"/>
  <c r="AE22" i="17"/>
  <c r="AJ25" i="17"/>
  <c r="AJ37" i="17"/>
  <c r="AJ36" i="17"/>
  <c r="AJ23" i="17"/>
  <c r="AJ22" i="17"/>
  <c r="B19" i="17"/>
  <c r="B20" i="17" s="1"/>
  <c r="J19" i="17"/>
  <c r="J20" i="17" s="1"/>
  <c r="H46" i="17"/>
  <c r="H45" i="17"/>
  <c r="H44" i="17"/>
  <c r="H43" i="17"/>
  <c r="H36" i="17"/>
  <c r="H32" i="17"/>
  <c r="H31" i="17"/>
  <c r="H30" i="17"/>
  <c r="H29" i="17"/>
  <c r="U22" i="17"/>
  <c r="L22" i="17"/>
  <c r="C24" i="17"/>
  <c r="Z23" i="17"/>
  <c r="Z22" i="17"/>
  <c r="Q23" i="17"/>
  <c r="Q22" i="17"/>
  <c r="H25" i="17"/>
  <c r="H24" i="17"/>
  <c r="H23" i="17"/>
  <c r="H22" i="17"/>
  <c r="AC28" i="16"/>
  <c r="AC27" i="16"/>
  <c r="AC26" i="16"/>
  <c r="AC25" i="16"/>
  <c r="AC21" i="16"/>
  <c r="AC20" i="16"/>
  <c r="AC19" i="16"/>
  <c r="AC18" i="16"/>
  <c r="R42" i="16"/>
  <c r="R41" i="16"/>
  <c r="R40" i="16"/>
  <c r="R39" i="16"/>
  <c r="R35" i="16"/>
  <c r="R34" i="16"/>
  <c r="R33" i="16"/>
  <c r="R32" i="16"/>
  <c r="R28" i="16"/>
  <c r="R27" i="16"/>
  <c r="R26" i="16"/>
  <c r="R25" i="16"/>
  <c r="R21" i="16"/>
  <c r="R20" i="16"/>
  <c r="R19" i="16"/>
  <c r="R18" i="16"/>
  <c r="G62" i="16"/>
  <c r="G61" i="16"/>
  <c r="G60" i="16"/>
  <c r="G59" i="16"/>
  <c r="G52" i="16"/>
  <c r="G51" i="16"/>
  <c r="G48" i="16"/>
  <c r="G47" i="16"/>
  <c r="G46" i="16"/>
  <c r="G45" i="16"/>
  <c r="G39" i="16"/>
  <c r="G42" i="16"/>
  <c r="G41" i="16"/>
  <c r="G40" i="16"/>
  <c r="G14" i="16" l="1"/>
  <c r="G13" i="16"/>
  <c r="G35" i="16"/>
  <c r="G34" i="16"/>
  <c r="G33" i="16"/>
  <c r="G32" i="16"/>
  <c r="G28" i="16"/>
  <c r="G27" i="16"/>
  <c r="G26" i="16"/>
  <c r="G25" i="16"/>
  <c r="G21" i="16"/>
  <c r="G20" i="16"/>
  <c r="G19" i="16"/>
  <c r="G18" i="16"/>
  <c r="G12" i="16"/>
  <c r="G11" i="16"/>
  <c r="P46" i="15" l="1"/>
  <c r="H46" i="15"/>
  <c r="P45" i="15"/>
  <c r="K45" i="15"/>
  <c r="H45" i="15"/>
  <c r="C45" i="15"/>
  <c r="P44" i="15"/>
  <c r="H44" i="15"/>
  <c r="B43" i="15"/>
  <c r="P43" i="15"/>
  <c r="K43" i="15"/>
  <c r="H43" i="15"/>
  <c r="C43" i="15"/>
  <c r="P40" i="15"/>
  <c r="H40" i="15"/>
  <c r="P39" i="15"/>
  <c r="H39" i="15"/>
  <c r="P38" i="15"/>
  <c r="H38" i="15"/>
  <c r="B37" i="15"/>
  <c r="P37" i="15"/>
  <c r="K37" i="15"/>
  <c r="H37" i="15"/>
  <c r="C37" i="15"/>
  <c r="Y36" i="15"/>
  <c r="Y35" i="15"/>
  <c r="Y34" i="15"/>
  <c r="P34" i="15"/>
  <c r="H34" i="15"/>
  <c r="Y33" i="15"/>
  <c r="P33" i="15"/>
  <c r="K33" i="15"/>
  <c r="H33" i="15"/>
  <c r="C33" i="15"/>
  <c r="P32" i="15"/>
  <c r="H32" i="15"/>
  <c r="B32" i="15"/>
  <c r="P31" i="15"/>
  <c r="K31" i="15"/>
  <c r="H31" i="15"/>
  <c r="C31" i="15"/>
  <c r="Y29" i="15"/>
  <c r="Y28" i="15"/>
  <c r="T28" i="15"/>
  <c r="P28" i="15"/>
  <c r="H28" i="15"/>
  <c r="Y27" i="15"/>
  <c r="P27" i="15"/>
  <c r="K27" i="15"/>
  <c r="H27" i="15"/>
  <c r="C27" i="15"/>
  <c r="Y26" i="15"/>
  <c r="T26" i="15"/>
  <c r="P26" i="15"/>
  <c r="H26" i="15"/>
  <c r="P25" i="15"/>
  <c r="K25" i="15"/>
  <c r="H25" i="15"/>
  <c r="C25" i="15"/>
  <c r="B25" i="15"/>
  <c r="Y22" i="15"/>
  <c r="P22" i="15"/>
  <c r="H22" i="15"/>
  <c r="Y21" i="15"/>
  <c r="T21" i="15"/>
  <c r="P21" i="15"/>
  <c r="H21" i="15"/>
  <c r="C21" i="15"/>
  <c r="Y20" i="15"/>
  <c r="P20" i="15"/>
  <c r="H20" i="15"/>
  <c r="B20" i="15"/>
  <c r="Y19" i="15"/>
  <c r="T19" i="15"/>
  <c r="P19" i="15"/>
  <c r="K19" i="15"/>
  <c r="H19" i="15"/>
  <c r="C19" i="15"/>
  <c r="H14" i="15"/>
  <c r="H13" i="15"/>
  <c r="C13" i="15"/>
  <c r="H10" i="15"/>
  <c r="H9" i="15"/>
  <c r="C9" i="15"/>
  <c r="H8" i="15"/>
  <c r="H7" i="15"/>
  <c r="C7" i="15"/>
  <c r="H6" i="15"/>
  <c r="H5" i="15"/>
  <c r="H4" i="15"/>
  <c r="C4" i="15"/>
  <c r="C27" i="11" l="1"/>
  <c r="C78" i="13" l="1"/>
  <c r="H35" i="11" l="1"/>
  <c r="H36" i="11"/>
  <c r="H34" i="11"/>
  <c r="H38" i="11"/>
  <c r="H39" i="11"/>
  <c r="H37" i="11"/>
  <c r="C12" i="11"/>
  <c r="C4" i="11"/>
  <c r="C13" i="11"/>
  <c r="D25" i="12"/>
  <c r="C107" i="13"/>
  <c r="L45" i="10" l="1"/>
  <c r="K11" i="10" l="1"/>
  <c r="K12" i="10"/>
  <c r="K13" i="10"/>
  <c r="K14" i="10"/>
  <c r="K15" i="10"/>
  <c r="K16" i="10"/>
  <c r="K17" i="10"/>
  <c r="K18" i="10"/>
  <c r="K10" i="10"/>
  <c r="H67" i="11" l="1"/>
  <c r="H66" i="11"/>
  <c r="H65" i="11"/>
  <c r="H64" i="11"/>
  <c r="H61" i="11"/>
  <c r="H60" i="11"/>
  <c r="H59" i="11"/>
  <c r="H58" i="11"/>
  <c r="H65" i="12"/>
  <c r="J18" i="10"/>
  <c r="H76" i="12"/>
  <c r="H75" i="12"/>
  <c r="H74" i="12"/>
  <c r="H73" i="12"/>
  <c r="H70" i="12"/>
  <c r="H69" i="12"/>
  <c r="H68" i="12"/>
  <c r="H67" i="12"/>
  <c r="H64" i="12"/>
  <c r="H63" i="12"/>
  <c r="H62" i="12"/>
  <c r="H109" i="13"/>
  <c r="H108" i="13"/>
  <c r="H107" i="13"/>
  <c r="H106" i="13"/>
  <c r="H103" i="13"/>
  <c r="H102" i="13"/>
  <c r="C100" i="13"/>
  <c r="H101" i="13"/>
  <c r="H100" i="13"/>
  <c r="H99" i="13"/>
  <c r="H96" i="13"/>
  <c r="H95" i="13"/>
  <c r="H94" i="13"/>
  <c r="C45" i="12" l="1"/>
  <c r="C19" i="11"/>
  <c r="C50" i="11"/>
  <c r="H50" i="11"/>
  <c r="H51" i="11"/>
  <c r="H49" i="11"/>
  <c r="C89" i="13"/>
  <c r="H90" i="13"/>
  <c r="H89" i="13"/>
  <c r="H88" i="13"/>
  <c r="H86" i="13"/>
  <c r="H85" i="13"/>
  <c r="C85" i="13"/>
  <c r="H84" i="13"/>
  <c r="C55" i="12"/>
  <c r="H56" i="12"/>
  <c r="H55" i="12"/>
  <c r="H54" i="12"/>
  <c r="C50" i="12"/>
  <c r="C35" i="12"/>
  <c r="H51" i="12"/>
  <c r="H50" i="12"/>
  <c r="H49" i="12"/>
  <c r="H46" i="12"/>
  <c r="H45" i="12"/>
  <c r="H44" i="12"/>
  <c r="H40" i="12"/>
  <c r="H39" i="12"/>
  <c r="H38" i="12"/>
  <c r="N11" i="10" l="1"/>
  <c r="H79" i="13" l="1"/>
  <c r="H78" i="13"/>
  <c r="H77" i="13"/>
  <c r="H74" i="13"/>
  <c r="H73" i="13"/>
  <c r="C73" i="13"/>
  <c r="H72" i="13"/>
  <c r="C31" i="12" l="1"/>
  <c r="U11" i="10" l="1"/>
  <c r="U12" i="10"/>
  <c r="U13" i="10"/>
  <c r="U14" i="10"/>
  <c r="U15" i="10"/>
  <c r="U16" i="10"/>
  <c r="U17" i="10"/>
  <c r="U10" i="10"/>
  <c r="T15" i="10"/>
  <c r="T14" i="10"/>
  <c r="S15" i="10"/>
  <c r="T16" i="10"/>
  <c r="T11" i="10"/>
  <c r="T12" i="10"/>
  <c r="T13" i="10"/>
  <c r="T17" i="10"/>
  <c r="S11" i="10"/>
  <c r="S12" i="10"/>
  <c r="S13" i="10"/>
  <c r="S14" i="10"/>
  <c r="S16" i="10"/>
  <c r="S17" i="10"/>
  <c r="C68" i="13"/>
  <c r="C15" i="12"/>
  <c r="M13" i="10"/>
  <c r="M12" i="10"/>
  <c r="M11" i="10"/>
  <c r="M16" i="10"/>
  <c r="M17" i="10"/>
  <c r="M14" i="10" l="1"/>
  <c r="M10" i="10"/>
  <c r="H23" i="11"/>
  <c r="I23" i="11" s="1"/>
  <c r="H22" i="11"/>
  <c r="I22" i="11" s="1"/>
  <c r="H21" i="11"/>
  <c r="I21" i="11" s="1"/>
  <c r="H28" i="11"/>
  <c r="I28" i="11" s="1"/>
  <c r="H27" i="11"/>
  <c r="I27" i="11" s="1"/>
  <c r="H26" i="11"/>
  <c r="I26" i="11" s="1"/>
  <c r="H20" i="11"/>
  <c r="I20" i="11" s="1"/>
  <c r="H19" i="11"/>
  <c r="I19" i="11" s="1"/>
  <c r="H18" i="11"/>
  <c r="I18" i="11" s="1"/>
  <c r="H69" i="13"/>
  <c r="H68" i="13"/>
  <c r="H67" i="13"/>
  <c r="H64" i="13"/>
  <c r="H63" i="13"/>
  <c r="C63" i="13"/>
  <c r="H62" i="13"/>
  <c r="H59" i="13"/>
  <c r="H58" i="13"/>
  <c r="C58" i="13"/>
  <c r="H57" i="13"/>
  <c r="C46" i="13" l="1"/>
  <c r="C45" i="13"/>
  <c r="C35" i="13"/>
  <c r="H47" i="13" l="1"/>
  <c r="H46" i="13"/>
  <c r="H45" i="13"/>
  <c r="H36" i="13"/>
  <c r="H35" i="13"/>
  <c r="H34" i="13"/>
  <c r="H31" i="13"/>
  <c r="H30" i="13"/>
  <c r="C30" i="13"/>
  <c r="H29" i="13"/>
  <c r="H28" i="13"/>
  <c r="H27" i="13"/>
  <c r="C27" i="13"/>
  <c r="H26" i="13"/>
  <c r="H23" i="13"/>
  <c r="H22" i="13"/>
  <c r="C22" i="13"/>
  <c r="H21" i="13"/>
  <c r="H19" i="13"/>
  <c r="H18" i="13"/>
  <c r="C18" i="13"/>
  <c r="H17" i="13"/>
  <c r="H19" i="12"/>
  <c r="H18" i="12"/>
  <c r="C18" i="12"/>
  <c r="H17" i="12"/>
  <c r="C11" i="12"/>
  <c r="H26" i="12"/>
  <c r="H25" i="12"/>
  <c r="H24" i="12"/>
  <c r="H16" i="12"/>
  <c r="H15" i="12"/>
  <c r="H14" i="12"/>
  <c r="H12" i="12"/>
  <c r="H11" i="12"/>
  <c r="H10" i="12"/>
  <c r="C6" i="12"/>
  <c r="H7" i="12"/>
  <c r="H6" i="12"/>
  <c r="H5" i="12"/>
  <c r="H14" i="11" l="1"/>
  <c r="H13" i="11"/>
  <c r="H12" i="11"/>
  <c r="I12" i="11" l="1"/>
  <c r="Y14" i="10"/>
  <c r="Y13" i="10"/>
  <c r="B198" i="9" l="1"/>
  <c r="G198" i="9"/>
  <c r="G199" i="9"/>
  <c r="G200" i="9"/>
  <c r="B188" i="9"/>
  <c r="G188" i="9" l="1"/>
  <c r="H188" i="9" s="1"/>
  <c r="L11" i="10" l="1"/>
  <c r="J14" i="10"/>
  <c r="W13" i="10" s="1"/>
  <c r="L13" i="10"/>
  <c r="L14" i="10"/>
  <c r="J12" i="10"/>
  <c r="J13" i="10"/>
  <c r="J17" i="10"/>
  <c r="W14" i="10" s="1"/>
  <c r="H176" i="9"/>
  <c r="L17" i="10" l="1"/>
  <c r="L12" i="10"/>
  <c r="L16" i="10"/>
  <c r="J16" i="10"/>
  <c r="J11" i="10"/>
  <c r="T194" i="9"/>
  <c r="T195" i="9" s="1"/>
  <c r="Y196" i="9"/>
  <c r="Z196" i="9" s="1"/>
  <c r="Y195" i="9"/>
  <c r="Y194" i="9"/>
  <c r="H199" i="9"/>
  <c r="B199" i="9"/>
  <c r="H200" i="9"/>
  <c r="H198" i="9"/>
  <c r="G194" i="9"/>
  <c r="B191" i="9"/>
  <c r="B192" i="9" s="1"/>
  <c r="G193" i="9"/>
  <c r="G192" i="9"/>
  <c r="G191" i="9"/>
  <c r="B184" i="9"/>
  <c r="G187" i="9"/>
  <c r="G186" i="9"/>
  <c r="G185" i="9"/>
  <c r="H185" i="9" s="1"/>
  <c r="B185" i="9"/>
  <c r="G184" i="9"/>
  <c r="G183" i="9"/>
  <c r="B180" i="9"/>
  <c r="G182" i="9"/>
  <c r="G181" i="9"/>
  <c r="H181" i="9" s="1"/>
  <c r="B181" i="9"/>
  <c r="G180" i="9"/>
  <c r="H180" i="9" s="1"/>
  <c r="H182" i="9" l="1"/>
  <c r="H186" i="9"/>
  <c r="H183" i="9"/>
  <c r="Z195" i="9"/>
  <c r="H191" i="9"/>
  <c r="Z194" i="9"/>
  <c r="H192" i="9"/>
  <c r="H184" i="9"/>
  <c r="H187" i="9"/>
  <c r="H193" i="9"/>
  <c r="H194" i="9"/>
  <c r="B177" i="9"/>
  <c r="G179" i="9"/>
  <c r="G178" i="9"/>
  <c r="G177" i="9"/>
  <c r="H177" i="9" l="1"/>
  <c r="I177" i="9" s="1"/>
  <c r="H178" i="9"/>
  <c r="I178" i="9" s="1"/>
  <c r="H179" i="9"/>
  <c r="I179" i="9" s="1"/>
  <c r="B178" i="9"/>
  <c r="T10" i="10"/>
  <c r="S10" i="10"/>
  <c r="T187" i="9" l="1"/>
  <c r="T188" i="9" s="1"/>
  <c r="T184" i="9" l="1"/>
  <c r="T185" i="9" s="1"/>
  <c r="Y189" i="9"/>
  <c r="Z189" i="9" s="1"/>
  <c r="Y188" i="9"/>
  <c r="Z188" i="9" s="1"/>
  <c r="Y187" i="9"/>
  <c r="Z187" i="9" s="1"/>
  <c r="AA187" i="9" s="1"/>
  <c r="Y186" i="9"/>
  <c r="Y185" i="9"/>
  <c r="Y184" i="9"/>
  <c r="Z186" i="9" l="1"/>
  <c r="Z184" i="9"/>
  <c r="Z185" i="9"/>
  <c r="E103" i="9"/>
  <c r="W32" i="9" l="1"/>
  <c r="T34" i="9"/>
  <c r="T35" i="9" s="1"/>
  <c r="Y36" i="9"/>
  <c r="Z36" i="9" s="1"/>
  <c r="Y35" i="9"/>
  <c r="Y34" i="9"/>
  <c r="H6" i="11"/>
  <c r="H5" i="11"/>
  <c r="H4" i="11"/>
  <c r="Z34" i="9" l="1"/>
  <c r="Z35" i="9"/>
  <c r="I13" i="11"/>
  <c r="I14" i="11"/>
  <c r="Y27" i="9"/>
  <c r="Y26" i="9"/>
  <c r="Y25" i="9"/>
  <c r="T25" i="9"/>
  <c r="Z27" i="9" l="1"/>
  <c r="Z26" i="9"/>
  <c r="Z25" i="9"/>
  <c r="Y24" i="9"/>
  <c r="T22" i="9"/>
  <c r="T23" i="9" s="1"/>
  <c r="W17" i="9"/>
  <c r="T19" i="9"/>
  <c r="T20" i="9" s="1"/>
  <c r="V107" i="9"/>
  <c r="Z24" i="9" l="1"/>
  <c r="H73" i="9"/>
  <c r="H72" i="9"/>
  <c r="H71" i="9"/>
  <c r="B172" i="9" l="1"/>
  <c r="G174" i="9"/>
  <c r="G173" i="9"/>
  <c r="G172" i="9"/>
  <c r="F103" i="9"/>
  <c r="A102" i="9"/>
  <c r="A103" i="9" s="1"/>
  <c r="A99" i="9"/>
  <c r="A92" i="9"/>
  <c r="F104" i="9"/>
  <c r="A104" i="9"/>
  <c r="F102" i="9"/>
  <c r="F101" i="9"/>
  <c r="A101" i="9"/>
  <c r="F100" i="9"/>
  <c r="F99" i="9"/>
  <c r="A100" i="9"/>
  <c r="A96" i="9"/>
  <c r="A97" i="9" s="1"/>
  <c r="F98" i="9"/>
  <c r="A98" i="9"/>
  <c r="F97" i="9"/>
  <c r="F96" i="9"/>
  <c r="H80" i="9"/>
  <c r="H81" i="9"/>
  <c r="H82" i="9"/>
  <c r="H83" i="9"/>
  <c r="H84" i="9"/>
  <c r="H85" i="9"/>
  <c r="H86" i="9"/>
  <c r="H87" i="9"/>
  <c r="H88" i="9"/>
  <c r="H78" i="9"/>
  <c r="H79" i="9"/>
  <c r="H77" i="9"/>
  <c r="C86" i="9"/>
  <c r="C87" i="9" s="1"/>
  <c r="C83" i="9"/>
  <c r="C84" i="9" s="1"/>
  <c r="C80" i="9"/>
  <c r="C81" i="9" s="1"/>
  <c r="C77" i="9"/>
  <c r="C78" i="9" s="1"/>
  <c r="A93" i="9"/>
  <c r="A94" i="9" s="1"/>
  <c r="H70" i="9"/>
  <c r="H69" i="9"/>
  <c r="H68" i="9"/>
  <c r="H67" i="9"/>
  <c r="H66" i="9"/>
  <c r="H65" i="9"/>
  <c r="H64" i="9"/>
  <c r="H63" i="9"/>
  <c r="H62" i="9"/>
  <c r="H61" i="9"/>
  <c r="H60" i="9"/>
  <c r="H59" i="9"/>
  <c r="H173" i="9" l="1"/>
  <c r="H174" i="9"/>
  <c r="H142" i="9"/>
  <c r="H172" i="9"/>
  <c r="B173" i="9"/>
  <c r="H140" i="9"/>
  <c r="H145" i="9"/>
  <c r="H144" i="9"/>
  <c r="H138" i="9"/>
  <c r="H141" i="9"/>
  <c r="H143" i="9"/>
  <c r="H137" i="9"/>
  <c r="H139" i="9"/>
  <c r="G158" i="9"/>
  <c r="B158" i="9"/>
  <c r="T178" i="9"/>
  <c r="T179" i="9" s="1"/>
  <c r="Y180" i="9"/>
  <c r="Y179" i="9"/>
  <c r="Y178" i="9"/>
  <c r="Z180" i="9" l="1"/>
  <c r="Z178" i="9"/>
  <c r="Z179" i="9"/>
  <c r="AB11" i="9"/>
  <c r="AB10" i="9"/>
  <c r="Q4" i="9"/>
  <c r="H58" i="9"/>
  <c r="H57" i="9"/>
  <c r="H56" i="9"/>
  <c r="A95" i="9"/>
  <c r="F95" i="9"/>
  <c r="B155" i="9"/>
  <c r="B156" i="9" s="1"/>
  <c r="G157" i="9"/>
  <c r="G156" i="9"/>
  <c r="G155" i="9"/>
  <c r="T170" i="9"/>
  <c r="T171" i="9" s="1"/>
  <c r="Y172" i="9"/>
  <c r="Y171" i="9"/>
  <c r="Y170" i="9"/>
  <c r="T161" i="9"/>
  <c r="Z170" i="9" l="1"/>
  <c r="H136" i="9"/>
  <c r="Z171" i="9"/>
  <c r="Z172" i="9"/>
  <c r="P102" i="10"/>
  <c r="Y163" i="9"/>
  <c r="Z163" i="9" s="1"/>
  <c r="T175" i="9"/>
  <c r="T176" i="9" s="1"/>
  <c r="Y177" i="9"/>
  <c r="Y176" i="9"/>
  <c r="Y175" i="9"/>
  <c r="T167" i="9"/>
  <c r="T168" i="9" s="1"/>
  <c r="Y169" i="9"/>
  <c r="Y168" i="9"/>
  <c r="Y167" i="9"/>
  <c r="T158" i="9"/>
  <c r="T159" i="9" s="1"/>
  <c r="Y162" i="9"/>
  <c r="Z162" i="9" s="1"/>
  <c r="T162" i="9"/>
  <c r="Y161" i="9"/>
  <c r="Z161" i="9" s="1"/>
  <c r="Y160" i="9"/>
  <c r="Y159" i="9"/>
  <c r="Y158" i="9"/>
  <c r="Z169" i="9" l="1"/>
  <c r="Z175" i="9"/>
  <c r="Z160" i="9"/>
  <c r="Z176" i="9"/>
  <c r="Z177" i="9"/>
  <c r="Z167" i="9"/>
  <c r="Z168" i="9"/>
  <c r="Z158" i="9"/>
  <c r="Z159" i="9"/>
  <c r="B152" i="9"/>
  <c r="G154" i="9"/>
  <c r="G153" i="9"/>
  <c r="G152" i="9"/>
  <c r="G169" i="9"/>
  <c r="B167" i="9"/>
  <c r="B164" i="9"/>
  <c r="G168" i="9"/>
  <c r="G167" i="9"/>
  <c r="B161" i="9"/>
  <c r="B162" i="9" s="1"/>
  <c r="G163" i="9"/>
  <c r="G162" i="9"/>
  <c r="G161" i="9"/>
  <c r="H169" i="9" l="1"/>
  <c r="H154" i="9"/>
  <c r="H152" i="9"/>
  <c r="H161" i="9"/>
  <c r="H162" i="9"/>
  <c r="B168" i="9"/>
  <c r="B153" i="9"/>
  <c r="H155" i="9"/>
  <c r="H156" i="9"/>
  <c r="H157" i="9"/>
  <c r="H163" i="9"/>
  <c r="H167" i="9"/>
  <c r="H153" i="9"/>
  <c r="H168" i="9"/>
  <c r="B165" i="9" l="1"/>
  <c r="G166" i="9"/>
  <c r="H166" i="9" s="1"/>
  <c r="G165" i="9"/>
  <c r="H165" i="9" s="1"/>
  <c r="G164" i="9"/>
  <c r="H164" i="9" s="1"/>
  <c r="B149" i="9"/>
  <c r="B150" i="9" s="1"/>
  <c r="L10" i="10" l="1"/>
  <c r="J10" i="10"/>
  <c r="T141" i="9" l="1"/>
  <c r="T142" i="9" s="1"/>
  <c r="Y143" i="9"/>
  <c r="Y142" i="9"/>
  <c r="Y141" i="9"/>
  <c r="G151" i="9"/>
  <c r="H151" i="9" s="1"/>
  <c r="G150" i="9"/>
  <c r="H150" i="9" s="1"/>
  <c r="G149" i="9"/>
  <c r="F94" i="9"/>
  <c r="F93" i="9"/>
  <c r="Z143" i="9" l="1"/>
  <c r="H135" i="9"/>
  <c r="E91" i="9"/>
  <c r="Z141" i="9"/>
  <c r="H134" i="9"/>
  <c r="H149" i="9"/>
  <c r="Z142" i="9"/>
  <c r="J50" i="9"/>
  <c r="J51" i="9" s="1"/>
  <c r="H52" i="9"/>
  <c r="H51" i="9"/>
  <c r="H50" i="9"/>
  <c r="T136" i="9"/>
  <c r="T137" i="9" s="1"/>
  <c r="T133" i="9"/>
  <c r="T134" i="9" s="1"/>
  <c r="T130" i="9"/>
  <c r="T131" i="9" s="1"/>
  <c r="T127" i="9"/>
  <c r="T128" i="9" s="1"/>
  <c r="Y138" i="9"/>
  <c r="Y137" i="9"/>
  <c r="Y136" i="9"/>
  <c r="Y135" i="9"/>
  <c r="Y134" i="9"/>
  <c r="Y133" i="9"/>
  <c r="Y132" i="9"/>
  <c r="Y131" i="9"/>
  <c r="Y130" i="9"/>
  <c r="Y129" i="9"/>
  <c r="Y128" i="9"/>
  <c r="Y127" i="9"/>
  <c r="J47" i="9"/>
  <c r="J48" i="9" s="1"/>
  <c r="J44" i="9"/>
  <c r="J45" i="9" s="1"/>
  <c r="J38" i="9"/>
  <c r="J39" i="9" s="1"/>
  <c r="J41" i="9"/>
  <c r="J42" i="9" s="1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H49" i="9"/>
  <c r="H46" i="9"/>
  <c r="H45" i="9"/>
  <c r="H43" i="9"/>
  <c r="H40" i="9"/>
  <c r="Z127" i="9" l="1"/>
  <c r="AA127" i="9" s="1"/>
  <c r="Z131" i="9"/>
  <c r="Z135" i="9"/>
  <c r="Z128" i="9"/>
  <c r="Z132" i="9"/>
  <c r="Z129" i="9"/>
  <c r="R126" i="9"/>
  <c r="R127" i="9"/>
  <c r="Z136" i="9"/>
  <c r="Z137" i="9"/>
  <c r="Z138" i="9"/>
  <c r="Z133" i="9"/>
  <c r="Z134" i="9"/>
  <c r="Z130" i="9"/>
  <c r="L20" i="9"/>
  <c r="L21" i="9" s="1"/>
  <c r="Q22" i="9"/>
  <c r="Q21" i="9"/>
  <c r="Q20" i="9"/>
  <c r="T121" i="9"/>
  <c r="T122" i="9" s="1"/>
  <c r="Y123" i="9"/>
  <c r="Y122" i="9"/>
  <c r="Y121" i="9"/>
  <c r="Y120" i="9"/>
  <c r="T118" i="9"/>
  <c r="T115" i="9"/>
  <c r="T116" i="9" s="1"/>
  <c r="Y117" i="9"/>
  <c r="Y115" i="9"/>
  <c r="Y114" i="9"/>
  <c r="T109" i="9"/>
  <c r="T110" i="9" s="1"/>
  <c r="T112" i="9"/>
  <c r="T113" i="9" s="1"/>
  <c r="Y119" i="9"/>
  <c r="Y118" i="9"/>
  <c r="Y116" i="9"/>
  <c r="Y113" i="9"/>
  <c r="Y112" i="9"/>
  <c r="Y111" i="9"/>
  <c r="Y110" i="9"/>
  <c r="Y109" i="9"/>
  <c r="L16" i="9"/>
  <c r="L17" i="9" s="1"/>
  <c r="Q18" i="9"/>
  <c r="Q17" i="9"/>
  <c r="Q16" i="9"/>
  <c r="L12" i="9"/>
  <c r="L13" i="9" s="1"/>
  <c r="Q14" i="9"/>
  <c r="Q13" i="9"/>
  <c r="Q12" i="9"/>
  <c r="L8" i="9"/>
  <c r="L9" i="9" s="1"/>
  <c r="Q10" i="9"/>
  <c r="Q9" i="9"/>
  <c r="Q8" i="9"/>
  <c r="L4" i="9"/>
  <c r="Q6" i="9"/>
  <c r="Q5" i="9"/>
  <c r="AH25" i="9"/>
  <c r="AC23" i="9"/>
  <c r="AC24" i="9" s="1"/>
  <c r="AC20" i="9"/>
  <c r="AC21" i="9" s="1"/>
  <c r="AG18" i="9" s="1"/>
  <c r="AH24" i="9"/>
  <c r="AH23" i="9"/>
  <c r="AH22" i="9"/>
  <c r="AH21" i="9"/>
  <c r="AH20" i="9"/>
  <c r="AC10" i="9"/>
  <c r="AC11" i="9" s="1"/>
  <c r="AC7" i="9"/>
  <c r="AC8" i="9" s="1"/>
  <c r="AH11" i="9"/>
  <c r="AH10" i="9"/>
  <c r="AH9" i="9"/>
  <c r="AH8" i="9"/>
  <c r="AH7" i="9"/>
  <c r="Z116" i="9" l="1"/>
  <c r="AI8" i="9"/>
  <c r="Z123" i="9"/>
  <c r="Z111" i="9"/>
  <c r="Z109" i="9"/>
  <c r="AA109" i="9" s="1"/>
  <c r="Z115" i="9"/>
  <c r="Z110" i="9"/>
  <c r="AA110" i="9" s="1"/>
  <c r="Z117" i="9"/>
  <c r="L5" i="9"/>
  <c r="R50" i="9"/>
  <c r="Z114" i="9"/>
  <c r="Z120" i="9"/>
  <c r="Z122" i="9"/>
  <c r="R51" i="9"/>
  <c r="R115" i="9"/>
  <c r="Z112" i="9"/>
  <c r="T119" i="9"/>
  <c r="Z113" i="9"/>
  <c r="Z118" i="9"/>
  <c r="Z119" i="9"/>
  <c r="Z121" i="9"/>
  <c r="R111" i="9"/>
  <c r="R112" i="9"/>
  <c r="R114" i="9"/>
  <c r="AI7" i="9"/>
  <c r="AI22" i="9"/>
  <c r="AI9" i="9"/>
  <c r="AI23" i="9"/>
  <c r="AI20" i="9"/>
  <c r="AI25" i="9"/>
  <c r="AI11" i="9"/>
  <c r="AI21" i="9"/>
  <c r="AI24" i="9"/>
  <c r="AI10" i="9"/>
  <c r="Y23" i="9" l="1"/>
  <c r="Y22" i="9"/>
  <c r="Y21" i="9"/>
  <c r="Z21" i="9" s="1"/>
  <c r="AA21" i="9" s="1"/>
  <c r="Y20" i="9"/>
  <c r="Z20" i="9" s="1"/>
  <c r="AA20" i="9" s="1"/>
  <c r="Y19" i="9"/>
  <c r="Z19" i="9" s="1"/>
  <c r="AA19" i="9" s="1"/>
  <c r="Z22" i="9" l="1"/>
  <c r="Z23" i="9"/>
  <c r="H48" i="9"/>
  <c r="H47" i="9"/>
  <c r="H44" i="9"/>
  <c r="H42" i="9"/>
  <c r="H41" i="9"/>
  <c r="H39" i="9"/>
  <c r="H38" i="9"/>
  <c r="H33" i="9" l="1"/>
  <c r="H32" i="9"/>
  <c r="C28" i="9"/>
  <c r="C29" i="9" s="1"/>
  <c r="H31" i="9"/>
  <c r="H30" i="9"/>
  <c r="T14" i="9"/>
  <c r="T15" i="9" s="1"/>
  <c r="T12" i="9"/>
  <c r="T13" i="9" s="1"/>
  <c r="T10" i="9"/>
  <c r="T11" i="9" s="1"/>
  <c r="T7" i="9"/>
  <c r="T8" i="9" s="1"/>
  <c r="Y7" i="9"/>
  <c r="Y8" i="9"/>
  <c r="Y9" i="9"/>
  <c r="Y10" i="9"/>
  <c r="Y11" i="9"/>
  <c r="Y12" i="9"/>
  <c r="Y13" i="9"/>
  <c r="Y14" i="9"/>
  <c r="Y15" i="9"/>
  <c r="Z15" i="9" l="1"/>
  <c r="Z9" i="9"/>
  <c r="AA9" i="9" s="1"/>
  <c r="Z11" i="9"/>
  <c r="Z7" i="9"/>
  <c r="Z10" i="9"/>
  <c r="Z14" i="9"/>
  <c r="Z8" i="9"/>
  <c r="Z13" i="9"/>
  <c r="Z12" i="9"/>
  <c r="H28" i="9"/>
  <c r="H29" i="9"/>
  <c r="H27" i="9"/>
  <c r="H26" i="9"/>
  <c r="H25" i="9"/>
  <c r="H24" i="9"/>
  <c r="H23" i="9"/>
  <c r="H22" i="9"/>
  <c r="H21" i="9"/>
  <c r="C12" i="9" l="1"/>
  <c r="C13" i="9" s="1"/>
  <c r="H13" i="9"/>
  <c r="H12" i="9"/>
  <c r="C7" i="9"/>
  <c r="C8" i="9" s="1"/>
  <c r="H11" i="9"/>
  <c r="H10" i="9"/>
  <c r="C10" i="9"/>
  <c r="C11" i="9" s="1"/>
  <c r="H9" i="9"/>
  <c r="H8" i="9"/>
  <c r="H7" i="9"/>
  <c r="B20" i="4" l="1"/>
  <c r="G22" i="4"/>
  <c r="G21" i="4"/>
  <c r="G20" i="4"/>
  <c r="B59" i="3"/>
  <c r="K23" i="3" l="1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K6" i="3"/>
  <c r="G41" i="3"/>
  <c r="B37" i="3"/>
  <c r="B39" i="3" s="1"/>
  <c r="G51" i="3"/>
  <c r="G50" i="3"/>
  <c r="G49" i="3"/>
  <c r="G48" i="3"/>
  <c r="G47" i="3"/>
  <c r="G46" i="3"/>
  <c r="G45" i="3"/>
  <c r="G44" i="3"/>
  <c r="G43" i="3"/>
  <c r="G42" i="3"/>
  <c r="G40" i="3"/>
  <c r="G39" i="3"/>
  <c r="G38" i="3"/>
  <c r="G37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G30" i="3"/>
  <c r="G31" i="3"/>
  <c r="G32" i="3"/>
  <c r="G33" i="3"/>
  <c r="G34" i="3"/>
  <c r="G24" i="3"/>
  <c r="G23" i="3"/>
  <c r="B20" i="3"/>
  <c r="B22" i="3" s="1"/>
  <c r="G29" i="3" l="1"/>
  <c r="G28" i="3"/>
  <c r="G27" i="3"/>
  <c r="G26" i="3"/>
  <c r="G25" i="3"/>
  <c r="G22" i="3"/>
  <c r="G21" i="3"/>
  <c r="G20" i="3"/>
  <c r="N24" i="1" l="1"/>
  <c r="I19" i="1"/>
  <c r="N28" i="1"/>
  <c r="N27" i="1"/>
  <c r="N26" i="1"/>
  <c r="N25" i="1"/>
  <c r="N23" i="1"/>
  <c r="N22" i="1"/>
  <c r="N21" i="1"/>
  <c r="N20" i="1"/>
  <c r="G17" i="4" l="1"/>
  <c r="G18" i="4"/>
  <c r="G19" i="4"/>
  <c r="G14" i="4"/>
  <c r="G15" i="4"/>
  <c r="G16" i="4"/>
  <c r="G13" i="4" l="1"/>
  <c r="G12" i="4"/>
  <c r="B11" i="4"/>
  <c r="G11" i="4"/>
  <c r="B17" i="1" l="1"/>
  <c r="G26" i="1"/>
  <c r="G25" i="1"/>
  <c r="G24" i="1"/>
  <c r="G23" i="1"/>
  <c r="G22" i="1"/>
  <c r="G21" i="1"/>
  <c r="G20" i="1"/>
  <c r="G19" i="1"/>
  <c r="G18" i="1"/>
  <c r="G10" i="4" l="1"/>
  <c r="G9" i="4"/>
  <c r="G8" i="4"/>
  <c r="G7" i="4"/>
  <c r="N8" i="1" l="1"/>
  <c r="N4" i="1"/>
  <c r="I3" i="1"/>
  <c r="N12" i="1"/>
  <c r="N11" i="1"/>
  <c r="N10" i="1"/>
  <c r="N9" i="1"/>
  <c r="N7" i="1"/>
  <c r="N6" i="1"/>
  <c r="N5" i="1"/>
  <c r="N3" i="1"/>
  <c r="B7" i="4" l="1"/>
  <c r="G13" i="3" l="1"/>
  <c r="G12" i="3"/>
  <c r="G11" i="3"/>
  <c r="G10" i="3"/>
  <c r="G9" i="3"/>
  <c r="G8" i="3"/>
  <c r="G7" i="3"/>
  <c r="G6" i="3"/>
  <c r="B6" i="3"/>
  <c r="B8" i="3" s="1"/>
  <c r="F7" i="1" l="1"/>
  <c r="F11" i="1"/>
  <c r="F10" i="1"/>
  <c r="F9" i="1"/>
  <c r="F8" i="1"/>
  <c r="F6" i="1"/>
  <c r="F5" i="1"/>
  <c r="A4" i="1"/>
  <c r="F4" i="1"/>
</calcChain>
</file>

<file path=xl/sharedStrings.xml><?xml version="1.0" encoding="utf-8"?>
<sst xmlns="http://schemas.openxmlformats.org/spreadsheetml/2006/main" count="2199" uniqueCount="391">
  <si>
    <t>Time (sec)</t>
  </si>
  <si>
    <t>Power (W)</t>
  </si>
  <si>
    <r>
      <t>T</t>
    </r>
    <r>
      <rPr>
        <vertAlign val="subscript"/>
        <sz val="12"/>
        <color theme="1"/>
        <rFont val="宋体"/>
        <family val="3"/>
        <charset val="134"/>
      </rPr>
      <t>○</t>
    </r>
    <r>
      <rPr>
        <sz val="12"/>
        <color theme="1"/>
        <rFont val="宋体"/>
        <family val="3"/>
        <charset val="134"/>
      </rPr>
      <t xml:space="preserve"> (℃)</t>
    </r>
    <phoneticPr fontId="1" type="noConversion"/>
  </si>
  <si>
    <r>
      <t>T (</t>
    </r>
    <r>
      <rPr>
        <sz val="12"/>
        <color theme="1"/>
        <rFont val="宋体"/>
        <family val="3"/>
        <charset val="134"/>
      </rPr>
      <t>℃</t>
    </r>
    <r>
      <rPr>
        <sz val="12"/>
        <color theme="1"/>
        <rFont val="Times New Roman"/>
        <family val="1"/>
      </rPr>
      <t>)</t>
    </r>
    <phoneticPr fontId="1" type="noConversion"/>
  </si>
  <si>
    <r>
      <t>∆T (</t>
    </r>
    <r>
      <rPr>
        <sz val="12"/>
        <color theme="1"/>
        <rFont val="宋体"/>
        <family val="3"/>
        <charset val="134"/>
      </rPr>
      <t>℃</t>
    </r>
    <r>
      <rPr>
        <sz val="12"/>
        <color theme="1"/>
        <rFont val="Times New Roman"/>
        <family val="1"/>
      </rPr>
      <t>)</t>
    </r>
    <phoneticPr fontId="1" type="noConversion"/>
  </si>
  <si>
    <t>MWCNT</t>
  </si>
  <si>
    <t>T (℃)</t>
  </si>
  <si>
    <t>∆T (℃)</t>
  </si>
  <si>
    <r>
      <t>T</t>
    </r>
    <r>
      <rPr>
        <vertAlign val="subscript"/>
        <sz val="12"/>
        <color theme="1"/>
        <rFont val="Times New Roman"/>
        <family val="1"/>
      </rPr>
      <t>○</t>
    </r>
    <r>
      <rPr>
        <sz val="12"/>
        <color theme="1"/>
        <rFont val="Times New Roman"/>
        <family val="1"/>
      </rPr>
      <t xml:space="preserve"> (℃)</t>
    </r>
  </si>
  <si>
    <t>SWCNT</t>
  </si>
  <si>
    <r>
      <t>T</t>
    </r>
    <r>
      <rPr>
        <vertAlign val="subscript"/>
        <sz val="12"/>
        <color rgb="FF0070C0"/>
        <rFont val="Times New Roman"/>
        <family val="1"/>
      </rPr>
      <t>○</t>
    </r>
    <r>
      <rPr>
        <sz val="12"/>
        <color rgb="FF0070C0"/>
        <rFont val="Times New Roman"/>
        <family val="1"/>
      </rPr>
      <t xml:space="preserve"> (℃)</t>
    </r>
  </si>
  <si>
    <t>T○ (℃)</t>
  </si>
  <si>
    <t>ug/g</t>
  </si>
  <si>
    <r>
      <t>T</t>
    </r>
    <r>
      <rPr>
        <vertAlign val="subscript"/>
        <sz val="12"/>
        <color rgb="FF00B050"/>
        <rFont val="Times New Roman"/>
        <family val="1"/>
      </rPr>
      <t>○</t>
    </r>
    <r>
      <rPr>
        <sz val="12"/>
        <color rgb="FF00B050"/>
        <rFont val="Times New Roman"/>
        <family val="1"/>
      </rPr>
      <t xml:space="preserve"> (℃)</t>
    </r>
  </si>
  <si>
    <t>8mgSWCNT/CTAB</t>
  </si>
  <si>
    <t>4.1mg SWCNT/SDBS</t>
  </si>
  <si>
    <t>4mgMWCNT/SDBS</t>
  </si>
  <si>
    <r>
      <t>T</t>
    </r>
    <r>
      <rPr>
        <vertAlign val="subscript"/>
        <sz val="12"/>
        <color rgb="FF7030A0"/>
        <rFont val="Times New Roman"/>
        <family val="1"/>
      </rPr>
      <t>○</t>
    </r>
    <r>
      <rPr>
        <sz val="12"/>
        <color rgb="FF7030A0"/>
        <rFont val="Times New Roman"/>
        <family val="1"/>
      </rPr>
      <t xml:space="preserve"> (℃)</t>
    </r>
  </si>
  <si>
    <t>3.9mg SWCNT/CTAB</t>
  </si>
  <si>
    <t>4mg SWCNT/CTAB</t>
  </si>
  <si>
    <t>8.1mg SWCNT/CTAB</t>
  </si>
  <si>
    <t>~12mgMWCNT/CTAB</t>
  </si>
  <si>
    <t>12MG</t>
  </si>
  <si>
    <t>CNT Mass (mg)</t>
  </si>
  <si>
    <t>Detection limint (ugCNT/gsoil)</t>
  </si>
  <si>
    <t>Exposure time (s)</t>
  </si>
  <si>
    <t>100W</t>
  </si>
  <si>
    <t>130W</t>
  </si>
  <si>
    <t>MWCNT/CTAB-Soil</t>
  </si>
  <si>
    <t>Media</t>
  </si>
  <si>
    <t>Soil</t>
  </si>
  <si>
    <t>Days</t>
  </si>
  <si>
    <t>Soil after freeze dry</t>
  </si>
  <si>
    <t>Soil +surfactant after freeze dry</t>
  </si>
  <si>
    <t>soil+0.06gCTAB</t>
  </si>
  <si>
    <t>soil+0.12gCTAB</t>
  </si>
  <si>
    <t>soil+0.18gCTAB</t>
  </si>
  <si>
    <t>soil+0.24gCTAB</t>
  </si>
  <si>
    <t>8mgMWNT</t>
  </si>
  <si>
    <t>12.5mg SWCNT/CTAB</t>
  </si>
  <si>
    <t>4ml</t>
  </si>
  <si>
    <t>8ml</t>
  </si>
  <si>
    <t>8.3mg SWCNT/CTAB</t>
  </si>
  <si>
    <t>16mgMWCNT/16ML</t>
  </si>
  <si>
    <r>
      <t>T</t>
    </r>
    <r>
      <rPr>
        <vertAlign val="subscript"/>
        <sz val="11"/>
        <color theme="1"/>
        <rFont val="Times New Roman"/>
        <family val="1"/>
      </rPr>
      <t>○</t>
    </r>
    <r>
      <rPr>
        <sz val="11"/>
        <color theme="1"/>
        <rFont val="Times New Roman"/>
        <family val="1"/>
      </rPr>
      <t xml:space="preserve"> (℃)</t>
    </r>
  </si>
  <si>
    <t>4mL</t>
  </si>
  <si>
    <t>60mg</t>
  </si>
  <si>
    <t>16mgMWCNT</t>
  </si>
  <si>
    <t>Subtraction∆T (℃)</t>
  </si>
  <si>
    <r>
      <t>T</t>
    </r>
    <r>
      <rPr>
        <vertAlign val="subscript"/>
        <sz val="12"/>
        <rFont val="Times New Roman"/>
        <family val="1"/>
      </rPr>
      <t>○</t>
    </r>
    <r>
      <rPr>
        <sz val="12"/>
        <rFont val="Times New Roman"/>
        <family val="1"/>
      </rPr>
      <t xml:space="preserve"> (℃)</t>
    </r>
  </si>
  <si>
    <t>12mgSWCNT/CTAB</t>
  </si>
  <si>
    <t>air dry</t>
  </si>
  <si>
    <t>20mgMWCNT</t>
  </si>
  <si>
    <t>no tumbled</t>
  </si>
  <si>
    <t>10mg MWCNT+10mg SWCNT</t>
  </si>
  <si>
    <t>13mg SWCNT/CTAB</t>
  </si>
  <si>
    <t>130W, 30s</t>
  </si>
  <si>
    <t>tumbled 1 day</t>
  </si>
  <si>
    <t>tumble 1 day</t>
  </si>
  <si>
    <t>after freeze dry</t>
  </si>
  <si>
    <t>after tumbled 1 day</t>
  </si>
  <si>
    <t>SWCNT Mass (mg)</t>
    <phoneticPr fontId="1" type="noConversion"/>
  </si>
  <si>
    <t>freeze dry tumble 1 day</t>
  </si>
  <si>
    <t>0.1ml</t>
  </si>
  <si>
    <t>0.2ml</t>
  </si>
  <si>
    <t>0.5ml</t>
  </si>
  <si>
    <t>1ml</t>
  </si>
  <si>
    <t>2ml</t>
  </si>
  <si>
    <t>0.3mg/ml SWCNT-CTAB solution</t>
  </si>
  <si>
    <t>0.05mlCTAB</t>
  </si>
  <si>
    <t>0.1mlCTAB</t>
  </si>
  <si>
    <t>0.3mlCTAB</t>
  </si>
  <si>
    <t>1ml SQ</t>
  </si>
  <si>
    <t>0.1ml SQ</t>
  </si>
  <si>
    <t>0.3ml</t>
  </si>
  <si>
    <t>0.4ml</t>
  </si>
  <si>
    <t>100W, 20s</t>
    <phoneticPr fontId="1" type="noConversion"/>
  </si>
  <si>
    <t>130W, 20s</t>
    <phoneticPr fontId="1" type="noConversion"/>
  </si>
  <si>
    <t>0.8ml</t>
  </si>
  <si>
    <t>100w</t>
  </si>
  <si>
    <t>133w</t>
  </si>
  <si>
    <t>CTAB only, 2ml~</t>
  </si>
  <si>
    <t>Sludge only ~23mg</t>
  </si>
  <si>
    <t>Sludge only ~10mg</t>
  </si>
  <si>
    <t>133W, 15s</t>
    <phoneticPr fontId="1" type="noConversion"/>
  </si>
  <si>
    <t>100W, 26s</t>
  </si>
  <si>
    <t>0.8ml</t>
    <phoneticPr fontId="1" type="noConversion"/>
  </si>
  <si>
    <t>0.03ml</t>
    <phoneticPr fontId="1" type="noConversion"/>
  </si>
  <si>
    <t>0.1ml</t>
    <phoneticPr fontId="1" type="noConversion"/>
  </si>
  <si>
    <t>soil, 100mg</t>
  </si>
  <si>
    <t>soil46.5mg</t>
  </si>
  <si>
    <t>sand,130mg</t>
  </si>
  <si>
    <t>sand60mg</t>
  </si>
  <si>
    <t>sludge,23</t>
  </si>
  <si>
    <t>sludge10</t>
  </si>
  <si>
    <t>MWCNT(mg)</t>
  </si>
  <si>
    <t>ave</t>
  </si>
  <si>
    <t>std</t>
  </si>
  <si>
    <t>M-COOH</t>
  </si>
  <si>
    <t>0.1ML</t>
  </si>
  <si>
    <t>0.8ML</t>
  </si>
  <si>
    <t>0.3ML</t>
  </si>
  <si>
    <t>0.05ml</t>
  </si>
  <si>
    <t>1.5ml</t>
  </si>
  <si>
    <t>1.8ml</t>
  </si>
  <si>
    <t>soil96.7mg</t>
  </si>
  <si>
    <t>soil48mg</t>
  </si>
  <si>
    <t>3mg/100mgsoil</t>
  </si>
  <si>
    <t>soil 85mg</t>
  </si>
  <si>
    <t>soil86mg</t>
  </si>
  <si>
    <t>GAC</t>
  </si>
  <si>
    <t>GO</t>
  </si>
  <si>
    <t>0.6ML</t>
  </si>
  <si>
    <t>1ML</t>
  </si>
  <si>
    <t>C (mg)</t>
  </si>
  <si>
    <t>C60/CNT</t>
  </si>
  <si>
    <t>Soil only</t>
  </si>
  <si>
    <t>60mgNa2CO3</t>
  </si>
  <si>
    <t>60mgHA</t>
  </si>
  <si>
    <t>36mgNa2CO3</t>
  </si>
  <si>
    <t>133W</t>
  </si>
  <si>
    <t>30.8mgHA</t>
  </si>
  <si>
    <t>MWCNT-COOH</t>
  </si>
  <si>
    <t>STD</t>
  </si>
  <si>
    <t>1.3ml</t>
  </si>
  <si>
    <t xml:space="preserve"> </t>
  </si>
  <si>
    <t>Organic carbon content (mg/100mgsoil)</t>
  </si>
  <si>
    <t>LOB</t>
  </si>
  <si>
    <t>soil (g)</t>
  </si>
  <si>
    <t>Mean</t>
  </si>
  <si>
    <t>Low Concentration</t>
  </si>
  <si>
    <t>df=</t>
  </si>
  <si>
    <t>MDL=STD*t value=</t>
  </si>
  <si>
    <t>ugMWCNT/gsoil</t>
  </si>
  <si>
    <t>SWCNT(mg)</t>
  </si>
  <si>
    <t>mgMWCNT/0.1gsoil</t>
  </si>
  <si>
    <t>M-COOH(mg)</t>
  </si>
  <si>
    <r>
      <t>t</t>
    </r>
    <r>
      <rPr>
        <vertAlign val="subscript"/>
        <sz val="11"/>
        <color theme="1"/>
        <rFont val="Times New Roman"/>
        <family val="1"/>
      </rPr>
      <t>0.99</t>
    </r>
  </si>
  <si>
    <t>Sample1</t>
  </si>
  <si>
    <t>Sample2</t>
  </si>
  <si>
    <t>Sample3</t>
  </si>
  <si>
    <t>Sample4</t>
  </si>
  <si>
    <t>Sample5</t>
  </si>
  <si>
    <t>Sample6</t>
  </si>
  <si>
    <t>Sample7</t>
  </si>
  <si>
    <t>70W,20s</t>
  </si>
  <si>
    <t>70W, 30s</t>
  </si>
  <si>
    <t>75W,30s</t>
  </si>
  <si>
    <t>87W,30s</t>
  </si>
  <si>
    <t>93W,15s</t>
  </si>
  <si>
    <t>100W,20s</t>
  </si>
  <si>
    <t>100W,30s</t>
  </si>
  <si>
    <t>130W,20s</t>
  </si>
  <si>
    <t>133W,15</t>
  </si>
  <si>
    <t>149W,15s</t>
  </si>
  <si>
    <t>149W,20s</t>
  </si>
  <si>
    <t>0.1mg</t>
  </si>
  <si>
    <t>std</t>
    <phoneticPr fontId="1" type="noConversion"/>
  </si>
  <si>
    <t>MWCNT+Soil</t>
  </si>
  <si>
    <t>SWCNT+Soil</t>
  </si>
  <si>
    <t>MWCNT-COOH+Soil</t>
  </si>
  <si>
    <t>soil</t>
  </si>
  <si>
    <t>0.1633524.</t>
  </si>
  <si>
    <t>0.05ML</t>
  </si>
  <si>
    <t>CTAB only, 2ml</t>
  </si>
  <si>
    <t>Sadn only</t>
  </si>
  <si>
    <t>130mg</t>
  </si>
  <si>
    <t>149W, 30sec</t>
  </si>
  <si>
    <t>38mg C60</t>
  </si>
  <si>
    <t>10 mg GAC</t>
  </si>
  <si>
    <t>5 mg GO</t>
  </si>
  <si>
    <t>ave</t>
    <phoneticPr fontId="1" type="noConversion"/>
  </si>
  <si>
    <t>std</t>
    <phoneticPr fontId="1" type="noConversion"/>
  </si>
  <si>
    <t>0.3mlMWCNT-COOH+0.3mlGO</t>
    <phoneticPr fontId="1" type="noConversion"/>
  </si>
  <si>
    <t>0.3mlMWCNT-COOH+0.6mlGO</t>
    <phoneticPr fontId="1" type="noConversion"/>
  </si>
  <si>
    <t>0.3mlMWCNT-COOH+0.9mlGO</t>
    <phoneticPr fontId="1" type="noConversion"/>
  </si>
  <si>
    <t>Analyst:Yang He</t>
    <phoneticPr fontId="1" type="noConversion"/>
  </si>
  <si>
    <t>CNT-Soil (45mg)</t>
    <phoneticPr fontId="1" type="noConversion"/>
  </si>
  <si>
    <t>Sample Mass(g)</t>
    <phoneticPr fontId="1" type="noConversion"/>
  </si>
  <si>
    <t>45 mg soil only</t>
    <phoneticPr fontId="1" type="noConversion"/>
  </si>
  <si>
    <t>100 mg soil only</t>
    <phoneticPr fontId="1" type="noConversion"/>
  </si>
  <si>
    <t>MWCNT dispersion (0.3mg/ml)</t>
    <phoneticPr fontId="1" type="noConversion"/>
  </si>
  <si>
    <t>Volume of dispersion</t>
    <phoneticPr fontId="1" type="noConversion"/>
  </si>
  <si>
    <t>MWCNT Mass (mg)</t>
    <phoneticPr fontId="1" type="noConversion"/>
  </si>
  <si>
    <t>Volume of dispersion (ml)</t>
    <phoneticPr fontId="1" type="noConversion"/>
  </si>
  <si>
    <t>SWCNT dispersion 0.3mg/ml</t>
    <phoneticPr fontId="1" type="noConversion"/>
  </si>
  <si>
    <t>M-COOH dispersion 03mg/ml</t>
    <phoneticPr fontId="1" type="noConversion"/>
  </si>
  <si>
    <t>CNT Mass (mg)</t>
    <phoneticPr fontId="1" type="noConversion"/>
  </si>
  <si>
    <t>SWCNT Mass (mg)</t>
    <phoneticPr fontId="1" type="noConversion"/>
  </si>
  <si>
    <t>Time (sec)</t>
    <phoneticPr fontId="1" type="noConversion"/>
  </si>
  <si>
    <t>Yang He</t>
  </si>
  <si>
    <t>Sodium carbonate solution: 6.0132g/100ml SQ water</t>
    <phoneticPr fontId="1" type="noConversion"/>
  </si>
  <si>
    <t>MWCNT: 0.09 mg   0.3 ml of 0.3mg/ml MWCNT dispersion was added to soil with 0.1, 0.3,0.6 and 1 ml sodium carbonate solution</t>
    <phoneticPr fontId="1" type="noConversion"/>
  </si>
  <si>
    <t>SWCNT: 0.09 mg   0.3 ml of 0.3mg/ml SWCNT dispersion was added to soil with 0.1, 0.3,0.6 and 1 ml sodium carbonate solution</t>
    <phoneticPr fontId="1" type="noConversion"/>
  </si>
  <si>
    <t>MWCNT-COOH: 0.09 mg   0.3 ml of 0.3mg/ml MWCNT-COOH dispersion was added to soil with 0.1, 0.3,0.6 and 1 ml sodium carbonate solution</t>
    <phoneticPr fontId="1" type="noConversion"/>
  </si>
  <si>
    <t>Inorganic carbon effects</t>
    <phoneticPr fontId="1" type="noConversion"/>
  </si>
  <si>
    <t>Sample mass (g)</t>
    <phoneticPr fontId="1" type="noConversion"/>
  </si>
  <si>
    <t>volume of Na2CO3 solution</t>
    <phoneticPr fontId="1" type="noConversion"/>
  </si>
  <si>
    <t>mass of Na2CO3 (g)</t>
    <phoneticPr fontId="1" type="noConversion"/>
  </si>
  <si>
    <t>soil: 0.1g</t>
    <phoneticPr fontId="1" type="noConversion"/>
  </si>
  <si>
    <t>Na2CO3 Salt (mg)</t>
    <phoneticPr fontId="1" type="noConversion"/>
  </si>
  <si>
    <t>MWCNT in Na2CO3 spiked soil</t>
    <phoneticPr fontId="1" type="noConversion"/>
  </si>
  <si>
    <t>MWCNT-COOH in Na2CO3 spiked soil</t>
    <phoneticPr fontId="1" type="noConversion"/>
  </si>
  <si>
    <t>SWCNT in Na2CO3 spiked soil</t>
    <phoneticPr fontId="1" type="noConversion"/>
  </si>
  <si>
    <t>Na2CO3 spiked soil</t>
    <phoneticPr fontId="1" type="noConversion"/>
  </si>
  <si>
    <r>
      <t>∆T (</t>
    </r>
    <r>
      <rPr>
        <sz val="11"/>
        <color theme="1"/>
        <rFont val="宋体"/>
        <family val="2"/>
      </rPr>
      <t>℃</t>
    </r>
    <r>
      <rPr>
        <sz val="11"/>
        <color theme="1"/>
        <rFont val="Times New Roman"/>
        <family val="1"/>
      </rPr>
      <t>)</t>
    </r>
  </si>
  <si>
    <t>Carbon content (mg)</t>
    <phoneticPr fontId="1" type="noConversion"/>
  </si>
  <si>
    <t>std</t>
    <phoneticPr fontId="1" type="noConversion"/>
  </si>
  <si>
    <r>
      <t>∆T (</t>
    </r>
    <r>
      <rPr>
        <sz val="11"/>
        <rFont val="宋体"/>
        <family val="2"/>
      </rPr>
      <t>℃</t>
    </r>
    <r>
      <rPr>
        <sz val="11"/>
        <rFont val="Times New Roman"/>
        <family val="1"/>
      </rPr>
      <t>)</t>
    </r>
  </si>
  <si>
    <t>ration of inorganic carbon to CNT</t>
    <phoneticPr fontId="1" type="noConversion"/>
  </si>
  <si>
    <t>Na2CO3 only (powder)</t>
    <phoneticPr fontId="1" type="noConversion"/>
  </si>
  <si>
    <t>MWCNT: 0.09 mg   0.3 ml of 0.3mg/ml MWCNT dispersion was added to 0.1 g soil with GAC, C60 and GO</t>
    <phoneticPr fontId="1" type="noConversion"/>
  </si>
  <si>
    <t>SWCNT: 0.09 mg   0.3 ml of 0.3mg/ml SWCNT dispersion was added to 0.1g soil with GAC, C60 and GO</t>
    <phoneticPr fontId="1" type="noConversion"/>
  </si>
  <si>
    <t>MWCNT-COOH: 0.09 mg   0.3 ml of 0.3mg/ml MWCNT-COOH dispersion was added to 0.1g soil with GAC, C60 and GO</t>
    <phoneticPr fontId="1" type="noConversion"/>
  </si>
  <si>
    <t>soil mixtures: prepared by mixing 2 g soil with 60, 90, 180 mg C60, and 30, 60, 90 mg GAC, respectively, in a tumbler for 5 days. Then, 100 mg soil samples were taken from each soil mixture, and mixed with 0.3 ml of 0.3 mg/ml CNTs.</t>
    <phoneticPr fontId="1" type="noConversion"/>
  </si>
  <si>
    <t>For the experiment with GO, each soil sample (100 mg pure soil) was mixed with 0.3, 0.6 or 0.9 ml of 0.3 mg/ml GO dispersion and 0.3 ml of 0.3 mg/ml CNTs</t>
    <phoneticPr fontId="1" type="noConversion"/>
  </si>
  <si>
    <t>Analyst: Yang He</t>
    <phoneticPr fontId="1" type="noConversion"/>
  </si>
  <si>
    <t>soil only as microwave check</t>
    <phoneticPr fontId="1" type="noConversion"/>
  </si>
  <si>
    <t>sample mass (g)</t>
    <phoneticPr fontId="1" type="noConversion"/>
  </si>
  <si>
    <t>C60:</t>
    <phoneticPr fontId="1" type="noConversion"/>
  </si>
  <si>
    <t>MWCNT in C60 spiked soil</t>
    <phoneticPr fontId="1" type="noConversion"/>
  </si>
  <si>
    <t>SWCNT in C60 spiked soil</t>
    <phoneticPr fontId="1" type="noConversion"/>
  </si>
  <si>
    <t>MWCNT-COOH in C60 spiked soil</t>
    <phoneticPr fontId="1" type="noConversion"/>
  </si>
  <si>
    <t>6mg/100mgsoil</t>
    <phoneticPr fontId="1" type="noConversion"/>
  </si>
  <si>
    <t>9mg/100mgsoil</t>
    <phoneticPr fontId="1" type="noConversion"/>
  </si>
  <si>
    <t>1.5mg/100mgsoil</t>
    <phoneticPr fontId="1" type="noConversion"/>
  </si>
  <si>
    <t>3mg/100mgsoil</t>
    <phoneticPr fontId="1" type="noConversion"/>
  </si>
  <si>
    <t>MWCNT in GAC spiked soil</t>
    <phoneticPr fontId="1" type="noConversion"/>
  </si>
  <si>
    <t>SWCNT in GAC spiked soil</t>
    <phoneticPr fontId="1" type="noConversion"/>
  </si>
  <si>
    <t>MWCNT-COOH in GAC spiked soil</t>
    <phoneticPr fontId="1" type="noConversion"/>
  </si>
  <si>
    <t>4.5mg/100mgsoil</t>
    <phoneticPr fontId="1" type="noConversion"/>
  </si>
  <si>
    <t>0.09mg/100mgsoil</t>
    <phoneticPr fontId="1" type="noConversion"/>
  </si>
  <si>
    <t>MWCNT in GO spiked soil</t>
    <phoneticPr fontId="1" type="noConversion"/>
  </si>
  <si>
    <t>MWCNT-COOH in GO spiked soil</t>
    <phoneticPr fontId="1" type="noConversion"/>
  </si>
  <si>
    <t>SWCNT in GO spiked soil</t>
    <phoneticPr fontId="1" type="noConversion"/>
  </si>
  <si>
    <t>0.18mg/100mgsoil</t>
    <phoneticPr fontId="1" type="noConversion"/>
  </si>
  <si>
    <t>0.27mg/100mgsoil</t>
    <phoneticPr fontId="1" type="noConversion"/>
  </si>
  <si>
    <t>Humic acid spiked soil samples used as matrices</t>
    <phoneticPr fontId="1" type="noConversion"/>
  </si>
  <si>
    <t>MWCNT: 0.09 mg   0.3 ml of 0.3mg/ml MWCNT dispersion was added to 0.1 g soil with HA</t>
    <phoneticPr fontId="1" type="noConversion"/>
  </si>
  <si>
    <t>SWCNT: 0.09 mg   0.3 ml of 0.3mg/ml SWCNT dispersion was added to 0.1g soil with HA</t>
    <phoneticPr fontId="1" type="noConversion"/>
  </si>
  <si>
    <t>MWCNT-COOH: 0.09 mg   0.3 ml of 0.3mg/ml MWCNT-COOH dispersion was added to 0.1g soil with HA</t>
    <phoneticPr fontId="1" type="noConversion"/>
  </si>
  <si>
    <t>M-COOH dispersion 0.3mg/ml</t>
    <phoneticPr fontId="1" type="noConversion"/>
  </si>
  <si>
    <t>soil-HA mixture samples were prepared by mixing 80, 160, 240 and 320 mg HA in 2 g soil in a tumbler for 5 days.Then, 100 mg soil samples were taken from each soil mixture, and mixed with 0.3 ml of 0.3 mg/ml CNTs.</t>
    <phoneticPr fontId="1" type="noConversion"/>
  </si>
  <si>
    <t>sample mass(g)</t>
    <phoneticPr fontId="1" type="noConversion"/>
  </si>
  <si>
    <t>HA only (powder)</t>
    <phoneticPr fontId="1" type="noConversion"/>
  </si>
  <si>
    <t>Soil only as microwave check</t>
    <phoneticPr fontId="1" type="noConversion"/>
  </si>
  <si>
    <t>80mg HA/2g soil</t>
    <phoneticPr fontId="1" type="noConversion"/>
  </si>
  <si>
    <t>HA:</t>
    <phoneticPr fontId="1" type="noConversion"/>
  </si>
  <si>
    <t>MWCNT in HA spiked soil</t>
    <phoneticPr fontId="1" type="noConversion"/>
  </si>
  <si>
    <t>SWCNT in HA spiked soil</t>
    <phoneticPr fontId="1" type="noConversion"/>
  </si>
  <si>
    <t>MWCNT-COOH in HA spiked soil</t>
    <phoneticPr fontId="1" type="noConversion"/>
  </si>
  <si>
    <t>320mg 240/2g soil</t>
    <phoneticPr fontId="1" type="noConversion"/>
  </si>
  <si>
    <t>240mg/2g soil</t>
    <phoneticPr fontId="1" type="noConversion"/>
  </si>
  <si>
    <t>160mg HA/2g soil</t>
    <phoneticPr fontId="1" type="noConversion"/>
  </si>
  <si>
    <t>other carbon materials mixed into soil samples, used as matrices</t>
    <phoneticPr fontId="1" type="noConversion"/>
  </si>
  <si>
    <t>Higher microwave energy for HA-Soil matrices</t>
    <phoneticPr fontId="1" type="noConversion"/>
  </si>
  <si>
    <t>3/11/2016 MWCNT in HA-Soil mixture, measured at higher microwave energy</t>
    <phoneticPr fontId="1" type="noConversion"/>
  </si>
  <si>
    <t>133W, 15sec</t>
    <phoneticPr fontId="1" type="noConversion"/>
  </si>
  <si>
    <t>MWCNT:Multi walled CNT</t>
    <phoneticPr fontId="1" type="noConversion"/>
  </si>
  <si>
    <t>CNT: Carbon nanotubes</t>
    <phoneticPr fontId="1" type="noConversion"/>
  </si>
  <si>
    <t>SWCMT:Single walled CNT</t>
    <phoneticPr fontId="1" type="noConversion"/>
  </si>
  <si>
    <t>MWCNT-COOH:Carboxylated MWCNT</t>
    <phoneticPr fontId="1" type="noConversion"/>
  </si>
  <si>
    <t>HA: Humic acid</t>
    <phoneticPr fontId="1" type="noConversion"/>
  </si>
  <si>
    <t>C60: fullerence</t>
    <phoneticPr fontId="1" type="noConversion"/>
  </si>
  <si>
    <t xml:space="preserve">GAC:Grandula actived carbon </t>
    <phoneticPr fontId="1" type="noConversion"/>
  </si>
  <si>
    <t>GO:Graphene oxide</t>
    <phoneticPr fontId="1" type="noConversion"/>
  </si>
  <si>
    <t>std: standard deviation</t>
    <phoneticPr fontId="1" type="noConversion"/>
  </si>
  <si>
    <t>Abbreviations</t>
    <phoneticPr fontId="1" type="noConversion"/>
  </si>
  <si>
    <t>IC:Inorganic carbon</t>
    <phoneticPr fontId="1" type="noConversion"/>
  </si>
  <si>
    <t>Soil with HA (No CNT)</t>
    <phoneticPr fontId="1" type="noConversion"/>
  </si>
  <si>
    <t>240mg HA/2g soil</t>
    <phoneticPr fontId="1" type="noConversion"/>
  </si>
  <si>
    <t>320mg HA/2g soil</t>
    <phoneticPr fontId="1" type="noConversion"/>
  </si>
  <si>
    <t>Power (W)</t>
    <phoneticPr fontId="1" type="noConversion"/>
  </si>
  <si>
    <t>microwave energy</t>
    <phoneticPr fontId="1" type="noConversion"/>
  </si>
  <si>
    <t>Time (sec)</t>
    <phoneticPr fontId="1" type="noConversion"/>
  </si>
  <si>
    <t>microwave exposure time</t>
    <phoneticPr fontId="1" type="noConversion"/>
  </si>
  <si>
    <r>
      <t>T</t>
    </r>
    <r>
      <rPr>
        <vertAlign val="subscript"/>
        <sz val="11"/>
        <rFont val="Times New Roman"/>
        <family val="1"/>
      </rPr>
      <t xml:space="preserve">o </t>
    </r>
    <r>
      <rPr>
        <sz val="11"/>
        <rFont val="Times New Roman"/>
        <family val="1"/>
      </rPr>
      <t>(</t>
    </r>
    <r>
      <rPr>
        <vertAlign val="superscript"/>
        <sz val="11"/>
        <rFont val="Calibri"/>
        <family val="2"/>
      </rPr>
      <t>○</t>
    </r>
    <r>
      <rPr>
        <sz val="11"/>
        <rFont val="Times New Roman"/>
        <family val="1"/>
      </rPr>
      <t>C)</t>
    </r>
    <phoneticPr fontId="1" type="noConversion"/>
  </si>
  <si>
    <t>initial temperature of sample before microwave irradiation</t>
    <phoneticPr fontId="1" type="noConversion"/>
  </si>
  <si>
    <r>
      <t>T (</t>
    </r>
    <r>
      <rPr>
        <vertAlign val="superscript"/>
        <sz val="11"/>
        <rFont val="Times New Roman"/>
        <family val="1"/>
      </rPr>
      <t>○</t>
    </r>
    <r>
      <rPr>
        <sz val="11"/>
        <rFont val="Times New Roman"/>
        <family val="1"/>
      </rPr>
      <t>C)</t>
    </r>
    <phoneticPr fontId="1" type="noConversion"/>
  </si>
  <si>
    <t>final temperature of sample after micrwaove irradiation</t>
    <phoneticPr fontId="1" type="noConversion"/>
  </si>
  <si>
    <r>
      <t>∆T (</t>
    </r>
    <r>
      <rPr>
        <vertAlign val="superscript"/>
        <sz val="11"/>
        <rFont val="Calibri"/>
        <family val="2"/>
      </rPr>
      <t>○</t>
    </r>
    <r>
      <rPr>
        <sz val="11"/>
        <rFont val="Times New Roman"/>
        <family val="1"/>
      </rPr>
      <t>C)</t>
    </r>
    <phoneticPr fontId="1" type="noConversion"/>
  </si>
  <si>
    <t>temperature change of sample before and after microwave irradiation</t>
    <phoneticPr fontId="1" type="noConversion"/>
  </si>
  <si>
    <t xml:space="preserve">WA 16 </t>
    <phoneticPr fontId="1" type="noConversion"/>
  </si>
  <si>
    <t>QAPP: L19953-QP-1</t>
    <phoneticPr fontId="1" type="noConversion"/>
  </si>
  <si>
    <t>Title: Quantitative detection of carbon nanotubes in environmental samples by microwave induced heating</t>
    <phoneticPr fontId="1" type="noConversion"/>
  </si>
  <si>
    <t>Analyst:</t>
    <phoneticPr fontId="1" type="noConversion"/>
  </si>
  <si>
    <t>Balances: AB54, used for weighing CNTs and environmental samples in nanohood</t>
    <phoneticPr fontId="1" type="noConversion"/>
  </si>
  <si>
    <t>Microwave induced heating system: Lab 131. Microwave condition: Power /Time</t>
  </si>
  <si>
    <t>CTAB: Cetyltrimethylammonium bromide</t>
    <phoneticPr fontId="1" type="noConversion"/>
  </si>
  <si>
    <t>SDBS: Sodium dodecylbenzenesulfonate</t>
    <phoneticPr fontId="1" type="noConversion"/>
  </si>
  <si>
    <t>8-19-2015 Microwave response of soil only samples</t>
  </si>
  <si>
    <t>Anaylst:Yang He</t>
  </si>
  <si>
    <t>Mass of sample (g)</t>
  </si>
  <si>
    <r>
      <t>T</t>
    </r>
    <r>
      <rPr>
        <vertAlign val="subscript"/>
        <sz val="12"/>
        <rFont val="宋体"/>
        <family val="3"/>
        <charset val="134"/>
      </rPr>
      <t>○</t>
    </r>
    <r>
      <rPr>
        <sz val="12"/>
        <rFont val="宋体"/>
        <family val="3"/>
        <charset val="134"/>
      </rPr>
      <t xml:space="preserve"> (℃)</t>
    </r>
  </si>
  <si>
    <r>
      <t>T (</t>
    </r>
    <r>
      <rPr>
        <sz val="12"/>
        <rFont val="宋体"/>
        <family val="3"/>
        <charset val="134"/>
      </rPr>
      <t>℃</t>
    </r>
    <r>
      <rPr>
        <sz val="12"/>
        <rFont val="Times New Roman"/>
        <family val="1"/>
      </rPr>
      <t>)</t>
    </r>
  </si>
  <si>
    <r>
      <t>∆T (</t>
    </r>
    <r>
      <rPr>
        <sz val="12"/>
        <rFont val="宋体"/>
        <family val="3"/>
        <charset val="134"/>
      </rPr>
      <t>℃</t>
    </r>
    <r>
      <rPr>
        <sz val="12"/>
        <rFont val="Times New Roman"/>
        <family val="1"/>
      </rPr>
      <t>)</t>
    </r>
  </si>
  <si>
    <t>8-25-2015 Microwave response of 20 mg MWCNT in 20g soil sample</t>
  </si>
  <si>
    <t>Analyst:Yang He</t>
  </si>
  <si>
    <t>20.1mg</t>
  </si>
  <si>
    <t>Soil:20.0378g</t>
  </si>
  <si>
    <t>Mass of sample(g)</t>
  </si>
  <si>
    <t>Replicate1</t>
  </si>
  <si>
    <t>Replicate2</t>
  </si>
  <si>
    <t>Replicate3</t>
  </si>
  <si>
    <t>Mass of MWCNT (mg)</t>
  </si>
  <si>
    <t>9/11/2015 Microwave response of soil only samples</t>
  </si>
  <si>
    <t>Sample mass (g)</t>
  </si>
  <si>
    <t>9/21/2015 Microwave response of soil only samples</t>
  </si>
  <si>
    <t>9/29/2015 Microwave response of soil plus ctab</t>
  </si>
  <si>
    <t>10/15/2015 Microwave response of 20 mg MWCNT in 20g soil sample</t>
  </si>
  <si>
    <t>20.2mg</t>
  </si>
  <si>
    <t>Soil:20.1209g</t>
  </si>
  <si>
    <t>Mass of SWCNT (mg)</t>
  </si>
  <si>
    <t>10/17/2015 Microwave response of MWCNT in soil (dry mix)</t>
  </si>
  <si>
    <t>Analyst: Yang He</t>
  </si>
  <si>
    <t>Sample Mass (g)</t>
  </si>
  <si>
    <t>Replicate 2</t>
  </si>
  <si>
    <t>Replicate 1</t>
  </si>
  <si>
    <t>Replicate 3</t>
  </si>
  <si>
    <t>40.4mg</t>
  </si>
  <si>
    <t>10-20-2015 Microwave response of 20 mg MWCNT in 20g soil sample</t>
  </si>
  <si>
    <t>10/21/2015 Microwave response of MWCNT in soil (dry mix)</t>
  </si>
  <si>
    <t>Replicate4</t>
  </si>
  <si>
    <t>Replicate5</t>
  </si>
  <si>
    <t xml:space="preserve">Soil+CTAB 4mL </t>
  </si>
  <si>
    <t>replicate2</t>
  </si>
  <si>
    <t>replicate1</t>
  </si>
  <si>
    <t>replicate3</t>
  </si>
  <si>
    <t xml:space="preserve">10/27/2015 Microwave response of MWCNT in soil </t>
  </si>
  <si>
    <t>MWCNT dispersed by CTAB, then mixed with soil</t>
  </si>
  <si>
    <t>3.8mgMWCNT/20.0096gsoil</t>
  </si>
  <si>
    <t>sample mass (g)</t>
  </si>
  <si>
    <t>MWCNT Mass (ug)</t>
  </si>
  <si>
    <t>replicate 3</t>
  </si>
  <si>
    <t>replicate 4</t>
  </si>
  <si>
    <t xml:space="preserve">10/27/2015 Microwave response of SWCNT in soil </t>
  </si>
  <si>
    <t>SWCNT dispersed by CTAB, then mixed with soil</t>
  </si>
  <si>
    <t>4.2mgSWCNT/20.0096gsoil</t>
  </si>
  <si>
    <t>7.9mgMWCNT/20.0096gsoil</t>
  </si>
  <si>
    <t xml:space="preserve">10/29/2015 microwave response of MWCNT in soil </t>
  </si>
  <si>
    <t xml:space="preserve">11-1/2015 microwave response of MWCNT in soil </t>
  </si>
  <si>
    <t>12mgMWCNT/20.0096gsoil</t>
  </si>
  <si>
    <t>10-27-2015 Microwave response of soil only</t>
  </si>
  <si>
    <t>10/28/2015 Microwave response of soil only</t>
  </si>
  <si>
    <t>10/29/2015 Microwave response of soil only</t>
  </si>
  <si>
    <t>11/1/2015 Microwave response of soil only</t>
  </si>
  <si>
    <t xml:space="preserve">11-3-2015 microwave response of MWCNT in soil </t>
  </si>
  <si>
    <t>16.1mgMWCNT/20.0096gsoil</t>
  </si>
  <si>
    <t>11/3/2015 Microwave response of soil only</t>
  </si>
  <si>
    <t>MWCNT Dispersion : 0.3mg/mml</t>
  </si>
  <si>
    <t>Analylst:Yang He</t>
  </si>
  <si>
    <t>Sample mass(g)</t>
  </si>
  <si>
    <t>MWCNT (g/0</t>
  </si>
  <si>
    <t>Dispersion volume(ml)</t>
  </si>
  <si>
    <t>0.03ml</t>
  </si>
  <si>
    <t>mg/ml</t>
  </si>
  <si>
    <t>1-6-2016 Microwave response of soil only</t>
  </si>
  <si>
    <t>soil98.7mg</t>
  </si>
  <si>
    <t>soil 46.5mg not freeze dry</t>
  </si>
  <si>
    <t>Soil+0.2ml 0.1wt% CTAB</t>
  </si>
  <si>
    <t>100w. 120s</t>
  </si>
  <si>
    <t>sec</t>
  </si>
  <si>
    <t>T</t>
  </si>
  <si>
    <t>10/31/2015 MWCNT dispersed by CTAB, then mixed with soil</t>
  </si>
  <si>
    <t>4.1mgMWCNT/20.1654gsoil</t>
  </si>
  <si>
    <r>
      <t>T</t>
    </r>
    <r>
      <rPr>
        <vertAlign val="subscript"/>
        <sz val="11"/>
        <rFont val="Times New Roman"/>
        <family val="1"/>
      </rPr>
      <t>○</t>
    </r>
    <r>
      <rPr>
        <sz val="11"/>
        <rFont val="Times New Roman"/>
        <family val="1"/>
      </rPr>
      <t xml:space="preserve"> (℃)</t>
    </r>
  </si>
  <si>
    <t>\</t>
  </si>
  <si>
    <t>8.3mgMWCNT/20gsoil</t>
  </si>
  <si>
    <t xml:space="preserve">11/10/2015 microwave response of MWCNT in soil </t>
  </si>
  <si>
    <t>12/5/2015 Microwave response of MWCNT (dispersed by CTAB) in soil (0.1g)</t>
  </si>
  <si>
    <t>12/4/2015 Microwave response of MWCNT (dispersed by CTAB) in soil (0.1g)</t>
  </si>
  <si>
    <t>12/9/2015 Microwave response of MWCNT (dispersed by CTAB) in soil (0.1g)</t>
  </si>
  <si>
    <t>1/6/2016 Microwave response of MWCNT (dispersed by CTAB) in soil (0.1g)</t>
  </si>
  <si>
    <t>1/9/2016 Microwave response of MWCNT (dispersed by CTAB) in soil (0.1g)</t>
  </si>
  <si>
    <t>12/4/2015 Microwaev response of SWCNT  (dispersed by CTAB) in soil (0.1g)</t>
  </si>
  <si>
    <t>SWCNT Mass(mg)</t>
  </si>
  <si>
    <t>0.02ml</t>
  </si>
  <si>
    <t>12/5/2015 Microwaev response of SWCNT  (dispersed by CTAB) in soil (0.1g)</t>
  </si>
  <si>
    <t>1/6/2016 Microwaev response of SWCNT  (dispersed by CTAB) in soil (0.1g)</t>
  </si>
  <si>
    <t>1/9/2016 Microwaev response of SWCNT  (dispersed by CTAB) in soil (0.1g)</t>
  </si>
  <si>
    <t>11/16/2015 Microwave response of MWCNT -COOH (dispersed by CTAB) in soil (0.1g)</t>
  </si>
  <si>
    <t>MWCNT-COOH Dispersion : 0.3mg/mml</t>
  </si>
  <si>
    <t>Sample Mass(g)</t>
  </si>
  <si>
    <t>M-COOH mass(mg)</t>
  </si>
  <si>
    <t>12/2/2015  Microwave response of MWCNT -COOH (dispersed by CTAB) in soil (0.1g)</t>
  </si>
  <si>
    <t>1/6/2016 Microwave response of MWCNT -COOH (dispersed by CTAB) in soil (0.1g)</t>
  </si>
  <si>
    <t>MWCNT-COOH Dispersion : 0.295mg/mml</t>
  </si>
  <si>
    <t>Microwave response of MWCNT -COOH (dispersed by CTAB) in soil (0.1g)</t>
  </si>
  <si>
    <t>0.09mg MWCNT  (Dispersed by CTAB) in 0.13g sand</t>
  </si>
  <si>
    <t>0.09mg SWCNT  (Dispersed by CTAB) in 0.13g sand</t>
  </si>
  <si>
    <t>0.09mg MWCNT-COOH (Dispersed by CTAB) in 0.13g sand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</si>
</sst>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2"/>
      <color theme="1"/>
      <name val="Times New Roman"/>
      <family val="1"/>
    </font>
    <font>
      <vertAlign val="subscript"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0070C0"/>
      <name val="Calibri"/>
      <family val="2"/>
      <scheme val="minor"/>
    </font>
    <font>
      <sz val="12"/>
      <color rgb="FF0070C0"/>
      <name val="Times New Roman"/>
      <family val="1"/>
    </font>
    <font>
      <vertAlign val="subscript"/>
      <sz val="12"/>
      <color rgb="FF0070C0"/>
      <name val="Times New Roman"/>
      <family val="1"/>
    </font>
    <font>
      <sz val="11"/>
      <color rgb="FF0070C0"/>
      <name val="Times New Roman"/>
      <family val="1"/>
    </font>
    <font>
      <sz val="12"/>
      <color rgb="FF00B050"/>
      <name val="Times New Roman"/>
      <family val="1"/>
    </font>
    <font>
      <vertAlign val="subscript"/>
      <sz val="12"/>
      <color rgb="FF00B050"/>
      <name val="Times New Roman"/>
      <family val="1"/>
    </font>
    <font>
      <sz val="11"/>
      <color rgb="FF00B050"/>
      <name val="Times New Roman"/>
      <family val="1"/>
    </font>
    <font>
      <sz val="12"/>
      <color rgb="FF7030A0"/>
      <name val="Times New Roman"/>
      <family val="1"/>
    </font>
    <font>
      <vertAlign val="subscript"/>
      <sz val="12"/>
      <color rgb="FF7030A0"/>
      <name val="Times New Roman"/>
      <family val="1"/>
    </font>
    <font>
      <sz val="11"/>
      <color rgb="FF7030A0"/>
      <name val="Times New Roman"/>
      <family val="1"/>
    </font>
    <font>
      <sz val="11"/>
      <color rgb="FF7030A0"/>
      <name val="Calibri"/>
      <family val="2"/>
      <scheme val="minor"/>
    </font>
    <font>
      <vertAlign val="subscript"/>
      <sz val="11"/>
      <color theme="1"/>
      <name val="Times New Roman"/>
      <family val="1"/>
    </font>
    <font>
      <sz val="11"/>
      <color rgb="FF00B050"/>
      <name val="Calibri"/>
      <family val="2"/>
      <scheme val="minor"/>
    </font>
    <font>
      <sz val="11"/>
      <name val="Times New Roman"/>
      <family val="1"/>
    </font>
    <font>
      <vertAlign val="subscript"/>
      <sz val="12"/>
      <name val="Times New Roman"/>
      <family val="1"/>
    </font>
    <font>
      <sz val="11"/>
      <color theme="1"/>
      <name val="Calibri"/>
      <family val="2"/>
    </font>
    <font>
      <sz val="11"/>
      <color rgb="FF00B0F0"/>
      <name val="Calibri"/>
      <family val="2"/>
      <scheme val="minor"/>
    </font>
    <font>
      <sz val="11"/>
      <color rgb="FF00B0F0"/>
      <name val="Times New Roman"/>
      <family val="1"/>
    </font>
    <font>
      <sz val="11"/>
      <color theme="5"/>
      <name val="Calibri"/>
      <family val="2"/>
      <scheme val="minor"/>
    </font>
    <font>
      <sz val="11"/>
      <color theme="1"/>
      <name val="宋体"/>
      <family val="2"/>
    </font>
    <font>
      <sz val="11"/>
      <name val="宋体"/>
      <family val="2"/>
    </font>
    <font>
      <vertAlign val="subscript"/>
      <sz val="11"/>
      <name val="Times New Roman"/>
      <family val="1"/>
    </font>
    <font>
      <vertAlign val="superscript"/>
      <sz val="11"/>
      <name val="Calibri"/>
      <family val="2"/>
    </font>
    <font>
      <vertAlign val="superscript"/>
      <sz val="11"/>
      <name val="Times New Roman"/>
      <family val="1"/>
    </font>
    <font>
      <vertAlign val="subscript"/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6">
    <xf numFmtId="0" fontId="0" fillId="0" borderId="0" xfId="0"/>
    <xf numFmtId="16" fontId="0" fillId="0" borderId="0" xfId="0" applyNumberFormat="1"/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4" xfId="0" applyBorder="1"/>
    <xf numFmtId="0" fontId="5" fillId="0" borderId="0" xfId="0" applyFont="1"/>
    <xf numFmtId="16" fontId="5" fillId="0" borderId="0" xfId="0" applyNumberFormat="1" applyFont="1"/>
    <xf numFmtId="0" fontId="5" fillId="0" borderId="4" xfId="0" applyFont="1" applyBorder="1"/>
    <xf numFmtId="0" fontId="5" fillId="0" borderId="0" xfId="0" applyFont="1" applyAlignment="1">
      <alignment horizontal="center"/>
    </xf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0" xfId="0" applyFont="1"/>
    <xf numFmtId="0" fontId="2" fillId="0" borderId="9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2" fillId="0" borderId="10" xfId="0" applyFont="1" applyFill="1" applyBorder="1" applyAlignment="1">
      <alignment horizontal="center"/>
    </xf>
    <xf numFmtId="0" fontId="0" fillId="0" borderId="10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2" borderId="0" xfId="0" applyFill="1"/>
    <xf numFmtId="0" fontId="0" fillId="0" borderId="0" xfId="0"/>
    <xf numFmtId="0" fontId="10" fillId="0" borderId="0" xfId="0" applyFont="1" applyBorder="1" applyAlignment="1">
      <alignment horizontal="center"/>
    </xf>
    <xf numFmtId="0" fontId="9" fillId="0" borderId="0" xfId="0" applyFont="1"/>
    <xf numFmtId="0" fontId="7" fillId="0" borderId="0" xfId="0" applyFont="1" applyFill="1" applyBorder="1" applyAlignment="1">
      <alignment horizontal="center"/>
    </xf>
    <xf numFmtId="0" fontId="0" fillId="0" borderId="0" xfId="0"/>
    <xf numFmtId="0" fontId="1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2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2" fillId="0" borderId="0" xfId="0" applyFont="1"/>
    <xf numFmtId="0" fontId="15" fillId="0" borderId="0" xfId="0" applyFont="1"/>
    <xf numFmtId="0" fontId="15" fillId="0" borderId="0" xfId="0" applyFont="1" applyBorder="1"/>
    <xf numFmtId="0" fontId="15" fillId="0" borderId="4" xfId="0" applyFont="1" applyBorder="1"/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5" fillId="0" borderId="0" xfId="0" applyFont="1" applyFill="1" applyBorder="1"/>
    <xf numFmtId="0" fontId="18" fillId="3" borderId="0" xfId="0" applyFont="1" applyFill="1"/>
    <xf numFmtId="0" fontId="5" fillId="0" borderId="0" xfId="0" applyFont="1" applyFill="1"/>
    <xf numFmtId="0" fontId="18" fillId="0" borderId="0" xfId="0" applyFont="1"/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" xfId="0" applyFont="1" applyBorder="1"/>
    <xf numFmtId="0" fontId="5" fillId="4" borderId="0" xfId="0" applyFont="1" applyFill="1"/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1" fillId="0" borderId="0" xfId="0" applyFont="1"/>
    <xf numFmtId="0" fontId="21" fillId="3" borderId="0" xfId="0" applyFont="1" applyFill="1" applyAlignment="1">
      <alignment horizontal="center"/>
    </xf>
    <xf numFmtId="0" fontId="21" fillId="3" borderId="0" xfId="0" applyFont="1" applyFill="1"/>
    <xf numFmtId="0" fontId="21" fillId="0" borderId="10" xfId="0" applyFont="1" applyBorder="1"/>
    <xf numFmtId="0" fontId="21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4" xfId="0" applyFont="1" applyBorder="1"/>
    <xf numFmtId="0" fontId="21" fillId="0" borderId="0" xfId="0" applyFont="1" applyFill="1"/>
    <xf numFmtId="0" fontId="21" fillId="0" borderId="10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18" fillId="0" borderId="10" xfId="0" applyFont="1" applyBorder="1"/>
    <xf numFmtId="0" fontId="0" fillId="0" borderId="0" xfId="0"/>
    <xf numFmtId="0" fontId="0" fillId="0" borderId="0" xfId="0"/>
    <xf numFmtId="0" fontId="5" fillId="5" borderId="0" xfId="0" applyFont="1" applyFill="1"/>
    <xf numFmtId="0" fontId="5" fillId="0" borderId="11" xfId="0" applyFont="1" applyBorder="1" applyAlignment="1">
      <alignment horizontal="center"/>
    </xf>
    <xf numFmtId="0" fontId="5" fillId="0" borderId="5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5" fillId="0" borderId="11" xfId="0" applyFont="1" applyBorder="1"/>
    <xf numFmtId="0" fontId="5" fillId="0" borderId="1" xfId="0" applyFont="1" applyBorder="1"/>
    <xf numFmtId="0" fontId="5" fillId="0" borderId="2" xfId="0" applyFont="1" applyBorder="1"/>
    <xf numFmtId="16" fontId="5" fillId="0" borderId="0" xfId="0" applyNumberFormat="1" applyFont="1" applyFill="1"/>
    <xf numFmtId="0" fontId="18" fillId="0" borderId="0" xfId="0" applyFont="1" applyFill="1"/>
    <xf numFmtId="0" fontId="11" fillId="0" borderId="0" xfId="0" applyFont="1" applyFill="1"/>
    <xf numFmtId="0" fontId="15" fillId="0" borderId="10" xfId="0" applyFont="1" applyBorder="1"/>
    <xf numFmtId="0" fontId="15" fillId="0" borderId="0" xfId="0" applyFont="1" applyFill="1"/>
    <xf numFmtId="0" fontId="13" fillId="0" borderId="6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22" fillId="0" borderId="0" xfId="0" applyFont="1"/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0" xfId="0" applyFont="1"/>
    <xf numFmtId="0" fontId="0" fillId="0" borderId="4" xfId="0" applyFont="1" applyBorder="1"/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24" fillId="0" borderId="0" xfId="0" applyFont="1"/>
    <xf numFmtId="0" fontId="18" fillId="0" borderId="2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0" xfId="0" applyFont="1" applyFill="1"/>
    <xf numFmtId="0" fontId="2" fillId="0" borderId="11" xfId="0" applyFont="1" applyFill="1" applyBorder="1" applyAlignment="1">
      <alignment horizontal="center"/>
    </xf>
    <xf numFmtId="0" fontId="0" fillId="0" borderId="4" xfId="0" applyFont="1" applyFill="1" applyBorder="1"/>
    <xf numFmtId="0" fontId="2" fillId="0" borderId="5" xfId="0" applyFont="1" applyFill="1" applyBorder="1" applyAlignment="1">
      <alignment horizontal="center"/>
    </xf>
    <xf numFmtId="0" fontId="21" fillId="0" borderId="1" xfId="0" applyFont="1" applyBorder="1"/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5" fillId="3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5" fillId="0" borderId="0" xfId="0" applyFont="1"/>
    <xf numFmtId="0" fontId="0" fillId="0" borderId="0" xfId="0"/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7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7" xfId="0" applyFont="1" applyBorder="1" applyAlignment="1">
      <alignment horizontal="center"/>
    </xf>
    <xf numFmtId="16" fontId="15" fillId="0" borderId="0" xfId="0" applyNumberFormat="1" applyFont="1" applyFill="1"/>
    <xf numFmtId="0" fontId="5" fillId="0" borderId="0" xfId="0" applyFont="1" applyBorder="1"/>
    <xf numFmtId="0" fontId="0" fillId="0" borderId="0" xfId="0"/>
    <xf numFmtId="0" fontId="0" fillId="0" borderId="0" xfId="0"/>
    <xf numFmtId="0" fontId="0" fillId="0" borderId="0" xfId="0"/>
    <xf numFmtId="0" fontId="7" fillId="0" borderId="1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7" xfId="0" applyFont="1" applyBorder="1"/>
    <xf numFmtId="0" fontId="25" fillId="0" borderId="13" xfId="0" applyFont="1" applyBorder="1" applyAlignment="1">
      <alignment horizontal="center"/>
    </xf>
    <xf numFmtId="0" fontId="11" fillId="0" borderId="0" xfId="0" applyFont="1" applyBorder="1"/>
    <xf numFmtId="0" fontId="11" fillId="0" borderId="2" xfId="0" applyFont="1" applyBorder="1"/>
    <xf numFmtId="0" fontId="5" fillId="0" borderId="15" xfId="0" applyFont="1" applyBorder="1" applyAlignment="1">
      <alignment horizontal="center"/>
    </xf>
    <xf numFmtId="0" fontId="11" fillId="0" borderId="1" xfId="0" applyFont="1" applyBorder="1"/>
    <xf numFmtId="0" fontId="5" fillId="0" borderId="3" xfId="0" applyFont="1" applyBorder="1"/>
    <xf numFmtId="0" fontId="0" fillId="0" borderId="0" xfId="0"/>
    <xf numFmtId="0" fontId="5" fillId="0" borderId="10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6" fillId="3" borderId="6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21" fillId="0" borderId="2" xfId="0" applyFont="1" applyBorder="1"/>
    <xf numFmtId="0" fontId="21" fillId="0" borderId="3" xfId="0" applyFont="1" applyBorder="1"/>
    <xf numFmtId="0" fontId="15" fillId="0" borderId="9" xfId="0" applyFont="1" applyBorder="1"/>
    <xf numFmtId="0" fontId="15" fillId="0" borderId="11" xfId="0" applyFont="1" applyBorder="1"/>
    <xf numFmtId="0" fontId="15" fillId="0" borderId="1" xfId="0" applyFont="1" applyBorder="1"/>
    <xf numFmtId="0" fontId="15" fillId="0" borderId="2" xfId="0" applyFont="1" applyBorder="1"/>
    <xf numFmtId="0" fontId="15" fillId="0" borderId="3" xfId="0" applyFont="1" applyBorder="1"/>
    <xf numFmtId="0" fontId="15" fillId="0" borderId="5" xfId="0" applyFont="1" applyBorder="1"/>
    <xf numFmtId="0" fontId="27" fillId="0" borderId="0" xfId="0" applyFont="1" applyFill="1" applyBorder="1"/>
    <xf numFmtId="0" fontId="21" fillId="0" borderId="0" xfId="0" applyFont="1" applyFill="1" applyBorder="1"/>
    <xf numFmtId="0" fontId="21" fillId="0" borderId="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18" fillId="0" borderId="0" xfId="0" applyFont="1" applyFill="1" applyBorder="1"/>
    <xf numFmtId="0" fontId="25" fillId="0" borderId="1" xfId="0" applyFont="1" applyBorder="1"/>
    <xf numFmtId="0" fontId="25" fillId="0" borderId="0" xfId="0" applyFont="1" applyBorder="1"/>
    <xf numFmtId="0" fontId="25" fillId="0" borderId="2" xfId="0" applyFont="1" applyBorder="1"/>
    <xf numFmtId="0" fontId="25" fillId="0" borderId="3" xfId="0" applyFont="1" applyBorder="1"/>
    <xf numFmtId="0" fontId="25" fillId="0" borderId="4" xfId="0" applyFont="1" applyBorder="1"/>
    <xf numFmtId="0" fontId="25" fillId="0" borderId="5" xfId="0" applyFont="1" applyBorder="1"/>
    <xf numFmtId="0" fontId="25" fillId="0" borderId="10" xfId="0" applyFont="1" applyBorder="1"/>
    <xf numFmtId="0" fontId="25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0" fillId="0" borderId="0" xfId="0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7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4" fontId="0" fillId="0" borderId="0" xfId="0" applyNumberFormat="1"/>
    <xf numFmtId="14" fontId="9" fillId="0" borderId="0" xfId="0" applyNumberFormat="1" applyFont="1"/>
    <xf numFmtId="0" fontId="0" fillId="0" borderId="0" xfId="0"/>
    <xf numFmtId="0" fontId="5" fillId="2" borderId="0" xfId="0" applyFont="1" applyFill="1"/>
    <xf numFmtId="0" fontId="0" fillId="0" borderId="0" xfId="0"/>
    <xf numFmtId="0" fontId="0" fillId="0" borderId="0" xfId="0"/>
    <xf numFmtId="0" fontId="21" fillId="0" borderId="10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5" fillId="3" borderId="6" xfId="0" applyFont="1" applyFill="1" applyBorder="1"/>
    <xf numFmtId="0" fontId="9" fillId="3" borderId="0" xfId="0" applyFont="1" applyFill="1"/>
    <xf numFmtId="0" fontId="28" fillId="0" borderId="0" xfId="0" applyFont="1"/>
    <xf numFmtId="0" fontId="28" fillId="3" borderId="0" xfId="0" applyFont="1" applyFill="1"/>
    <xf numFmtId="0" fontId="29" fillId="0" borderId="0" xfId="0" applyFont="1"/>
    <xf numFmtId="0" fontId="25" fillId="0" borderId="0" xfId="0" applyFont="1" applyFill="1"/>
    <xf numFmtId="16" fontId="25" fillId="0" borderId="0" xfId="0" applyNumberFormat="1" applyFont="1"/>
    <xf numFmtId="0" fontId="25" fillId="3" borderId="0" xfId="0" applyFont="1" applyFill="1"/>
    <xf numFmtId="0" fontId="15" fillId="0" borderId="0" xfId="0" applyFont="1" applyFill="1" applyBorder="1"/>
    <xf numFmtId="0" fontId="8" fillId="3" borderId="0" xfId="0" applyFont="1" applyFill="1"/>
    <xf numFmtId="0" fontId="30" fillId="0" borderId="0" xfId="0" applyFont="1"/>
    <xf numFmtId="0" fontId="30" fillId="3" borderId="0" xfId="0" applyFont="1" applyFill="1"/>
    <xf numFmtId="0" fontId="5" fillId="0" borderId="11" xfId="0" applyFont="1" applyFill="1" applyBorder="1"/>
    <xf numFmtId="0" fontId="5" fillId="0" borderId="2" xfId="0" applyFont="1" applyFill="1" applyBorder="1"/>
    <xf numFmtId="0" fontId="5" fillId="0" borderId="5" xfId="0" applyFont="1" applyFill="1" applyBorder="1"/>
    <xf numFmtId="0" fontId="0" fillId="0" borderId="0" xfId="0"/>
    <xf numFmtId="0" fontId="25" fillId="0" borderId="9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" fontId="25" fillId="2" borderId="0" xfId="0" applyNumberFormat="1" applyFont="1" applyFill="1"/>
    <xf numFmtId="0" fontId="25" fillId="2" borderId="0" xfId="0" applyFont="1" applyFill="1"/>
    <xf numFmtId="0" fontId="10" fillId="0" borderId="0" xfId="0" applyFont="1" applyFill="1" applyBorder="1" applyAlignment="1">
      <alignment horizontal="center"/>
    </xf>
    <xf numFmtId="16" fontId="0" fillId="2" borderId="0" xfId="0" applyNumberFormat="1" applyFill="1"/>
    <xf numFmtId="16" fontId="5" fillId="2" borderId="0" xfId="0" applyNumberFormat="1" applyFont="1" applyFill="1"/>
    <xf numFmtId="0" fontId="8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10" xfId="0" applyFont="1" applyFill="1" applyBorder="1"/>
    <xf numFmtId="0" fontId="25" fillId="0" borderId="6" xfId="0" applyFont="1" applyBorder="1"/>
    <xf numFmtId="0" fontId="25" fillId="0" borderId="7" xfId="0" applyFont="1" applyBorder="1"/>
    <xf numFmtId="0" fontId="25" fillId="0" borderId="8" xfId="0" applyFont="1" applyBorder="1"/>
    <xf numFmtId="14" fontId="5" fillId="2" borderId="0" xfId="0" applyNumberFormat="1" applyFont="1" applyFill="1"/>
    <xf numFmtId="0" fontId="27" fillId="0" borderId="0" xfId="0" applyFont="1"/>
    <xf numFmtId="0" fontId="7" fillId="0" borderId="1" xfId="0" applyFont="1" applyFill="1" applyBorder="1" applyAlignment="1">
      <alignment horizontal="center"/>
    </xf>
    <xf numFmtId="0" fontId="7" fillId="0" borderId="0" xfId="0" applyFont="1" applyBorder="1"/>
    <xf numFmtId="0" fontId="25" fillId="0" borderId="1" xfId="0" applyFont="1" applyFill="1" applyBorder="1" applyAlignment="1">
      <alignment horizontal="center"/>
    </xf>
    <xf numFmtId="0" fontId="0" fillId="0" borderId="0" xfId="0" applyAlignment="1"/>
    <xf numFmtId="0" fontId="25" fillId="0" borderId="6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0" fontId="0" fillId="0" borderId="0" xfId="0" applyFill="1"/>
    <xf numFmtId="0" fontId="8" fillId="0" borderId="10" xfId="0" applyFont="1" applyBorder="1"/>
    <xf numFmtId="0" fontId="7" fillId="0" borderId="4" xfId="0" applyFont="1" applyBorder="1" applyAlignment="1">
      <alignment horizontal="center"/>
    </xf>
    <xf numFmtId="0" fontId="8" fillId="0" borderId="4" xfId="0" applyFont="1" applyBorder="1"/>
    <xf numFmtId="0" fontId="25" fillId="4" borderId="0" xfId="0" applyFont="1" applyFill="1"/>
    <xf numFmtId="0" fontId="25" fillId="0" borderId="2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0" borderId="0" xfId="0" applyFont="1" applyFill="1"/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5" fillId="3" borderId="0" xfId="0" applyFont="1" applyFill="1" applyAlignment="1">
      <alignment horizontal="center"/>
    </xf>
    <xf numFmtId="0" fontId="18" fillId="2" borderId="0" xfId="0" applyFont="1" applyFill="1"/>
    <xf numFmtId="14" fontId="8" fillId="0" borderId="0" xfId="0" applyNumberFormat="1" applyFont="1" applyAlignment="1">
      <alignment horizontal="center"/>
    </xf>
    <xf numFmtId="0" fontId="24" fillId="0" borderId="0" xfId="0" applyFont="1" applyBorder="1"/>
    <xf numFmtId="0" fontId="8" fillId="0" borderId="4" xfId="0" applyFont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4" fontId="0" fillId="2" borderId="0" xfId="0" applyNumberFormat="1" applyFill="1"/>
    <xf numFmtId="0" fontId="8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MWCNT-Soil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190416987350264E-2"/>
          <c:y val="6.5905210124596506E-2"/>
          <c:w val="0.86107355001677421"/>
          <c:h val="0.7923142585900167"/>
        </c:manualLayout>
      </c:layout>
      <c:scatterChart>
        <c:scatterStyle val="lineMarker"/>
        <c:varyColors val="0"/>
        <c:ser>
          <c:idx val="0"/>
          <c:order val="0"/>
          <c:tx>
            <c:strRef>
              <c:f>Plot!$E$8</c:f>
              <c:strCache>
                <c:ptCount val="1"/>
                <c:pt idx="0">
                  <c:v>100W, 20s</c:v>
                </c:pt>
              </c:strCache>
              <c:extLst xmlns:c15="http://schemas.microsoft.com/office/drawing/2012/chart"/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4396312941009558"/>
                  <c:y val="0.1391060160033187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Plot!$D$9:$D$18</c:f>
              <c:numCache>
                <c:formatCode>General</c:formatCode>
                <c:ptCount val="10"/>
                <c:pt idx="0">
                  <c:v>0</c:v>
                </c:pt>
                <c:pt idx="1">
                  <c:v>8.9999999999999993E-3</c:v>
                </c:pt>
                <c:pt idx="2">
                  <c:v>2.8700000000000003E-2</c:v>
                </c:pt>
                <c:pt idx="3">
                  <c:v>4.2350000000000006E-2</c:v>
                </c:pt>
                <c:pt idx="4">
                  <c:v>5.5024875621890554E-2</c:v>
                </c:pt>
                <c:pt idx="5">
                  <c:v>6.8950000000000011E-2</c:v>
                </c:pt>
                <c:pt idx="6">
                  <c:v>9.4500000000000001E-2</c:v>
                </c:pt>
                <c:pt idx="7">
                  <c:v>0.1575</c:v>
                </c:pt>
                <c:pt idx="8">
                  <c:v>0.252</c:v>
                </c:pt>
                <c:pt idx="9">
                  <c:v>0.24</c:v>
                </c:pt>
              </c:numCache>
            </c:numRef>
          </c:xVal>
          <c:yVal>
            <c:numRef>
              <c:f>Plot!$E$9:$E$18</c:f>
              <c:numCache>
                <c:formatCode>General</c:formatCode>
                <c:ptCount val="10"/>
                <c:pt idx="0">
                  <c:v>1.1736471028352085</c:v>
                </c:pt>
                <c:pt idx="1">
                  <c:v>1.3343413700000002</c:v>
                </c:pt>
                <c:pt idx="2">
                  <c:v>1.7249762758929506</c:v>
                </c:pt>
                <c:pt idx="3">
                  <c:v>2.1662460608207272</c:v>
                </c:pt>
                <c:pt idx="4">
                  <c:v>2.3988182980577211</c:v>
                </c:pt>
                <c:pt idx="5">
                  <c:v>2.9044557578362702</c:v>
                </c:pt>
                <c:pt idx="6">
                  <c:v>3.8242827061451239</c:v>
                </c:pt>
                <c:pt idx="7">
                  <c:v>5.3535144661451257</c:v>
                </c:pt>
                <c:pt idx="8">
                  <c:v>8.3053722468802693</c:v>
                </c:pt>
                <c:pt idx="9">
                  <c:v>7.9320968899999977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51-4B1C-8BA9-D527DB94801B}"/>
            </c:ext>
          </c:extLst>
        </c:ser>
        <c:ser>
          <c:idx val="1"/>
          <c:order val="1"/>
          <c:tx>
            <c:strRef>
              <c:f>Plot!$F$8</c:f>
              <c:strCache>
                <c:ptCount val="1"/>
                <c:pt idx="0">
                  <c:v>133W, 15s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4502301282292017"/>
                  <c:y val="-3.68433733017415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xVal>
            <c:numRef>
              <c:f>Plot!$D$9:$D$18</c:f>
              <c:numCache>
                <c:formatCode>General</c:formatCode>
                <c:ptCount val="10"/>
                <c:pt idx="0">
                  <c:v>0</c:v>
                </c:pt>
                <c:pt idx="1">
                  <c:v>8.9999999999999993E-3</c:v>
                </c:pt>
                <c:pt idx="2">
                  <c:v>2.8700000000000003E-2</c:v>
                </c:pt>
                <c:pt idx="3">
                  <c:v>4.2350000000000006E-2</c:v>
                </c:pt>
                <c:pt idx="4">
                  <c:v>5.5024875621890554E-2</c:v>
                </c:pt>
                <c:pt idx="5">
                  <c:v>6.8950000000000011E-2</c:v>
                </c:pt>
                <c:pt idx="6">
                  <c:v>9.4500000000000001E-2</c:v>
                </c:pt>
                <c:pt idx="7">
                  <c:v>0.1575</c:v>
                </c:pt>
                <c:pt idx="8">
                  <c:v>0.252</c:v>
                </c:pt>
                <c:pt idx="9">
                  <c:v>0.24</c:v>
                </c:pt>
              </c:numCache>
            </c:numRef>
          </c:xVal>
          <c:yVal>
            <c:numRef>
              <c:f>Plot!$F$9:$F$18</c:f>
              <c:numCache>
                <c:formatCode>General</c:formatCode>
                <c:ptCount val="10"/>
                <c:pt idx="0">
                  <c:v>1.2189262999999999</c:v>
                </c:pt>
                <c:pt idx="1">
                  <c:v>1.501973349933948</c:v>
                </c:pt>
                <c:pt idx="2">
                  <c:v>2.0481225419709475</c:v>
                </c:pt>
                <c:pt idx="3">
                  <c:v>2.5521958597169974</c:v>
                </c:pt>
                <c:pt idx="4">
                  <c:v>2.9010495749029461</c:v>
                </c:pt>
                <c:pt idx="5">
                  <c:v>3.2101067674293811</c:v>
                </c:pt>
                <c:pt idx="6">
                  <c:v>3.8376194285714256</c:v>
                </c:pt>
                <c:pt idx="7">
                  <c:v>6.4598465047638811</c:v>
                </c:pt>
                <c:pt idx="8">
                  <c:v>9.4272762267992505</c:v>
                </c:pt>
                <c:pt idx="9">
                  <c:v>8.3698891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51-4B1C-8BA9-D527DB948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8798744"/>
        <c:axId val="46858697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Plot!$J$8</c15:sqref>
                        </c15:formulaRef>
                      </c:ext>
                    </c:extLst>
                    <c:strCache>
                      <c:ptCount val="1"/>
                      <c:pt idx="0">
                        <c:v>100W, 20s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6"/>
                  <c:spPr>
                    <a:solidFill>
                      <a:srgbClr val="7030A0"/>
                    </a:solidFill>
                    <a:ln w="9525">
                      <a:solidFill>
                        <a:schemeClr val="accent6">
                          <a:lumMod val="75000"/>
                        </a:schemeClr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rgbClr val="7030A0"/>
                      </a:solidFill>
                      <a:prstDash val="solid"/>
                    </a:ln>
                    <a:effectLst/>
                  </c:spPr>
                  <c:trendlineType val="linear"/>
                  <c:intercept val="0"/>
                  <c:dispRSqr val="1"/>
                  <c:dispEq val="1"/>
                  <c:trendlineLbl>
                    <c:layout>
                      <c:manualLayout>
                        <c:x val="-0.12207492662979491"/>
                        <c:y val="0.35696016721314089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11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Plot!$D$9:$D$18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8.9999999999999993E-3</c:v>
                      </c:pt>
                      <c:pt idx="2">
                        <c:v>2.8700000000000003E-2</c:v>
                      </c:pt>
                      <c:pt idx="3">
                        <c:v>4.2350000000000006E-2</c:v>
                      </c:pt>
                      <c:pt idx="4">
                        <c:v>5.5024875621890554E-2</c:v>
                      </c:pt>
                      <c:pt idx="5">
                        <c:v>6.8950000000000011E-2</c:v>
                      </c:pt>
                      <c:pt idx="6">
                        <c:v>9.4500000000000001E-2</c:v>
                      </c:pt>
                      <c:pt idx="7">
                        <c:v>0.1575</c:v>
                      </c:pt>
                      <c:pt idx="8">
                        <c:v>0.252</c:v>
                      </c:pt>
                      <c:pt idx="9">
                        <c:v>0.24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Plot!$J$9:$J$18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0.16069426716479174</c:v>
                      </c:pt>
                      <c:pt idx="2">
                        <c:v>0.55132917305774209</c:v>
                      </c:pt>
                      <c:pt idx="3">
                        <c:v>0.99259895798551878</c:v>
                      </c:pt>
                      <c:pt idx="4">
                        <c:v>1.2251711952225126</c:v>
                      </c:pt>
                      <c:pt idx="5">
                        <c:v>1.7308086550010617</c:v>
                      </c:pt>
                      <c:pt idx="7">
                        <c:v>4.179867363309917</c:v>
                      </c:pt>
                      <c:pt idx="8">
                        <c:v>7.1317251440450606</c:v>
                      </c:pt>
                      <c:pt idx="9">
                        <c:v>6.7584497871647891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4051-4B1C-8BA9-D527DB94801B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Plot!$H$8</c15:sqref>
                        </c15:formulaRef>
                      </c:ext>
                    </c:extLst>
                    <c:strCache>
                      <c:ptCount val="1"/>
                      <c:pt idx="0">
                        <c:v>130W, 20s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triangle"/>
                  <c:size val="6"/>
                  <c:spPr>
                    <a:solidFill>
                      <a:schemeClr val="accent6">
                        <a:lumMod val="75000"/>
                      </a:schemeClr>
                    </a:solidFill>
                    <a:ln w="9525">
                      <a:solidFill>
                        <a:schemeClr val="accent6">
                          <a:lumMod val="75000"/>
                        </a:schemeClr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6">
                          <a:lumMod val="75000"/>
                        </a:schemeClr>
                      </a:solidFill>
                      <a:prstDash val="solid"/>
                    </a:ln>
                    <a:effectLst/>
                  </c:spPr>
                  <c:trendlineType val="linear"/>
                  <c:intercept val="0"/>
                  <c:dispRSqr val="1"/>
                  <c:dispEq val="1"/>
                  <c:trendlineLbl>
                    <c:layout>
                      <c:manualLayout>
                        <c:x val="0.30509978705492002"/>
                        <c:y val="1.8255347391920838E-2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11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Plot!$D$9:$D$17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8.9999999999999993E-3</c:v>
                      </c:pt>
                      <c:pt idx="2">
                        <c:v>2.8700000000000003E-2</c:v>
                      </c:pt>
                      <c:pt idx="3">
                        <c:v>4.2350000000000006E-2</c:v>
                      </c:pt>
                      <c:pt idx="4">
                        <c:v>5.5024875621890554E-2</c:v>
                      </c:pt>
                      <c:pt idx="5">
                        <c:v>6.8950000000000011E-2</c:v>
                      </c:pt>
                      <c:pt idx="6">
                        <c:v>9.4500000000000001E-2</c:v>
                      </c:pt>
                      <c:pt idx="7">
                        <c:v>0.1575</c:v>
                      </c:pt>
                      <c:pt idx="8">
                        <c:v>0.252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Plot!$L$9:$L$17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0.28304704993394814</c:v>
                      </c:pt>
                      <c:pt idx="2">
                        <c:v>0.82919624197094777</c:v>
                      </c:pt>
                      <c:pt idx="3">
                        <c:v>1.3332695597169972</c:v>
                      </c:pt>
                      <c:pt idx="4">
                        <c:v>1.682123274902946</c:v>
                      </c:pt>
                      <c:pt idx="5">
                        <c:v>1.9911804674293809</c:v>
                      </c:pt>
                      <c:pt idx="7">
                        <c:v>5.2409202047638814</c:v>
                      </c:pt>
                      <c:pt idx="8">
                        <c:v>9.4083499267992483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051-4B1C-8BA9-D527DB94801B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Plot!$I$8</c15:sqref>
                        </c15:formulaRef>
                      </c:ext>
                    </c:extLst>
                    <c:strCache>
                      <c:ptCount val="1"/>
                      <c:pt idx="0">
                        <c:v>130W, 30s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square"/>
                  <c:size val="6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5"/>
                      </a:solidFill>
                      <a:prstDash val="solid"/>
                    </a:ln>
                    <a:effectLst/>
                  </c:spPr>
                  <c:trendlineType val="linear"/>
                  <c:intercept val="0"/>
                  <c:dispRSqr val="1"/>
                  <c:dispEq val="1"/>
                  <c:trendlineLbl>
                    <c:layout>
                      <c:manualLayout>
                        <c:x val="-0.26236036687974185"/>
                        <c:y val="7.9991384055716444E-2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11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Plot!$D$9:$D$17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8.9999999999999993E-3</c:v>
                      </c:pt>
                      <c:pt idx="2">
                        <c:v>2.8700000000000003E-2</c:v>
                      </c:pt>
                      <c:pt idx="3">
                        <c:v>4.2350000000000006E-2</c:v>
                      </c:pt>
                      <c:pt idx="4">
                        <c:v>5.5024875621890554E-2</c:v>
                      </c:pt>
                      <c:pt idx="5">
                        <c:v>6.8950000000000011E-2</c:v>
                      </c:pt>
                      <c:pt idx="6">
                        <c:v>9.4500000000000001E-2</c:v>
                      </c:pt>
                      <c:pt idx="7">
                        <c:v>0.1575</c:v>
                      </c:pt>
                      <c:pt idx="8">
                        <c:v>0.252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Plot!$M$9:$M$17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0.36328787232850046</c:v>
                      </c:pt>
                      <c:pt idx="2">
                        <c:v>1.1426874297174379</c:v>
                      </c:pt>
                      <c:pt idx="3">
                        <c:v>1.3653806311348713</c:v>
                      </c:pt>
                      <c:pt idx="4">
                        <c:v>1.921376523331664</c:v>
                      </c:pt>
                      <c:pt idx="5">
                        <c:v>2.4413447623285007</c:v>
                      </c:pt>
                      <c:pt idx="7">
                        <c:v>5.8112073924175993</c:v>
                      </c:pt>
                      <c:pt idx="8">
                        <c:v>9.0961590670514578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051-4B1C-8BA9-D527DB94801B}"/>
                  </c:ext>
                </c:extLst>
              </c15:ser>
            </c15:filteredScatterSeries>
            <c15:filteredScatterSeries>
              <c15:ser>
                <c:idx val="5"/>
                <c:order val="5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linear"/>
                  <c:intercept val="0"/>
                  <c:dispRSqr val="1"/>
                  <c:dispEq val="1"/>
                  <c:trendlineLbl>
                    <c:layout>
                      <c:manualLayout>
                        <c:x val="-9.5517497812773397E-2"/>
                        <c:y val="-1.2369143512233385E-4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11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Plot!$O$9:$O$13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1.0500000000000001E-2</c:v>
                      </c:pt>
                      <c:pt idx="2">
                        <c:v>0.03</c:v>
                      </c:pt>
                      <c:pt idx="3">
                        <c:v>0.06</c:v>
                      </c:pt>
                      <c:pt idx="4">
                        <c:v>0.09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Plot!$T$9:$T$12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0.18789485993394783</c:v>
                      </c:pt>
                      <c:pt idx="2">
                        <c:v>0.54066085993394797</c:v>
                      </c:pt>
                      <c:pt idx="3">
                        <c:v>0.94563196993394971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051-4B1C-8BA9-D527DB94801B}"/>
                  </c:ext>
                </c:extLst>
              </c15:ser>
            </c15:filteredScatterSeries>
            <c15:filteredScatterSeries>
              <c15:ser>
                <c:idx val="6"/>
                <c:order val="6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1">
                          <a:lumMod val="60000"/>
                        </a:schemeClr>
                      </a:solidFill>
                      <a:prstDash val="sysDot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-0.39694663167104111"/>
                        <c:y val="5.6700153860077838E-2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11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Plot!$D$9:$D$14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8.9999999999999993E-3</c:v>
                      </c:pt>
                      <c:pt idx="2">
                        <c:v>2.8700000000000003E-2</c:v>
                      </c:pt>
                      <c:pt idx="3">
                        <c:v>4.2350000000000006E-2</c:v>
                      </c:pt>
                      <c:pt idx="4">
                        <c:v>5.5024875621890554E-2</c:v>
                      </c:pt>
                      <c:pt idx="5">
                        <c:v>6.8950000000000011E-2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Plot!$M$9:$M$13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0.36328787232850046</c:v>
                      </c:pt>
                      <c:pt idx="2">
                        <c:v>1.1426874297174379</c:v>
                      </c:pt>
                      <c:pt idx="3">
                        <c:v>1.3653806311348713</c:v>
                      </c:pt>
                      <c:pt idx="4">
                        <c:v>1.921376523331664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051-4B1C-8BA9-D527DB94801B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Plot!$I$8</c15:sqref>
                        </c15:formulaRef>
                      </c:ext>
                    </c:extLst>
                    <c:strCache>
                      <c:ptCount val="1"/>
                      <c:pt idx="0">
                        <c:v>130W, 30s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square"/>
                  <c:size val="6"/>
                  <c:spPr>
                    <a:solidFill>
                      <a:srgbClr val="00B050"/>
                    </a:solidFill>
                    <a:ln w="12700">
                      <a:solidFill>
                        <a:srgbClr val="00B050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rgbClr val="00B050"/>
                      </a:solidFill>
                      <a:prstDash val="solid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-0.43146964397502829"/>
                        <c:y val="-4.7798706012812227E-2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11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Plot!$D$9:$D$17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8.9999999999999993E-3</c:v>
                      </c:pt>
                      <c:pt idx="2">
                        <c:v>2.8700000000000003E-2</c:v>
                      </c:pt>
                      <c:pt idx="3">
                        <c:v>4.2350000000000006E-2</c:v>
                      </c:pt>
                      <c:pt idx="4">
                        <c:v>5.5024875621890554E-2</c:v>
                      </c:pt>
                      <c:pt idx="5">
                        <c:v>6.8950000000000011E-2</c:v>
                      </c:pt>
                      <c:pt idx="6">
                        <c:v>9.4500000000000001E-2</c:v>
                      </c:pt>
                      <c:pt idx="7">
                        <c:v>0.1575</c:v>
                      </c:pt>
                      <c:pt idx="8">
                        <c:v>0.252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Plot!$I$9:$I$17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1.6263052376714999</c:v>
                      </c:pt>
                      <c:pt idx="1">
                        <c:v>1.9895931100000004</c:v>
                      </c:pt>
                      <c:pt idx="2">
                        <c:v>2.7689926673889378</c:v>
                      </c:pt>
                      <c:pt idx="3">
                        <c:v>2.9916858688063712</c:v>
                      </c:pt>
                      <c:pt idx="4">
                        <c:v>3.5476817610031639</c:v>
                      </c:pt>
                      <c:pt idx="5">
                        <c:v>4.0676500000000004</c:v>
                      </c:pt>
                      <c:pt idx="6">
                        <c:v>5.4744564489795904</c:v>
                      </c:pt>
                      <c:pt idx="7">
                        <c:v>7.437512630089099</c:v>
                      </c:pt>
                      <c:pt idx="8">
                        <c:v>10.722464304722958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051-4B1C-8BA9-D527DB94801B}"/>
                  </c:ext>
                </c:extLst>
              </c15:ser>
            </c15:filteredScatterSeries>
          </c:ext>
        </c:extLst>
      </c:scatterChart>
      <c:valAx>
        <c:axId val="638798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CNT</a:t>
                </a:r>
                <a:r>
                  <a:rPr lang="en-US" baseline="0"/>
                  <a:t> Mass (mg)</a:t>
                </a:r>
              </a:p>
            </c:rich>
          </c:tx>
          <c:layout>
            <c:manualLayout>
              <c:xMode val="edge"/>
              <c:yMode val="edge"/>
              <c:x val="0.41927318460192475"/>
              <c:y val="0.927569262175561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8586976"/>
        <c:crosses val="autoZero"/>
        <c:crossBetween val="midCat"/>
      </c:valAx>
      <c:valAx>
        <c:axId val="46858697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∆T(○C)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387987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9355042873470141"/>
          <c:y val="0.63780261509864455"/>
          <c:w val="0.27364771963679602"/>
          <c:h val="0.21955149223368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50"/>
              <a:t>a)</a:t>
            </a:r>
          </a:p>
        </c:rich>
      </c:tx>
      <c:layout>
        <c:manualLayout>
          <c:xMode val="edge"/>
          <c:yMode val="edge"/>
          <c:x val="2.7290166710812716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302626544770584"/>
          <c:y val="5.0925925925925923E-2"/>
          <c:w val="0.81008485368992489"/>
          <c:h val="0.76722951297754427"/>
        </c:manualLayout>
      </c:layout>
      <c:scatterChart>
        <c:scatterStyle val="lineMarker"/>
        <c:varyColors val="0"/>
        <c:ser>
          <c:idx val="0"/>
          <c:order val="0"/>
          <c:tx>
            <c:strRef>
              <c:f>IC!$Z$6</c:f>
              <c:strCache>
                <c:ptCount val="1"/>
                <c:pt idx="0">
                  <c:v>MWCNT+Soil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IC!$AA$7:$AA$11</c:f>
                <c:numCache>
                  <c:formatCode>General</c:formatCode>
                  <c:ptCount val="5"/>
                  <c:pt idx="0">
                    <c:v>0.108745861</c:v>
                  </c:pt>
                  <c:pt idx="1">
                    <c:v>9.355022715118174E-3</c:v>
                  </c:pt>
                  <c:pt idx="2">
                    <c:v>0.11417244488099849</c:v>
                  </c:pt>
                  <c:pt idx="3">
                    <c:v>0.11933538554304808</c:v>
                  </c:pt>
                  <c:pt idx="4">
                    <c:v>0.12286740645926789</c:v>
                  </c:pt>
                </c:numCache>
              </c:numRef>
            </c:plus>
            <c:minus>
              <c:numRef>
                <c:f>IC!$AA$7:$AA$11</c:f>
                <c:numCache>
                  <c:formatCode>General</c:formatCode>
                  <c:ptCount val="5"/>
                  <c:pt idx="0">
                    <c:v>0.108745861</c:v>
                  </c:pt>
                  <c:pt idx="1">
                    <c:v>9.355022715118174E-3</c:v>
                  </c:pt>
                  <c:pt idx="2">
                    <c:v>0.11417244488099849</c:v>
                  </c:pt>
                  <c:pt idx="3">
                    <c:v>0.11933538554304808</c:v>
                  </c:pt>
                  <c:pt idx="4">
                    <c:v>0.12286740645926789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5"/>
                </a:solidFill>
                <a:round/>
              </a:ln>
              <a:effectLst/>
            </c:spPr>
          </c:errBars>
          <c:xVal>
            <c:numRef>
              <c:f>IC!$W$7:$W$11</c:f>
              <c:numCache>
                <c:formatCode>General</c:formatCode>
                <c:ptCount val="5"/>
                <c:pt idx="0">
                  <c:v>0</c:v>
                </c:pt>
                <c:pt idx="1">
                  <c:v>0.67924528301886788</c:v>
                </c:pt>
                <c:pt idx="2">
                  <c:v>2.0377358490566038</c:v>
                </c:pt>
                <c:pt idx="3">
                  <c:v>4.0754716981132075</c:v>
                </c:pt>
                <c:pt idx="4">
                  <c:v>6.7924528301886795</c:v>
                </c:pt>
              </c:numCache>
            </c:numRef>
          </c:xVal>
          <c:yVal>
            <c:numRef>
              <c:f>IC!$Z$7:$Z$11</c:f>
              <c:numCache>
                <c:formatCode>General</c:formatCode>
                <c:ptCount val="5"/>
                <c:pt idx="0">
                  <c:v>3.7036804057500001</c:v>
                </c:pt>
                <c:pt idx="1">
                  <c:v>3.7618756891148841</c:v>
                </c:pt>
                <c:pt idx="2">
                  <c:v>3.710838390000001</c:v>
                </c:pt>
                <c:pt idx="3">
                  <c:v>3.7317093133333352</c:v>
                </c:pt>
                <c:pt idx="4">
                  <c:v>3.7022175162941533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37-4D43-B267-17279C64CFC5}"/>
            </c:ext>
          </c:extLst>
        </c:ser>
        <c:ser>
          <c:idx val="1"/>
          <c:order val="1"/>
          <c:tx>
            <c:strRef>
              <c:f>IC!$AB$6</c:f>
              <c:strCache>
                <c:ptCount val="1"/>
                <c:pt idx="0">
                  <c:v>SWCNT+Soil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IC!$AC$7:$AC$11</c:f>
                <c:numCache>
                  <c:formatCode>General</c:formatCode>
                  <c:ptCount val="5"/>
                  <c:pt idx="0">
                    <c:v>2.1393809457122701E-2</c:v>
                  </c:pt>
                  <c:pt idx="1">
                    <c:v>7.7283177932335453E-2</c:v>
                  </c:pt>
                  <c:pt idx="2">
                    <c:v>0.10900272073570223</c:v>
                  </c:pt>
                  <c:pt idx="3">
                    <c:v>7.5320484001906302E-2</c:v>
                  </c:pt>
                  <c:pt idx="4">
                    <c:v>1.0434859622782729E-2</c:v>
                  </c:pt>
                </c:numCache>
              </c:numRef>
            </c:plus>
            <c:minus>
              <c:numRef>
                <c:f>IC!$AC$7:$AC$11</c:f>
                <c:numCache>
                  <c:formatCode>General</c:formatCode>
                  <c:ptCount val="5"/>
                  <c:pt idx="0">
                    <c:v>2.1393809457122701E-2</c:v>
                  </c:pt>
                  <c:pt idx="1">
                    <c:v>7.7283177932335453E-2</c:v>
                  </c:pt>
                  <c:pt idx="2">
                    <c:v>0.10900272073570223</c:v>
                  </c:pt>
                  <c:pt idx="3">
                    <c:v>7.5320484001906302E-2</c:v>
                  </c:pt>
                  <c:pt idx="4">
                    <c:v>1.0434859622782729E-2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IC!$W$7:$W$11</c:f>
              <c:numCache>
                <c:formatCode>General</c:formatCode>
                <c:ptCount val="5"/>
                <c:pt idx="0">
                  <c:v>0</c:v>
                </c:pt>
                <c:pt idx="1">
                  <c:v>0.67924528301886788</c:v>
                </c:pt>
                <c:pt idx="2">
                  <c:v>2.0377358490566038</c:v>
                </c:pt>
                <c:pt idx="3">
                  <c:v>4.0754716981132075</c:v>
                </c:pt>
                <c:pt idx="4">
                  <c:v>6.7924528301886795</c:v>
                </c:pt>
              </c:numCache>
            </c:numRef>
          </c:xVal>
          <c:yVal>
            <c:numRef>
              <c:f>IC!$AB$7:$AB$11</c:f>
              <c:numCache>
                <c:formatCode>General</c:formatCode>
                <c:ptCount val="5"/>
                <c:pt idx="0">
                  <c:v>3.1195788430000002</c:v>
                </c:pt>
                <c:pt idx="1">
                  <c:v>3.0262137806035998</c:v>
                </c:pt>
                <c:pt idx="2">
                  <c:v>3.1326726469999997</c:v>
                </c:pt>
                <c:pt idx="3">
                  <c:v>3.1828639150000004</c:v>
                </c:pt>
                <c:pt idx="4">
                  <c:v>3.149459499999999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37-4D43-B267-17279C64CFC5}"/>
            </c:ext>
          </c:extLst>
        </c:ser>
        <c:ser>
          <c:idx val="2"/>
          <c:order val="2"/>
          <c:tx>
            <c:strRef>
              <c:f>IC!$AD$6</c:f>
              <c:strCache>
                <c:ptCount val="1"/>
                <c:pt idx="0">
                  <c:v>MWCNT-COOH+Soil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IC!$AE$7:$AE$11</c:f>
                <c:numCache>
                  <c:formatCode>General</c:formatCode>
                  <c:ptCount val="5"/>
                  <c:pt idx="0">
                    <c:v>0.102139380945712</c:v>
                  </c:pt>
                  <c:pt idx="1">
                    <c:v>1.7204332250339203E-2</c:v>
                  </c:pt>
                  <c:pt idx="2">
                    <c:v>1.7780694987674674E-3</c:v>
                  </c:pt>
                  <c:pt idx="3">
                    <c:v>8.9972889092142808E-2</c:v>
                  </c:pt>
                  <c:pt idx="4">
                    <c:v>0.1724547737972103</c:v>
                  </c:pt>
                </c:numCache>
              </c:numRef>
            </c:plus>
            <c:minus>
              <c:numRef>
                <c:f>IC!$AE$7:$AE$11</c:f>
                <c:numCache>
                  <c:formatCode>General</c:formatCode>
                  <c:ptCount val="5"/>
                  <c:pt idx="0">
                    <c:v>0.102139380945712</c:v>
                  </c:pt>
                  <c:pt idx="1">
                    <c:v>1.7204332250339203E-2</c:v>
                  </c:pt>
                  <c:pt idx="2">
                    <c:v>1.7780694987674674E-3</c:v>
                  </c:pt>
                  <c:pt idx="3">
                    <c:v>8.9972889092142808E-2</c:v>
                  </c:pt>
                  <c:pt idx="4">
                    <c:v>0.1724547737972103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6"/>
                </a:solidFill>
                <a:round/>
              </a:ln>
              <a:effectLst/>
            </c:spPr>
          </c:errBars>
          <c:xVal>
            <c:numRef>
              <c:f>IC!$W$7:$W$11</c:f>
              <c:numCache>
                <c:formatCode>General</c:formatCode>
                <c:ptCount val="5"/>
                <c:pt idx="0">
                  <c:v>0</c:v>
                </c:pt>
                <c:pt idx="1">
                  <c:v>0.67924528301886788</c:v>
                </c:pt>
                <c:pt idx="2">
                  <c:v>2.0377358490566038</c:v>
                </c:pt>
                <c:pt idx="3">
                  <c:v>4.0754716981132075</c:v>
                </c:pt>
                <c:pt idx="4">
                  <c:v>6.7924528301886795</c:v>
                </c:pt>
              </c:numCache>
            </c:numRef>
          </c:xVal>
          <c:yVal>
            <c:numRef>
              <c:f>IC!$AD$7:$AD$11</c:f>
              <c:numCache>
                <c:formatCode>General</c:formatCode>
                <c:ptCount val="5"/>
                <c:pt idx="0">
                  <c:v>2.6560828700000001</c:v>
                </c:pt>
                <c:pt idx="1">
                  <c:v>2.7258920699999987</c:v>
                </c:pt>
                <c:pt idx="2">
                  <c:v>2.5321654250000005</c:v>
                </c:pt>
                <c:pt idx="3">
                  <c:v>2.61494246</c:v>
                </c:pt>
                <c:pt idx="4">
                  <c:v>2.69466596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37-4D43-B267-17279C64CFC5}"/>
            </c:ext>
          </c:extLst>
        </c:ser>
        <c:ser>
          <c:idx val="3"/>
          <c:order val="3"/>
          <c:tx>
            <c:v>Soil only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IC!$Y$7:$Y$11</c:f>
                <c:numCache>
                  <c:formatCode>General</c:formatCode>
                  <c:ptCount val="5"/>
                  <c:pt idx="0">
                    <c:v>8.4759139999999997E-2</c:v>
                  </c:pt>
                  <c:pt idx="1">
                    <c:v>0.10543297920624285</c:v>
                  </c:pt>
                  <c:pt idx="2">
                    <c:v>3.0613813324877056E-2</c:v>
                  </c:pt>
                  <c:pt idx="3">
                    <c:v>5.8712497326549339E-2</c:v>
                  </c:pt>
                  <c:pt idx="4">
                    <c:v>1.1106504998893735E-2</c:v>
                  </c:pt>
                </c:numCache>
              </c:numRef>
            </c:plus>
            <c:minus>
              <c:numRef>
                <c:f>IC!$Y$7:$Y$11</c:f>
                <c:numCache>
                  <c:formatCode>General</c:formatCode>
                  <c:ptCount val="5"/>
                  <c:pt idx="0">
                    <c:v>8.4759139999999997E-2</c:v>
                  </c:pt>
                  <c:pt idx="1">
                    <c:v>0.10543297920624285</c:v>
                  </c:pt>
                  <c:pt idx="2">
                    <c:v>3.0613813324877056E-2</c:v>
                  </c:pt>
                  <c:pt idx="3">
                    <c:v>5.8712497326549339E-2</c:v>
                  </c:pt>
                  <c:pt idx="4">
                    <c:v>1.1106504998893735E-2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4"/>
                </a:solidFill>
                <a:round/>
              </a:ln>
              <a:effectLst/>
            </c:spPr>
          </c:errBars>
          <c:xVal>
            <c:numRef>
              <c:f>IC!$W$7:$W$11</c:f>
              <c:numCache>
                <c:formatCode>General</c:formatCode>
                <c:ptCount val="5"/>
                <c:pt idx="0">
                  <c:v>0</c:v>
                </c:pt>
                <c:pt idx="1">
                  <c:v>0.67924528301886788</c:v>
                </c:pt>
                <c:pt idx="2">
                  <c:v>2.0377358490566038</c:v>
                </c:pt>
                <c:pt idx="3">
                  <c:v>4.0754716981132075</c:v>
                </c:pt>
                <c:pt idx="4">
                  <c:v>6.7924528301886795</c:v>
                </c:pt>
              </c:numCache>
            </c:numRef>
          </c:xVal>
          <c:yVal>
            <c:numRef>
              <c:f>IC!$X$7:$X$11</c:f>
              <c:numCache>
                <c:formatCode>General</c:formatCode>
                <c:ptCount val="5"/>
                <c:pt idx="0">
                  <c:v>1.2940814149018907</c:v>
                </c:pt>
                <c:pt idx="1">
                  <c:v>1.2807083145574367</c:v>
                </c:pt>
                <c:pt idx="2">
                  <c:v>1.3225307149999992</c:v>
                </c:pt>
                <c:pt idx="3">
                  <c:v>1.3214746550000012</c:v>
                </c:pt>
                <c:pt idx="4">
                  <c:v>1.2821310649999997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37-4D43-B267-17279C64C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894056"/>
        <c:axId val="465894448"/>
        <c:extLst/>
      </c:scatterChart>
      <c:valAx>
        <c:axId val="465894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Inorganic Carbon Content (mg/100mg soil)</a:t>
                </a:r>
              </a:p>
            </c:rich>
          </c:tx>
          <c:layout>
            <c:manualLayout>
              <c:xMode val="edge"/>
              <c:yMode val="edge"/>
              <c:x val="0.17740452992460801"/>
              <c:y val="0.925083957633686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5894448"/>
        <c:crosses val="autoZero"/>
        <c:crossBetween val="midCat"/>
      </c:valAx>
      <c:valAx>
        <c:axId val="465894448"/>
        <c:scaling>
          <c:orientation val="minMax"/>
          <c:min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900"/>
                  <a:t>∆T (℃)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5894056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510666823884951"/>
          <c:y val="0.47452768351269053"/>
          <c:w val="0.40025184040014966"/>
          <c:h val="0.21185231592886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Calibration curves in Soil and Sand (100W, 20s)</a:t>
            </a:r>
          </a:p>
        </c:rich>
      </c:tx>
      <c:layout>
        <c:manualLayout>
          <c:xMode val="edge"/>
          <c:yMode val="edge"/>
          <c:x val="0.1841666666666666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59621635881546E-2"/>
          <c:y val="8.4583333333333316E-2"/>
          <c:w val="0.85391389108729376"/>
          <c:h val="0.77554060950714498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28333333333333333"/>
                  <c:y val="-3.497594050743665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Plot!$D$9:$D$17</c:f>
              <c:numCache>
                <c:formatCode>General</c:formatCode>
                <c:ptCount val="9"/>
                <c:pt idx="0">
                  <c:v>0</c:v>
                </c:pt>
                <c:pt idx="1">
                  <c:v>8.9999999999999993E-3</c:v>
                </c:pt>
                <c:pt idx="2">
                  <c:v>2.8700000000000003E-2</c:v>
                </c:pt>
                <c:pt idx="3">
                  <c:v>4.2350000000000006E-2</c:v>
                </c:pt>
                <c:pt idx="4">
                  <c:v>5.5024875621890554E-2</c:v>
                </c:pt>
                <c:pt idx="5">
                  <c:v>6.8950000000000011E-2</c:v>
                </c:pt>
                <c:pt idx="6">
                  <c:v>9.4500000000000001E-2</c:v>
                </c:pt>
                <c:pt idx="7">
                  <c:v>0.1575</c:v>
                </c:pt>
                <c:pt idx="8">
                  <c:v>0.252</c:v>
                </c:pt>
              </c:numCache>
            </c:numRef>
          </c:xVal>
          <c:yVal>
            <c:numRef>
              <c:f>Plot!$J$9:$J$17</c:f>
              <c:numCache>
                <c:formatCode>General</c:formatCode>
                <c:ptCount val="9"/>
                <c:pt idx="0">
                  <c:v>0</c:v>
                </c:pt>
                <c:pt idx="1">
                  <c:v>0.16069426716479174</c:v>
                </c:pt>
                <c:pt idx="2">
                  <c:v>0.55132917305774209</c:v>
                </c:pt>
                <c:pt idx="3">
                  <c:v>0.99259895798551878</c:v>
                </c:pt>
                <c:pt idx="4">
                  <c:v>1.2251711952225126</c:v>
                </c:pt>
                <c:pt idx="5">
                  <c:v>1.7308086550010617</c:v>
                </c:pt>
                <c:pt idx="7">
                  <c:v>4.179867363309917</c:v>
                </c:pt>
                <c:pt idx="8">
                  <c:v>7.1317251440450606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EF-4293-AA38-95EBEDE81D7A}"/>
            </c:ext>
          </c:extLst>
        </c:ser>
        <c:ser>
          <c:idx val="2"/>
          <c:order val="1"/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3.2627734033245842E-2"/>
                  <c:y val="0.1793055555555555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Plot!$X$4:$X$12</c:f>
              <c:numCache>
                <c:formatCode>General</c:formatCode>
                <c:ptCount val="9"/>
                <c:pt idx="0">
                  <c:v>0</c:v>
                </c:pt>
                <c:pt idx="1">
                  <c:v>2.1399999999999999E-2</c:v>
                </c:pt>
                <c:pt idx="2">
                  <c:v>5.5320000000000001E-2</c:v>
                </c:pt>
                <c:pt idx="3">
                  <c:v>0.1148</c:v>
                </c:pt>
                <c:pt idx="4">
                  <c:v>0.26200000000000001</c:v>
                </c:pt>
                <c:pt idx="5">
                  <c:v>0.37890000000000001</c:v>
                </c:pt>
                <c:pt idx="6">
                  <c:v>0.51200000000000001</c:v>
                </c:pt>
                <c:pt idx="7">
                  <c:v>0.65700000000000003</c:v>
                </c:pt>
                <c:pt idx="8">
                  <c:v>7.8E-2</c:v>
                </c:pt>
              </c:numCache>
            </c:numRef>
          </c:xVal>
          <c:yVal>
            <c:numRef>
              <c:f>Plot!$Y$4:$Y$12</c:f>
              <c:numCache>
                <c:formatCode>General</c:formatCode>
                <c:ptCount val="9"/>
                <c:pt idx="0">
                  <c:v>0</c:v>
                </c:pt>
                <c:pt idx="1">
                  <c:v>0.67</c:v>
                </c:pt>
                <c:pt idx="2">
                  <c:v>1.3614074207191109</c:v>
                </c:pt>
                <c:pt idx="3">
                  <c:v>3.4894560867223801</c:v>
                </c:pt>
                <c:pt idx="4">
                  <c:v>8.0103059417191709</c:v>
                </c:pt>
                <c:pt idx="5">
                  <c:v>11.033379199110207</c:v>
                </c:pt>
                <c:pt idx="6">
                  <c:v>14.654214212549601</c:v>
                </c:pt>
                <c:pt idx="7">
                  <c:v>17.46</c:v>
                </c:pt>
                <c:pt idx="8">
                  <c:v>1.82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EF-4293-AA38-95EBEDE81D7A}"/>
            </c:ext>
          </c:extLst>
        </c:ser>
        <c:ser>
          <c:idx val="1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5871663827370808E-2"/>
                  <c:y val="-0.1270767716535433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Plot!$D$9:$D$17</c:f>
              <c:numCache>
                <c:formatCode>General</c:formatCode>
                <c:ptCount val="9"/>
                <c:pt idx="0">
                  <c:v>0</c:v>
                </c:pt>
                <c:pt idx="1">
                  <c:v>8.9999999999999993E-3</c:v>
                </c:pt>
                <c:pt idx="2">
                  <c:v>2.8700000000000003E-2</c:v>
                </c:pt>
                <c:pt idx="3">
                  <c:v>4.2350000000000006E-2</c:v>
                </c:pt>
                <c:pt idx="4">
                  <c:v>5.5024875621890554E-2</c:v>
                </c:pt>
                <c:pt idx="5">
                  <c:v>6.8950000000000011E-2</c:v>
                </c:pt>
                <c:pt idx="6">
                  <c:v>9.4500000000000001E-2</c:v>
                </c:pt>
                <c:pt idx="7">
                  <c:v>0.1575</c:v>
                </c:pt>
                <c:pt idx="8">
                  <c:v>0.252</c:v>
                </c:pt>
              </c:numCache>
            </c:numRef>
          </c:xVal>
          <c:yVal>
            <c:numRef>
              <c:f>Plot!$E$9:$E$17</c:f>
              <c:numCache>
                <c:formatCode>General</c:formatCode>
                <c:ptCount val="9"/>
                <c:pt idx="0">
                  <c:v>1.1736471028352085</c:v>
                </c:pt>
                <c:pt idx="1">
                  <c:v>1.3343413700000002</c:v>
                </c:pt>
                <c:pt idx="2">
                  <c:v>1.7249762758929506</c:v>
                </c:pt>
                <c:pt idx="3">
                  <c:v>2.1662460608207272</c:v>
                </c:pt>
                <c:pt idx="4">
                  <c:v>2.3988182980577211</c:v>
                </c:pt>
                <c:pt idx="5">
                  <c:v>2.9044557578362702</c:v>
                </c:pt>
                <c:pt idx="6">
                  <c:v>3.8242827061451239</c:v>
                </c:pt>
                <c:pt idx="7">
                  <c:v>5.3535144661451257</c:v>
                </c:pt>
                <c:pt idx="8">
                  <c:v>8.3053722468802693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EF-4293-AA38-95EBEDE81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587760"/>
        <c:axId val="468588152"/>
      </c:scatterChart>
      <c:valAx>
        <c:axId val="468587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CNT Mass (mg)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8588152"/>
        <c:crosses val="autoZero"/>
        <c:crossBetween val="midCat"/>
      </c:valAx>
      <c:valAx>
        <c:axId val="468588152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∆T(○C)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62874380285797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8587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Soil only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75161854768154"/>
          <c:y val="0.12546296296296297"/>
          <c:w val="0.84192825896762902"/>
          <c:h val="0.72556940799066794"/>
        </c:manualLayout>
      </c:layout>
      <c:barChart>
        <c:barDir val="col"/>
        <c:grouping val="clustered"/>
        <c:varyColors val="0"/>
        <c:ser>
          <c:idx val="1"/>
          <c:order val="0"/>
          <c:tx>
            <c:v>100W, 20s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Plot!$E$21:$E$26</c:f>
              <c:numCache>
                <c:formatCode>General</c:formatCode>
                <c:ptCount val="6"/>
                <c:pt idx="0">
                  <c:v>1.1342442002377313</c:v>
                </c:pt>
                <c:pt idx="1">
                  <c:v>1.2978148393009481</c:v>
                </c:pt>
                <c:pt idx="2">
                  <c:v>1.2688813888530617</c:v>
                </c:pt>
                <c:pt idx="3">
                  <c:v>1.2808484139807248</c:v>
                </c:pt>
                <c:pt idx="4">
                  <c:v>1.28879649965322</c:v>
                </c:pt>
                <c:pt idx="5">
                  <c:v>1.3196532087964921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D-4AC9-BA14-E2A78A6A890E}"/>
            </c:ext>
          </c:extLst>
        </c:ser>
        <c:ser>
          <c:idx val="2"/>
          <c:order val="1"/>
          <c:tx>
            <c:v>130W, 20s</c:v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val>
            <c:numRef>
              <c:f>Plot!$H$21:$H$26</c:f>
              <c:numCache>
                <c:formatCode>General</c:formatCode>
                <c:ptCount val="6"/>
                <c:pt idx="0">
                  <c:v>1.5485959486335901</c:v>
                </c:pt>
                <c:pt idx="1">
                  <c:v>1.6498069685849213</c:v>
                </c:pt>
                <c:pt idx="2">
                  <c:v>1.6780412911624547</c:v>
                </c:pt>
                <c:pt idx="3">
                  <c:v>1.6220214811418123</c:v>
                </c:pt>
                <c:pt idx="4">
                  <c:v>1.6404650399388401</c:v>
                </c:pt>
                <c:pt idx="5">
                  <c:v>1.6388440465039935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D-4AC9-BA14-E2A78A6A8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9034272"/>
        <c:axId val="639034664"/>
      </c:barChart>
      <c:catAx>
        <c:axId val="639034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Days</a:t>
                </a:r>
              </a:p>
            </c:rich>
          </c:tx>
          <c:layout>
            <c:manualLayout>
              <c:xMode val="edge"/>
              <c:yMode val="edge"/>
              <c:x val="0.48382742782152233"/>
              <c:y val="0.927569262175561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39034664"/>
        <c:crosses val="autoZero"/>
        <c:auto val="1"/>
        <c:lblAlgn val="ctr"/>
        <c:lblOffset val="100"/>
        <c:noMultiLvlLbl val="0"/>
      </c:catAx>
      <c:valAx>
        <c:axId val="6390346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∆T(○C)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39034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789938757655292"/>
          <c:y val="2.8401137357830265E-2"/>
          <c:w val="0.27860629921259844"/>
          <c:h val="0.143787547389909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Soil+surfactant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29429479209837"/>
          <c:y val="0.10412037037037039"/>
          <c:w val="0.74341362066583783"/>
          <c:h val="0.66991797900262462"/>
        </c:manualLayout>
      </c:layout>
      <c:barChart>
        <c:barDir val="col"/>
        <c:grouping val="clustered"/>
        <c:varyColors val="0"/>
        <c:ser>
          <c:idx val="0"/>
          <c:order val="0"/>
          <c:tx>
            <c:v>100W. 20s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Plot!$D$29:$D$32</c:f>
              <c:strCache>
                <c:ptCount val="4"/>
                <c:pt idx="0">
                  <c:v>soil+0.06gCTAB</c:v>
                </c:pt>
                <c:pt idx="1">
                  <c:v>soil+0.12gCTAB</c:v>
                </c:pt>
                <c:pt idx="2">
                  <c:v>soil+0.18gCTAB</c:v>
                </c:pt>
                <c:pt idx="3">
                  <c:v>soil+0.24gCTAB</c:v>
                </c:pt>
              </c:strCache>
            </c:strRef>
          </c:cat>
          <c:val>
            <c:numRef>
              <c:f>Plot!$E$29:$E$32</c:f>
              <c:numCache>
                <c:formatCode>General</c:formatCode>
                <c:ptCount val="4"/>
                <c:pt idx="0">
                  <c:v>1.1736471028352085</c:v>
                </c:pt>
                <c:pt idx="1">
                  <c:v>1.1388218210383352</c:v>
                </c:pt>
                <c:pt idx="2">
                  <c:v>1.2002475116135443</c:v>
                </c:pt>
                <c:pt idx="3">
                  <c:v>1.2095285037324219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5-4510-B170-042CB86F6FE3}"/>
            </c:ext>
          </c:extLst>
        </c:ser>
        <c:ser>
          <c:idx val="1"/>
          <c:order val="1"/>
          <c:tx>
            <c:v>130W, 20s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Plot!$D$29:$D$32</c:f>
              <c:strCache>
                <c:ptCount val="4"/>
                <c:pt idx="0">
                  <c:v>soil+0.06gCTAB</c:v>
                </c:pt>
                <c:pt idx="1">
                  <c:v>soil+0.12gCTAB</c:v>
                </c:pt>
                <c:pt idx="2">
                  <c:v>soil+0.18gCTAB</c:v>
                </c:pt>
                <c:pt idx="3">
                  <c:v>soil+0.24gCTAB</c:v>
                </c:pt>
              </c:strCache>
            </c:strRef>
          </c:cat>
          <c:val>
            <c:numRef>
              <c:f>Plot!$H$29:$H$32</c:f>
              <c:numCache>
                <c:formatCode>General</c:formatCode>
                <c:ptCount val="4"/>
                <c:pt idx="0">
                  <c:v>1.4993391400660521</c:v>
                </c:pt>
                <c:pt idx="1">
                  <c:v>1.4753829895456967</c:v>
                </c:pt>
                <c:pt idx="2">
                  <c:v>1.6419038865442734</c:v>
                </c:pt>
                <c:pt idx="3">
                  <c:v>1.5436404972903739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B5-4510-B170-042CB86F6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9035448"/>
        <c:axId val="639035840"/>
      </c:barChart>
      <c:catAx>
        <c:axId val="639035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66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39035840"/>
        <c:crosses val="autoZero"/>
        <c:auto val="0"/>
        <c:lblAlgn val="ctr"/>
        <c:lblOffset val="100"/>
        <c:noMultiLvlLbl val="0"/>
      </c:catAx>
      <c:valAx>
        <c:axId val="6390358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∆T(○C)</a:t>
                </a:r>
              </a:p>
            </c:rich>
          </c:tx>
          <c:layout>
            <c:manualLayout>
              <c:xMode val="edge"/>
              <c:yMode val="edge"/>
              <c:x val="0"/>
              <c:y val="0.417935622630504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39035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321894138232725"/>
          <c:y val="2.0792869641294887E-2"/>
          <c:w val="0.27578412073490816"/>
          <c:h val="0.215318241469816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SWCNT-Soil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190511220699499E-2"/>
          <c:y val="2.5378423441750633E-2"/>
          <c:w val="0.86107355001677421"/>
          <c:h val="0.83689379253125273"/>
        </c:manualLayout>
      </c:layout>
      <c:scatterChart>
        <c:scatterStyle val="lineMarker"/>
        <c:varyColors val="0"/>
        <c:ser>
          <c:idx val="2"/>
          <c:order val="2"/>
          <c:tx>
            <c:strRef>
              <c:f>Plot!$J$8</c:f>
              <c:strCache>
                <c:ptCount val="1"/>
                <c:pt idx="0">
                  <c:v>100W, 20s</c:v>
                </c:pt>
              </c:strCache>
              <c:extLst xmlns:c15="http://schemas.microsoft.com/office/drawing/2012/chart"/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7030A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9.1317379445216409E-2"/>
                  <c:y val="0.3376001404079809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Plot!$O$9:$O$18</c:f>
              <c:numCache>
                <c:formatCode>General</c:formatCode>
                <c:ptCount val="10"/>
                <c:pt idx="0">
                  <c:v>0</c:v>
                </c:pt>
                <c:pt idx="1">
                  <c:v>1.0500000000000001E-2</c:v>
                </c:pt>
                <c:pt idx="2">
                  <c:v>0.03</c:v>
                </c:pt>
                <c:pt idx="3">
                  <c:v>0.06</c:v>
                </c:pt>
                <c:pt idx="4">
                  <c:v>0.09</c:v>
                </c:pt>
                <c:pt idx="5">
                  <c:v>0.15</c:v>
                </c:pt>
                <c:pt idx="6">
                  <c:v>0.24</c:v>
                </c:pt>
                <c:pt idx="7">
                  <c:v>0.3</c:v>
                </c:pt>
                <c:pt idx="8">
                  <c:v>0.4</c:v>
                </c:pt>
              </c:numCache>
              <c:extLst xmlns:c15="http://schemas.microsoft.com/office/drawing/2012/chart"/>
            </c:numRef>
          </c:xVal>
          <c:yVal>
            <c:numRef>
              <c:f>Plot!$P$9:$P$18</c:f>
              <c:numCache>
                <c:formatCode>General</c:formatCode>
                <c:ptCount val="10"/>
                <c:pt idx="0">
                  <c:v>1.1736471028352085</c:v>
                </c:pt>
                <c:pt idx="1">
                  <c:v>1.3789543</c:v>
                </c:pt>
                <c:pt idx="2">
                  <c:v>1.7117540499999986</c:v>
                </c:pt>
                <c:pt idx="3">
                  <c:v>1.982092969999999</c:v>
                </c:pt>
                <c:pt idx="4">
                  <c:v>2.7113155199999999</c:v>
                </c:pt>
                <c:pt idx="5">
                  <c:v>3.6588002400000001</c:v>
                </c:pt>
                <c:pt idx="6">
                  <c:v>5.3898216999999997</c:v>
                </c:pt>
                <c:pt idx="7">
                  <c:v>6.5257996</c:v>
                </c:pt>
                <c:pt idx="8">
                  <c:v>8.4768810999999893</c:v>
                </c:pt>
              </c:numCache>
              <c:extLst xmlns:c15="http://schemas.microsoft.com/office/drawing/2012/chart"/>
            </c:numRef>
          </c:yVal>
          <c:smooth val="0"/>
          <c:extLst>
            <c:ext xmlns:c16="http://schemas.microsoft.com/office/drawing/2014/chart" uri="{C3380CC4-5D6E-409C-BE32-E72D297353CC}">
              <c16:uniqueId val="{00000000-2D99-4BF4-8972-8E123A62416C}"/>
            </c:ext>
          </c:extLst>
        </c:ser>
        <c:ser>
          <c:idx val="3"/>
          <c:order val="3"/>
          <c:tx>
            <c:strRef>
              <c:f>Plot!$Q$8</c:f>
              <c:strCache>
                <c:ptCount val="1"/>
                <c:pt idx="0">
                  <c:v>133W, 15s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5001916497368689"/>
                  <c:y val="2.076697859576063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Plot!$O$9:$O$18</c:f>
              <c:numCache>
                <c:formatCode>General</c:formatCode>
                <c:ptCount val="10"/>
                <c:pt idx="0">
                  <c:v>0</c:v>
                </c:pt>
                <c:pt idx="1">
                  <c:v>1.0500000000000001E-2</c:v>
                </c:pt>
                <c:pt idx="2">
                  <c:v>0.03</c:v>
                </c:pt>
                <c:pt idx="3">
                  <c:v>0.06</c:v>
                </c:pt>
                <c:pt idx="4">
                  <c:v>0.09</c:v>
                </c:pt>
                <c:pt idx="5">
                  <c:v>0.15</c:v>
                </c:pt>
                <c:pt idx="6">
                  <c:v>0.24</c:v>
                </c:pt>
                <c:pt idx="7">
                  <c:v>0.3</c:v>
                </c:pt>
                <c:pt idx="8">
                  <c:v>0.4</c:v>
                </c:pt>
              </c:numCache>
              <c:extLst xmlns:c15="http://schemas.microsoft.com/office/drawing/2012/chart"/>
            </c:numRef>
          </c:xVal>
          <c:yVal>
            <c:numRef>
              <c:f>Plot!$Q$9:$Q$18</c:f>
              <c:numCache>
                <c:formatCode>General</c:formatCode>
                <c:ptCount val="10"/>
                <c:pt idx="0">
                  <c:v>1.4993391400660521</c:v>
                </c:pt>
                <c:pt idx="1">
                  <c:v>1.6872339999999999</c:v>
                </c:pt>
                <c:pt idx="2">
                  <c:v>2.04</c:v>
                </c:pt>
                <c:pt idx="3">
                  <c:v>2.4449711100000018</c:v>
                </c:pt>
                <c:pt idx="4">
                  <c:v>2.9770807600000002</c:v>
                </c:pt>
                <c:pt idx="5">
                  <c:v>4.2141929400000002</c:v>
                </c:pt>
                <c:pt idx="6">
                  <c:v>5.7426832149999996</c:v>
                </c:pt>
                <c:pt idx="7">
                  <c:v>7.7170046374999997</c:v>
                </c:pt>
                <c:pt idx="8">
                  <c:v>9.6964380299999995</c:v>
                </c:pt>
              </c:numCache>
              <c:extLst xmlns:c15="http://schemas.microsoft.com/office/drawing/2012/chart"/>
            </c:numRef>
          </c:yVal>
          <c:smooth val="0"/>
          <c:extLst>
            <c:ext xmlns:c16="http://schemas.microsoft.com/office/drawing/2014/chart" uri="{C3380CC4-5D6E-409C-BE32-E72D297353CC}">
              <c16:uniqueId val="{00000001-2D99-4BF4-8972-8E123A624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891704"/>
        <c:axId val="46589209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Plot!$E$8</c15:sqref>
                        </c15:formulaRef>
                      </c:ext>
                    </c:extLst>
                    <c:strCache>
                      <c:ptCount val="1"/>
                      <c:pt idx="0">
                        <c:v>100W, 20s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6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1"/>
                      </a:solidFill>
                      <a:prstDash val="solid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-8.3082964238845147E-2"/>
                        <c:y val="0.22887362483944826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11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Plot!$O$9:$O$18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1.0500000000000001E-2</c:v>
                      </c:pt>
                      <c:pt idx="2">
                        <c:v>0.03</c:v>
                      </c:pt>
                      <c:pt idx="3">
                        <c:v>0.06</c:v>
                      </c:pt>
                      <c:pt idx="4">
                        <c:v>0.09</c:v>
                      </c:pt>
                      <c:pt idx="5">
                        <c:v>0.15</c:v>
                      </c:pt>
                      <c:pt idx="6">
                        <c:v>0.24</c:v>
                      </c:pt>
                      <c:pt idx="7">
                        <c:v>0.3</c:v>
                      </c:pt>
                      <c:pt idx="8">
                        <c:v>0.4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Plot!$S$9:$S$18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0.20530719716479151</c:v>
                      </c:pt>
                      <c:pt idx="2">
                        <c:v>0.53810694716479013</c:v>
                      </c:pt>
                      <c:pt idx="3">
                        <c:v>0.8084458671647905</c:v>
                      </c:pt>
                      <c:pt idx="4">
                        <c:v>1.5376684171647914</c:v>
                      </c:pt>
                      <c:pt idx="5">
                        <c:v>2.4851531371647919</c:v>
                      </c:pt>
                      <c:pt idx="6">
                        <c:v>4.216174597164791</c:v>
                      </c:pt>
                      <c:pt idx="7">
                        <c:v>5.3521524971647914</c:v>
                      </c:pt>
                      <c:pt idx="8">
                        <c:v>7.3032339971647806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2D99-4BF4-8972-8E123A62416C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Plot!$T$8</c15:sqref>
                        </c15:formulaRef>
                      </c:ext>
                    </c:extLst>
                    <c:strCache>
                      <c:ptCount val="1"/>
                      <c:pt idx="0">
                        <c:v>133W, 15s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triangle"/>
                  <c:size val="6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2"/>
                      </a:solidFill>
                      <a:prstDash val="solid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8.737157855268092E-2"/>
                        <c:y val="6.1455615920350384E-2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11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linear"/>
                  <c:dispRSqr val="0"/>
                  <c:dispEq val="0"/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Plot!$O$9:$O$18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1.0500000000000001E-2</c:v>
                      </c:pt>
                      <c:pt idx="2">
                        <c:v>0.03</c:v>
                      </c:pt>
                      <c:pt idx="3">
                        <c:v>0.06</c:v>
                      </c:pt>
                      <c:pt idx="4">
                        <c:v>0.09</c:v>
                      </c:pt>
                      <c:pt idx="5">
                        <c:v>0.15</c:v>
                      </c:pt>
                      <c:pt idx="6">
                        <c:v>0.24</c:v>
                      </c:pt>
                      <c:pt idx="7">
                        <c:v>0.3</c:v>
                      </c:pt>
                      <c:pt idx="8">
                        <c:v>0.4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Plot!$T$9:$T$18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0.18789485993394783</c:v>
                      </c:pt>
                      <c:pt idx="2">
                        <c:v>0.54066085993394797</c:v>
                      </c:pt>
                      <c:pt idx="3">
                        <c:v>0.94563196993394971</c:v>
                      </c:pt>
                      <c:pt idx="4">
                        <c:v>1.4777416199339481</c:v>
                      </c:pt>
                      <c:pt idx="5">
                        <c:v>2.7148537999339482</c:v>
                      </c:pt>
                      <c:pt idx="6">
                        <c:v>4.2433440749339475</c:v>
                      </c:pt>
                      <c:pt idx="7">
                        <c:v>6.2176654974339476</c:v>
                      </c:pt>
                      <c:pt idx="8">
                        <c:v>8.1970988899339474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D99-4BF4-8972-8E123A62416C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Plot!$I$8</c15:sqref>
                        </c15:formulaRef>
                      </c:ext>
                    </c:extLst>
                    <c:strCache>
                      <c:ptCount val="1"/>
                      <c:pt idx="0">
                        <c:v>130W, 30s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square"/>
                  <c:size val="6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5"/>
                      </a:solidFill>
                      <a:prstDash val="solid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-0.11979533755582407"/>
                        <c:y val="1.2610870449704424E-2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11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Plot!$O$9:$O$18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1.0500000000000001E-2</c:v>
                      </c:pt>
                      <c:pt idx="2">
                        <c:v>0.03</c:v>
                      </c:pt>
                      <c:pt idx="3">
                        <c:v>0.06</c:v>
                      </c:pt>
                      <c:pt idx="4">
                        <c:v>0.09</c:v>
                      </c:pt>
                      <c:pt idx="5">
                        <c:v>0.15</c:v>
                      </c:pt>
                      <c:pt idx="6">
                        <c:v>0.24</c:v>
                      </c:pt>
                      <c:pt idx="7">
                        <c:v>0.3</c:v>
                      </c:pt>
                      <c:pt idx="8">
                        <c:v>0.4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Plot!$R$9:$R$18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1.6263052376714999</c:v>
                      </c:pt>
                      <c:pt idx="1">
                        <c:v>1.9099630896819999</c:v>
                      </c:pt>
                      <c:pt idx="2">
                        <c:v>2.4329730151062363</c:v>
                      </c:pt>
                      <c:pt idx="3">
                        <c:v>2.7817025200000023</c:v>
                      </c:pt>
                      <c:pt idx="4">
                        <c:v>3.3717644999999998</c:v>
                      </c:pt>
                      <c:pt idx="5">
                        <c:v>5.4858628399999958</c:v>
                      </c:pt>
                      <c:pt idx="6">
                        <c:v>7.1453873999999997</c:v>
                      </c:pt>
                      <c:pt idx="7">
                        <c:v>8.2857213437500086</c:v>
                      </c:pt>
                      <c:pt idx="8">
                        <c:v>10.782519840000001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D99-4BF4-8972-8E123A62416C}"/>
                  </c:ext>
                </c:extLst>
              </c15:ser>
            </c15:filteredScatterSeries>
            <c15:filteredScatterSeries>
              <c15:ser>
                <c:idx val="7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Plot!$I$8</c15:sqref>
                        </c15:formulaRef>
                      </c:ext>
                    </c:extLst>
                    <c:strCache>
                      <c:ptCount val="1"/>
                      <c:pt idx="0">
                        <c:v>130W, 30s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square"/>
                  <c:size val="6"/>
                  <c:spPr>
                    <a:solidFill>
                      <a:srgbClr val="00B050"/>
                    </a:solidFill>
                    <a:ln w="12700">
                      <a:solidFill>
                        <a:srgbClr val="00B050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rgbClr val="00B050"/>
                      </a:solidFill>
                      <a:prstDash val="solid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-0.43204129757217846"/>
                        <c:y val="0.2390337378040511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11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Plot!$O$9:$O$18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1.0500000000000001E-2</c:v>
                      </c:pt>
                      <c:pt idx="2">
                        <c:v>0.03</c:v>
                      </c:pt>
                      <c:pt idx="3">
                        <c:v>0.06</c:v>
                      </c:pt>
                      <c:pt idx="4">
                        <c:v>0.09</c:v>
                      </c:pt>
                      <c:pt idx="5">
                        <c:v>0.15</c:v>
                      </c:pt>
                      <c:pt idx="6">
                        <c:v>0.24</c:v>
                      </c:pt>
                      <c:pt idx="7">
                        <c:v>0.3</c:v>
                      </c:pt>
                      <c:pt idx="8">
                        <c:v>0.4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Plot!$U$9:$U$18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0.28365785201049998</c:v>
                      </c:pt>
                      <c:pt idx="2">
                        <c:v>0.80666777743473639</c:v>
                      </c:pt>
                      <c:pt idx="3">
                        <c:v>1.1553972823285024</c:v>
                      </c:pt>
                      <c:pt idx="4">
                        <c:v>1.7454592623284999</c:v>
                      </c:pt>
                      <c:pt idx="5">
                        <c:v>3.8595576023284961</c:v>
                      </c:pt>
                      <c:pt idx="6">
                        <c:v>5.5190821623285</c:v>
                      </c:pt>
                      <c:pt idx="7">
                        <c:v>6.6594161060785089</c:v>
                      </c:pt>
                      <c:pt idx="8">
                        <c:v>9.1562146023285003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D99-4BF4-8972-8E123A62416C}"/>
                  </c:ext>
                </c:extLst>
              </c15:ser>
            </c15:filteredScatterSeries>
          </c:ext>
        </c:extLst>
      </c:scatterChart>
      <c:valAx>
        <c:axId val="465891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CNT</a:t>
                </a:r>
                <a:r>
                  <a:rPr lang="en-US" baseline="0"/>
                  <a:t> Mass (mg)</a:t>
                </a:r>
              </a:p>
            </c:rich>
          </c:tx>
          <c:layout>
            <c:manualLayout>
              <c:xMode val="edge"/>
              <c:yMode val="edge"/>
              <c:x val="0.41927318460192475"/>
              <c:y val="0.927569262175561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5892096"/>
        <c:crosses val="autoZero"/>
        <c:crossBetween val="midCat"/>
      </c:valAx>
      <c:valAx>
        <c:axId val="46589209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∆T(○C)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5891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8814634954771623"/>
          <c:y val="0.62159187548364969"/>
          <c:w val="0.18232150496606431"/>
          <c:h val="0.18307732809994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MWCNT-Soil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190416987350264E-2"/>
          <c:y val="6.5905210124596506E-2"/>
          <c:w val="0.86107355001677421"/>
          <c:h val="0.7923142585900167"/>
        </c:manualLayout>
      </c:layout>
      <c:scatterChart>
        <c:scatterStyle val="lineMarker"/>
        <c:varyColors val="0"/>
        <c:ser>
          <c:idx val="0"/>
          <c:order val="0"/>
          <c:tx>
            <c:strRef>
              <c:f>Plot!$E$8</c:f>
              <c:strCache>
                <c:ptCount val="1"/>
                <c:pt idx="0">
                  <c:v>100W, 20s</c:v>
                </c:pt>
              </c:strCache>
              <c:extLst xmlns:c15="http://schemas.microsoft.com/office/drawing/2012/chart"/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8625710426073094"/>
                  <c:y val="0.3499091336987131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Plot!$D$9:$D$18</c:f>
              <c:numCache>
                <c:formatCode>General</c:formatCode>
                <c:ptCount val="10"/>
                <c:pt idx="0">
                  <c:v>0</c:v>
                </c:pt>
                <c:pt idx="1">
                  <c:v>8.9999999999999993E-3</c:v>
                </c:pt>
                <c:pt idx="2">
                  <c:v>2.8700000000000003E-2</c:v>
                </c:pt>
                <c:pt idx="3">
                  <c:v>4.2350000000000006E-2</c:v>
                </c:pt>
                <c:pt idx="4">
                  <c:v>5.5024875621890554E-2</c:v>
                </c:pt>
                <c:pt idx="5">
                  <c:v>6.8950000000000011E-2</c:v>
                </c:pt>
                <c:pt idx="6">
                  <c:v>9.4500000000000001E-2</c:v>
                </c:pt>
                <c:pt idx="7">
                  <c:v>0.1575</c:v>
                </c:pt>
                <c:pt idx="8">
                  <c:v>0.252</c:v>
                </c:pt>
                <c:pt idx="9">
                  <c:v>0.24</c:v>
                </c:pt>
              </c:numCache>
            </c:numRef>
          </c:xVal>
          <c:yVal>
            <c:numRef>
              <c:f>Plot!$E$9:$E$18</c:f>
              <c:numCache>
                <c:formatCode>General</c:formatCode>
                <c:ptCount val="10"/>
                <c:pt idx="0">
                  <c:v>1.1736471028352085</c:v>
                </c:pt>
                <c:pt idx="1">
                  <c:v>1.3343413700000002</c:v>
                </c:pt>
                <c:pt idx="2">
                  <c:v>1.7249762758929506</c:v>
                </c:pt>
                <c:pt idx="3">
                  <c:v>2.1662460608207272</c:v>
                </c:pt>
                <c:pt idx="4">
                  <c:v>2.3988182980577211</c:v>
                </c:pt>
                <c:pt idx="5">
                  <c:v>2.9044557578362702</c:v>
                </c:pt>
                <c:pt idx="6">
                  <c:v>3.8242827061451239</c:v>
                </c:pt>
                <c:pt idx="7">
                  <c:v>5.3535144661451257</c:v>
                </c:pt>
                <c:pt idx="8">
                  <c:v>8.3053722468802693</c:v>
                </c:pt>
                <c:pt idx="9">
                  <c:v>7.9320968899999977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F7-4270-9BBF-7FC11334E936}"/>
            </c:ext>
          </c:extLst>
        </c:ser>
        <c:ser>
          <c:idx val="4"/>
          <c:order val="1"/>
          <c:tx>
            <c:v>100W, 26s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5122361636789219"/>
                  <c:y val="6.783332934447021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Plot!$D$9:$D$18</c:f>
              <c:numCache>
                <c:formatCode>General</c:formatCode>
                <c:ptCount val="10"/>
                <c:pt idx="0">
                  <c:v>0</c:v>
                </c:pt>
                <c:pt idx="1">
                  <c:v>8.9999999999999993E-3</c:v>
                </c:pt>
                <c:pt idx="2">
                  <c:v>2.8700000000000003E-2</c:v>
                </c:pt>
                <c:pt idx="3">
                  <c:v>4.2350000000000006E-2</c:v>
                </c:pt>
                <c:pt idx="4">
                  <c:v>5.5024875621890554E-2</c:v>
                </c:pt>
                <c:pt idx="5">
                  <c:v>6.8950000000000011E-2</c:v>
                </c:pt>
                <c:pt idx="6">
                  <c:v>9.4500000000000001E-2</c:v>
                </c:pt>
                <c:pt idx="7">
                  <c:v>0.1575</c:v>
                </c:pt>
                <c:pt idx="8">
                  <c:v>0.252</c:v>
                </c:pt>
                <c:pt idx="9">
                  <c:v>0.24</c:v>
                </c:pt>
              </c:numCache>
            </c:numRef>
          </c:xVal>
          <c:yVal>
            <c:numRef>
              <c:f>Plot!$G$9:$G$17</c:f>
              <c:numCache>
                <c:formatCode>General</c:formatCode>
                <c:ptCount val="9"/>
                <c:pt idx="0">
                  <c:v>1.365489</c:v>
                </c:pt>
                <c:pt idx="1">
                  <c:v>1.643294</c:v>
                </c:pt>
                <c:pt idx="2">
                  <c:v>2.112355</c:v>
                </c:pt>
                <c:pt idx="3">
                  <c:v>2.6348878999999998</c:v>
                </c:pt>
                <c:pt idx="4">
                  <c:v>3.0489480000000002</c:v>
                </c:pt>
                <c:pt idx="5">
                  <c:v>3.3485999999999998</c:v>
                </c:pt>
                <c:pt idx="6">
                  <c:v>4.4896174999999996</c:v>
                </c:pt>
                <c:pt idx="7">
                  <c:v>6.2364870000000003</c:v>
                </c:pt>
                <c:pt idx="8">
                  <c:v>9.9257055770000004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F7-4270-9BBF-7FC11334E936}"/>
            </c:ext>
          </c:extLst>
        </c:ser>
        <c:ser>
          <c:idx val="7"/>
          <c:order val="2"/>
          <c:tx>
            <c:v>130W, 20s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00B050"/>
              </a:solidFill>
              <a:ln w="12700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5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4346984061304546"/>
                  <c:y val="-8.847457897550040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Plot!$D$9:$D$18</c:f>
              <c:numCache>
                <c:formatCode>General</c:formatCode>
                <c:ptCount val="10"/>
                <c:pt idx="0">
                  <c:v>0</c:v>
                </c:pt>
                <c:pt idx="1">
                  <c:v>8.9999999999999993E-3</c:v>
                </c:pt>
                <c:pt idx="2">
                  <c:v>2.8700000000000003E-2</c:v>
                </c:pt>
                <c:pt idx="3">
                  <c:v>4.2350000000000006E-2</c:v>
                </c:pt>
                <c:pt idx="4">
                  <c:v>5.5024875621890554E-2</c:v>
                </c:pt>
                <c:pt idx="5">
                  <c:v>6.8950000000000011E-2</c:v>
                </c:pt>
                <c:pt idx="6">
                  <c:v>9.4500000000000001E-2</c:v>
                </c:pt>
                <c:pt idx="7">
                  <c:v>0.1575</c:v>
                </c:pt>
                <c:pt idx="8">
                  <c:v>0.252</c:v>
                </c:pt>
                <c:pt idx="9">
                  <c:v>0.24</c:v>
                </c:pt>
              </c:numCache>
            </c:numRef>
          </c:xVal>
          <c:yVal>
            <c:numRef>
              <c:f>Plot!$H$9:$H$18</c:f>
              <c:numCache>
                <c:formatCode>General</c:formatCode>
                <c:ptCount val="10"/>
                <c:pt idx="0">
                  <c:v>1.4993391400660521</c:v>
                </c:pt>
                <c:pt idx="1">
                  <c:v>1.7823861900000002</c:v>
                </c:pt>
                <c:pt idx="2">
                  <c:v>2.3285353820369998</c:v>
                </c:pt>
                <c:pt idx="3">
                  <c:v>2.8326086997830493</c:v>
                </c:pt>
                <c:pt idx="4">
                  <c:v>3.1814624149689981</c:v>
                </c:pt>
                <c:pt idx="5">
                  <c:v>3.490519607495433</c:v>
                </c:pt>
                <c:pt idx="6">
                  <c:v>4.83761942857143</c:v>
                </c:pt>
                <c:pt idx="7">
                  <c:v>6.7402593448299335</c:v>
                </c:pt>
                <c:pt idx="8">
                  <c:v>10.9076890668653</c:v>
                </c:pt>
                <c:pt idx="9">
                  <c:v>10.095930629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F7-4270-9BBF-7FC11334E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892880"/>
        <c:axId val="465893272"/>
        <c:extLst/>
      </c:scatterChart>
      <c:valAx>
        <c:axId val="465892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CNT</a:t>
                </a:r>
                <a:r>
                  <a:rPr lang="en-US" baseline="0"/>
                  <a:t> Mass (mg)</a:t>
                </a:r>
              </a:p>
            </c:rich>
          </c:tx>
          <c:layout>
            <c:manualLayout>
              <c:xMode val="edge"/>
              <c:yMode val="edge"/>
              <c:x val="0.41927318460192475"/>
              <c:y val="0.927569262175561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5893272"/>
        <c:crosses val="autoZero"/>
        <c:crossBetween val="midCat"/>
      </c:valAx>
      <c:valAx>
        <c:axId val="465893272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∆T(○C)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5892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82544122479280502"/>
          <c:y val="0.56890697173491611"/>
          <c:w val="0.1417569480785536"/>
          <c:h val="0.272236395982417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50"/>
              <a:t>c)</a:t>
            </a:r>
            <a:endParaRPr lang="zh-CN" sz="1050"/>
          </a:p>
        </c:rich>
      </c:tx>
      <c:layout>
        <c:manualLayout>
          <c:xMode val="edge"/>
          <c:yMode val="edge"/>
          <c:x val="9.554902731959559E-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488223063026209"/>
          <c:y val="7.1360744541078713E-2"/>
          <c:w val="0.83264001090772743"/>
          <c:h val="0.76437129809993265"/>
        </c:manualLayout>
      </c:layout>
      <c:scatterChart>
        <c:scatterStyle val="lineMarker"/>
        <c:varyColors val="0"/>
        <c:ser>
          <c:idx val="1"/>
          <c:order val="0"/>
          <c:tx>
            <c:v>SWCNT+Soil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'Other carbon'!$AS$66:$AS$69</c:f>
                <c:numCache>
                  <c:formatCode>General</c:formatCode>
                  <c:ptCount val="4"/>
                  <c:pt idx="0">
                    <c:v>1.3873E-2</c:v>
                  </c:pt>
                  <c:pt idx="1">
                    <c:v>5.6407859549968853E-2</c:v>
                  </c:pt>
                  <c:pt idx="2">
                    <c:v>5.6407859549968853E-2</c:v>
                  </c:pt>
                  <c:pt idx="3">
                    <c:v>2.348887104735083E-2</c:v>
                  </c:pt>
                </c:numCache>
              </c:numRef>
            </c:plus>
            <c:minus>
              <c:numRef>
                <c:f>'Other carbon'!$AS$66:$AS$69</c:f>
                <c:numCache>
                  <c:formatCode>General</c:formatCode>
                  <c:ptCount val="4"/>
                  <c:pt idx="0">
                    <c:v>1.3873E-2</c:v>
                  </c:pt>
                  <c:pt idx="1">
                    <c:v>5.6407859549968853E-2</c:v>
                  </c:pt>
                  <c:pt idx="2">
                    <c:v>5.6407859549968853E-2</c:v>
                  </c:pt>
                  <c:pt idx="3">
                    <c:v>2.348887104735083E-2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'Other carbon'!$AM$66:$AM$69</c:f>
              <c:numCache>
                <c:formatCode>General</c:formatCode>
                <c:ptCount val="4"/>
                <c:pt idx="0">
                  <c:v>0</c:v>
                </c:pt>
                <c:pt idx="1">
                  <c:v>11</c:v>
                </c:pt>
                <c:pt idx="2">
                  <c:v>33</c:v>
                </c:pt>
                <c:pt idx="3">
                  <c:v>67</c:v>
                </c:pt>
              </c:numCache>
            </c:numRef>
          </c:xVal>
          <c:yVal>
            <c:numRef>
              <c:f>'Other carbon'!$AQ$66:$AQ$69</c:f>
              <c:numCache>
                <c:formatCode>General</c:formatCode>
                <c:ptCount val="4"/>
                <c:pt idx="0">
                  <c:v>3.1195788430000002</c:v>
                </c:pt>
                <c:pt idx="1">
                  <c:v>3.1516969550000002</c:v>
                </c:pt>
                <c:pt idx="2">
                  <c:v>3.244439439999999</c:v>
                </c:pt>
                <c:pt idx="3">
                  <c:v>3.0837022100000002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18-4D58-9332-2BDC14FF31BA}"/>
            </c:ext>
          </c:extLst>
        </c:ser>
        <c:ser>
          <c:idx val="0"/>
          <c:order val="1"/>
          <c:tx>
            <c:v>MWCNT+Soil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'Other carbon'!$AP$66:$AP$69</c:f>
                <c:numCache>
                  <c:formatCode>General</c:formatCode>
                  <c:ptCount val="4"/>
                  <c:pt idx="0">
                    <c:v>3.8191999999999997E-2</c:v>
                  </c:pt>
                  <c:pt idx="1">
                    <c:v>0.22123322694981734</c:v>
                  </c:pt>
                  <c:pt idx="2">
                    <c:v>1.3026957519122917E-2</c:v>
                  </c:pt>
                  <c:pt idx="3">
                    <c:v>7.0710678118655765E-2</c:v>
                  </c:pt>
                </c:numCache>
              </c:numRef>
            </c:plus>
            <c:minus>
              <c:numRef>
                <c:f>'Other carbon'!$AP$66:$AP$69</c:f>
                <c:numCache>
                  <c:formatCode>General</c:formatCode>
                  <c:ptCount val="4"/>
                  <c:pt idx="0">
                    <c:v>3.8191999999999997E-2</c:v>
                  </c:pt>
                  <c:pt idx="1">
                    <c:v>0.22123322694981734</c:v>
                  </c:pt>
                  <c:pt idx="2">
                    <c:v>1.3026957519122917E-2</c:v>
                  </c:pt>
                  <c:pt idx="3">
                    <c:v>7.0710678118655765E-2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5"/>
                </a:solidFill>
                <a:round/>
              </a:ln>
              <a:effectLst/>
            </c:spPr>
          </c:errBars>
          <c:xVal>
            <c:numRef>
              <c:f>'Other carbon'!$AM$66:$AM$69</c:f>
              <c:numCache>
                <c:formatCode>General</c:formatCode>
                <c:ptCount val="4"/>
                <c:pt idx="0">
                  <c:v>0</c:v>
                </c:pt>
                <c:pt idx="1">
                  <c:v>11</c:v>
                </c:pt>
                <c:pt idx="2">
                  <c:v>33</c:v>
                </c:pt>
                <c:pt idx="3">
                  <c:v>67</c:v>
                </c:pt>
              </c:numCache>
            </c:numRef>
          </c:xVal>
          <c:yVal>
            <c:numRef>
              <c:f>'Other carbon'!$AN$66:$AN$69</c:f>
              <c:numCache>
                <c:formatCode>General</c:formatCode>
                <c:ptCount val="4"/>
                <c:pt idx="0">
                  <c:v>3.6368040575</c:v>
                </c:pt>
                <c:pt idx="1">
                  <c:v>3.6280357250000002</c:v>
                </c:pt>
                <c:pt idx="2">
                  <c:v>3.6043857099999994</c:v>
                </c:pt>
                <c:pt idx="3">
                  <c:v>3.5788410350000004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18-4D58-9332-2BDC14FF31BA}"/>
            </c:ext>
          </c:extLst>
        </c:ser>
        <c:ser>
          <c:idx val="2"/>
          <c:order val="2"/>
          <c:tx>
            <c:v>MWCNT-COOH+Soil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'Other carbon'!$AV$66:$AV$69</c:f>
                <c:numCache>
                  <c:formatCode>General</c:formatCode>
                  <c:ptCount val="4"/>
                  <c:pt idx="0">
                    <c:v>3.2813000000000002E-2</c:v>
                  </c:pt>
                  <c:pt idx="1">
                    <c:v>0.16520760104149118</c:v>
                  </c:pt>
                  <c:pt idx="2">
                    <c:v>0.10221403884533231</c:v>
                  </c:pt>
                  <c:pt idx="3">
                    <c:v>0.10015454791871965</c:v>
                  </c:pt>
                </c:numCache>
              </c:numRef>
            </c:plus>
            <c:minus>
              <c:numRef>
                <c:f>'Other carbon'!$AV$66:$AV$69</c:f>
                <c:numCache>
                  <c:formatCode>General</c:formatCode>
                  <c:ptCount val="4"/>
                  <c:pt idx="0">
                    <c:v>3.2813000000000002E-2</c:v>
                  </c:pt>
                  <c:pt idx="1">
                    <c:v>0.16520760104149118</c:v>
                  </c:pt>
                  <c:pt idx="2">
                    <c:v>0.10221403884533231</c:v>
                  </c:pt>
                  <c:pt idx="3">
                    <c:v>0.10015454791871965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6"/>
                </a:solidFill>
                <a:round/>
              </a:ln>
              <a:effectLst/>
            </c:spPr>
          </c:errBars>
          <c:xVal>
            <c:numRef>
              <c:f>'Other carbon'!$AM$66:$AM$69</c:f>
              <c:numCache>
                <c:formatCode>General</c:formatCode>
                <c:ptCount val="4"/>
                <c:pt idx="0">
                  <c:v>0</c:v>
                </c:pt>
                <c:pt idx="1">
                  <c:v>11</c:v>
                </c:pt>
                <c:pt idx="2">
                  <c:v>33</c:v>
                </c:pt>
                <c:pt idx="3">
                  <c:v>67</c:v>
                </c:pt>
              </c:numCache>
            </c:numRef>
          </c:xVal>
          <c:yVal>
            <c:numRef>
              <c:f>'Other carbon'!$AT$66:$AT$69</c:f>
              <c:numCache>
                <c:formatCode>General</c:formatCode>
                <c:ptCount val="4"/>
                <c:pt idx="0">
                  <c:v>2.6560828700000001</c:v>
                </c:pt>
                <c:pt idx="1">
                  <c:v>2.733601675000001</c:v>
                </c:pt>
                <c:pt idx="2">
                  <c:v>2.5994983999999999</c:v>
                </c:pt>
                <c:pt idx="3">
                  <c:v>2.7070190599999986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18-4D58-9332-2BDC14FF31BA}"/>
            </c:ext>
          </c:extLst>
        </c:ser>
        <c:ser>
          <c:idx val="3"/>
          <c:order val="3"/>
          <c:tx>
            <c:v>Soil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'Other carbon'!$AK$66:$AK$69</c:f>
                <c:numCache>
                  <c:formatCode>General</c:formatCode>
                  <c:ptCount val="4"/>
                  <c:pt idx="0">
                    <c:v>8.9747149999999998E-2</c:v>
                  </c:pt>
                  <c:pt idx="1">
                    <c:v>6.0368546000000002E-2</c:v>
                  </c:pt>
                  <c:pt idx="2">
                    <c:v>5.5487509999999997E-2</c:v>
                  </c:pt>
                  <c:pt idx="3">
                    <c:v>8.7954000000000004E-2</c:v>
                  </c:pt>
                </c:numCache>
              </c:numRef>
            </c:plus>
            <c:minus>
              <c:numRef>
                <c:f>'Other carbon'!$AK$66:$AK$69</c:f>
                <c:numCache>
                  <c:formatCode>General</c:formatCode>
                  <c:ptCount val="4"/>
                  <c:pt idx="0">
                    <c:v>8.9747149999999998E-2</c:v>
                  </c:pt>
                  <c:pt idx="1">
                    <c:v>6.0368546000000002E-2</c:v>
                  </c:pt>
                  <c:pt idx="2">
                    <c:v>5.5487509999999997E-2</c:v>
                  </c:pt>
                  <c:pt idx="3">
                    <c:v>8.7954000000000004E-2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C000"/>
                </a:solidFill>
                <a:round/>
              </a:ln>
              <a:effectLst/>
            </c:spPr>
          </c:errBars>
          <c:xVal>
            <c:numRef>
              <c:f>'Other carbon'!$AM$66:$AM$69</c:f>
              <c:numCache>
                <c:formatCode>General</c:formatCode>
                <c:ptCount val="4"/>
                <c:pt idx="0">
                  <c:v>0</c:v>
                </c:pt>
                <c:pt idx="1">
                  <c:v>11</c:v>
                </c:pt>
                <c:pt idx="2">
                  <c:v>33</c:v>
                </c:pt>
                <c:pt idx="3">
                  <c:v>67</c:v>
                </c:pt>
              </c:numCache>
            </c:numRef>
          </c:xVal>
          <c:yVal>
            <c:numRef>
              <c:f>'Other carbon'!$AL$66:$AL$69</c:f>
              <c:numCache>
                <c:formatCode>General</c:formatCode>
                <c:ptCount val="4"/>
                <c:pt idx="0">
                  <c:v>1.2940814149018907</c:v>
                </c:pt>
                <c:pt idx="1">
                  <c:v>1.3268343700000003</c:v>
                </c:pt>
                <c:pt idx="2">
                  <c:v>1.3696133350000004</c:v>
                </c:pt>
                <c:pt idx="3">
                  <c:v>1.2464679899999993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18-4D58-9332-2BDC14FF3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857600"/>
        <c:axId val="461857992"/>
      </c:scatterChart>
      <c:valAx>
        <c:axId val="461857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Ratio of GAC/CNT (mg/mg)</a:t>
                </a:r>
              </a:p>
            </c:rich>
          </c:tx>
          <c:layout>
            <c:manualLayout>
              <c:xMode val="edge"/>
              <c:yMode val="edge"/>
              <c:x val="0.2466843785199633"/>
              <c:y val="0.919273429235979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1857992"/>
        <c:crosses val="autoZero"/>
        <c:crossBetween val="midCat"/>
      </c:valAx>
      <c:valAx>
        <c:axId val="461857992"/>
        <c:scaling>
          <c:orientation val="minMax"/>
          <c:max val="4"/>
          <c:min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 </a:t>
                </a:r>
                <a:r>
                  <a:rPr lang="el-GR"/>
                  <a:t>Δ</a:t>
                </a:r>
                <a:r>
                  <a:rPr lang="en-US"/>
                  <a:t>T (°C)</a:t>
                </a:r>
              </a:p>
            </c:rich>
          </c:tx>
          <c:layout>
            <c:manualLayout>
              <c:xMode val="edge"/>
              <c:yMode val="edge"/>
              <c:x val="2.8062719224317139E-3"/>
              <c:y val="0.437683094491237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1857600"/>
        <c:crosses val="autoZero"/>
        <c:crossBetween val="midCat"/>
        <c:majorUnit val="1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45995064226439153"/>
          <c:y val="0.47868524519724104"/>
          <c:w val="0.44869872035226366"/>
          <c:h val="0.195310070356832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900"/>
              <a:t>d)</a:t>
            </a:r>
            <a:endParaRPr lang="zh-CN" sz="900"/>
          </a:p>
        </c:rich>
      </c:tx>
      <c:layout>
        <c:manualLayout>
          <c:xMode val="edge"/>
          <c:yMode val="edge"/>
          <c:x val="4.1306476598682047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17162571803907"/>
          <c:y val="7.6200078648705497E-2"/>
          <c:w val="0.8417875995622871"/>
          <c:h val="0.77899866175264676"/>
        </c:manualLayout>
      </c:layout>
      <c:scatterChart>
        <c:scatterStyle val="lineMarker"/>
        <c:varyColors val="0"/>
        <c:ser>
          <c:idx val="1"/>
          <c:order val="0"/>
          <c:tx>
            <c:v>SWCNT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'Other carbon'!$AS$77:$AS$80</c:f>
                <c:numCache>
                  <c:formatCode>General</c:formatCode>
                  <c:ptCount val="4"/>
                  <c:pt idx="0">
                    <c:v>2.7182999999999999E-2</c:v>
                  </c:pt>
                  <c:pt idx="1">
                    <c:v>6.3420004153756149E-2</c:v>
                  </c:pt>
                  <c:pt idx="2">
                    <c:v>1.4893599213301743E-2</c:v>
                  </c:pt>
                  <c:pt idx="3">
                    <c:v>0.14488726133849683</c:v>
                  </c:pt>
                </c:numCache>
              </c:numRef>
            </c:plus>
            <c:minus>
              <c:numRef>
                <c:f>'Other carbon'!$AS$77:$AS$80</c:f>
                <c:numCache>
                  <c:formatCode>General</c:formatCode>
                  <c:ptCount val="4"/>
                  <c:pt idx="0">
                    <c:v>2.7182999999999999E-2</c:v>
                  </c:pt>
                  <c:pt idx="1">
                    <c:v>6.3420004153756149E-2</c:v>
                  </c:pt>
                  <c:pt idx="2">
                    <c:v>1.4893599213301743E-2</c:v>
                  </c:pt>
                  <c:pt idx="3">
                    <c:v>0.14488726133849683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'Other carbon'!$AM$77:$AM$80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'Other carbon'!$AQ$77:$AQ$80</c:f>
              <c:numCache>
                <c:formatCode>General</c:formatCode>
                <c:ptCount val="4"/>
                <c:pt idx="0">
                  <c:v>3.1205488429999999</c:v>
                </c:pt>
                <c:pt idx="1">
                  <c:v>3.1423634050000011</c:v>
                </c:pt>
                <c:pt idx="2">
                  <c:v>3.0757756250000003</c:v>
                </c:pt>
                <c:pt idx="3">
                  <c:v>3.0550579249999981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56-483E-A65B-0F07D197A0A6}"/>
            </c:ext>
          </c:extLst>
        </c:ser>
        <c:ser>
          <c:idx val="0"/>
          <c:order val="1"/>
          <c:tx>
            <c:v>MWCNT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'Other carbon'!$AP$77:$AP$80</c:f>
                <c:numCache>
                  <c:formatCode>General</c:formatCode>
                  <c:ptCount val="4"/>
                  <c:pt idx="0">
                    <c:v>2.7183200000000001E-2</c:v>
                  </c:pt>
                  <c:pt idx="1">
                    <c:v>1.9756563466362867E-4</c:v>
                  </c:pt>
                  <c:pt idx="2">
                    <c:v>0.15910435735210335</c:v>
                  </c:pt>
                  <c:pt idx="3">
                    <c:v>7.0710678118655765E-2</c:v>
                  </c:pt>
                </c:numCache>
              </c:numRef>
            </c:plus>
            <c:minus>
              <c:numRef>
                <c:f>'Other carbon'!$AP$77:$AP$80</c:f>
                <c:numCache>
                  <c:formatCode>General</c:formatCode>
                  <c:ptCount val="4"/>
                  <c:pt idx="0">
                    <c:v>2.7183200000000001E-2</c:v>
                  </c:pt>
                  <c:pt idx="1">
                    <c:v>1.9756563466362867E-4</c:v>
                  </c:pt>
                  <c:pt idx="2">
                    <c:v>0.15910435735210335</c:v>
                  </c:pt>
                  <c:pt idx="3">
                    <c:v>7.0710678118655765E-2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5"/>
                </a:solidFill>
                <a:round/>
              </a:ln>
              <a:effectLst/>
            </c:spPr>
          </c:errBars>
          <c:xVal>
            <c:numRef>
              <c:f>'Other carbon'!$AM$77:$AM$80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'Other carbon'!$AN$77:$AN$80</c:f>
              <c:numCache>
                <c:formatCode>General</c:formatCode>
                <c:ptCount val="4"/>
                <c:pt idx="0">
                  <c:v>3.6351805750000001</c:v>
                </c:pt>
                <c:pt idx="1">
                  <c:v>3.66996535</c:v>
                </c:pt>
                <c:pt idx="2">
                  <c:v>3.6732684800000008</c:v>
                </c:pt>
                <c:pt idx="3">
                  <c:v>3.4648714799999993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56-483E-A65B-0F07D197A0A6}"/>
            </c:ext>
          </c:extLst>
        </c:ser>
        <c:ser>
          <c:idx val="2"/>
          <c:order val="2"/>
          <c:tx>
            <c:v>MWCNT-COOH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'Other carbon'!$AV$77:$AV$80</c:f>
                <c:numCache>
                  <c:formatCode>General</c:formatCode>
                  <c:ptCount val="4"/>
                  <c:pt idx="0">
                    <c:v>9.3812900000000005E-2</c:v>
                  </c:pt>
                  <c:pt idx="1">
                    <c:v>0.14163457014504127</c:v>
                  </c:pt>
                  <c:pt idx="2">
                    <c:v>0.10430437942659537</c:v>
                  </c:pt>
                  <c:pt idx="3">
                    <c:v>0.12717643557186672</c:v>
                  </c:pt>
                </c:numCache>
              </c:numRef>
            </c:plus>
            <c:minus>
              <c:numRef>
                <c:f>'Other carbon'!$AV$77:$AV$80</c:f>
                <c:numCache>
                  <c:formatCode>General</c:formatCode>
                  <c:ptCount val="4"/>
                  <c:pt idx="0">
                    <c:v>9.3812900000000005E-2</c:v>
                  </c:pt>
                  <c:pt idx="1">
                    <c:v>0.14163457014504127</c:v>
                  </c:pt>
                  <c:pt idx="2">
                    <c:v>0.10430437942659537</c:v>
                  </c:pt>
                  <c:pt idx="3">
                    <c:v>0.12717643557186672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6"/>
                </a:solidFill>
                <a:round/>
              </a:ln>
              <a:effectLst/>
            </c:spPr>
          </c:errBars>
          <c:xVal>
            <c:numRef>
              <c:f>'Other carbon'!$AM$77:$AM$80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'Other carbon'!$AT$77:$AT$80</c:f>
              <c:numCache>
                <c:formatCode>General</c:formatCode>
                <c:ptCount val="4"/>
                <c:pt idx="0">
                  <c:v>2.6632428699999999</c:v>
                </c:pt>
                <c:pt idx="1">
                  <c:v>2.5795579250000014</c:v>
                </c:pt>
                <c:pt idx="2">
                  <c:v>2.490426394</c:v>
                </c:pt>
                <c:pt idx="3">
                  <c:v>2.590337980000001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56-483E-A65B-0F07D197A0A6}"/>
            </c:ext>
          </c:extLst>
        </c:ser>
        <c:ser>
          <c:idx val="3"/>
          <c:order val="3"/>
          <c:tx>
            <c:v>Soil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'Other carbon'!$AL$77:$AL$80</c:f>
                <c:numCache>
                  <c:formatCode>General</c:formatCode>
                  <c:ptCount val="4"/>
                  <c:pt idx="0">
                    <c:v>7.1589739999999999E-2</c:v>
                  </c:pt>
                  <c:pt idx="1">
                    <c:v>1.6495450631129869E-2</c:v>
                  </c:pt>
                  <c:pt idx="2">
                    <c:v>1.1524532385796087E-2</c:v>
                  </c:pt>
                  <c:pt idx="3">
                    <c:v>3.3768499518465431E-2</c:v>
                  </c:pt>
                </c:numCache>
              </c:numRef>
            </c:plus>
            <c:minus>
              <c:numRef>
                <c:f>'Other carbon'!$AL$77:$AL$80</c:f>
                <c:numCache>
                  <c:formatCode>General</c:formatCode>
                  <c:ptCount val="4"/>
                  <c:pt idx="0">
                    <c:v>7.1589739999999999E-2</c:v>
                  </c:pt>
                  <c:pt idx="1">
                    <c:v>1.6495450631129869E-2</c:v>
                  </c:pt>
                  <c:pt idx="2">
                    <c:v>1.1524532385796087E-2</c:v>
                  </c:pt>
                  <c:pt idx="3">
                    <c:v>3.3768499518465431E-2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</c:errBars>
          <c:xVal>
            <c:numRef>
              <c:f>'Other carbon'!$AM$77:$AM$80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'Other carbon'!$AK$77:$AK$80</c:f>
              <c:numCache>
                <c:formatCode>General</c:formatCode>
                <c:ptCount val="4"/>
                <c:pt idx="0">
                  <c:v>1.2940814149018907</c:v>
                </c:pt>
                <c:pt idx="1">
                  <c:v>1.3198960150000012</c:v>
                </c:pt>
                <c:pt idx="2">
                  <c:v>1.3386846850000023</c:v>
                </c:pt>
                <c:pt idx="3">
                  <c:v>1.3532028250000003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56-483E-A65B-0F07D197A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858776"/>
        <c:axId val="461859168"/>
      </c:scatterChart>
      <c:valAx>
        <c:axId val="461858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Ratio of GO/CNT (mg/mg)</a:t>
                </a:r>
              </a:p>
            </c:rich>
          </c:tx>
          <c:layout>
            <c:manualLayout>
              <c:xMode val="edge"/>
              <c:yMode val="edge"/>
              <c:x val="0.25150330023731748"/>
              <c:y val="0.933403141680460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1859168"/>
        <c:crosses val="autoZero"/>
        <c:crossBetween val="midCat"/>
      </c:valAx>
      <c:valAx>
        <c:axId val="461859168"/>
        <c:scaling>
          <c:orientation val="minMax"/>
          <c:max val="4"/>
          <c:min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 </a:t>
                </a:r>
                <a:r>
                  <a:rPr lang="el-GR"/>
                  <a:t>Δ</a:t>
                </a:r>
                <a:r>
                  <a:rPr lang="en-US"/>
                  <a:t>T (°C)</a:t>
                </a:r>
              </a:p>
            </c:rich>
          </c:tx>
          <c:layout>
            <c:manualLayout>
              <c:xMode val="edge"/>
              <c:yMode val="edge"/>
              <c:x val="2.8062719224317139E-3"/>
              <c:y val="0.39896842163022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1858776"/>
        <c:crosses val="autoZero"/>
        <c:crossBetween val="midCat"/>
        <c:majorUnit val="1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48659771886312375"/>
          <c:y val="0.49441712602181165"/>
          <c:w val="0.44836224204722214"/>
          <c:h val="0.215498596212058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50"/>
              <a:t>b)</a:t>
            </a:r>
            <a:endParaRPr lang="zh-CN" sz="1050"/>
          </a:p>
        </c:rich>
      </c:tx>
      <c:layout>
        <c:manualLayout>
          <c:xMode val="edge"/>
          <c:yMode val="edge"/>
          <c:x val="5.1924893180401496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61660526379157"/>
          <c:y val="8.1039412756332294E-2"/>
          <c:w val="0.82822947016943982"/>
          <c:h val="0.75061463353666158"/>
        </c:manualLayout>
      </c:layout>
      <c:scatterChart>
        <c:scatterStyle val="lineMarker"/>
        <c:varyColors val="0"/>
        <c:ser>
          <c:idx val="1"/>
          <c:order val="0"/>
          <c:tx>
            <c:v>SWCNT+Soil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'Other carbon'!$AS$55:$AS$58</c:f>
                <c:numCache>
                  <c:formatCode>General</c:formatCode>
                  <c:ptCount val="4"/>
                  <c:pt idx="0">
                    <c:v>0.11596969111566824</c:v>
                  </c:pt>
                  <c:pt idx="1">
                    <c:v>0.10420464342932279</c:v>
                  </c:pt>
                  <c:pt idx="2">
                    <c:v>0.18930172720926833</c:v>
                  </c:pt>
                  <c:pt idx="3">
                    <c:v>8.70845275966248E-2</c:v>
                  </c:pt>
                </c:numCache>
              </c:numRef>
            </c:plus>
            <c:minus>
              <c:numRef>
                <c:f>'Other carbon'!$AS$55:$AS$58</c:f>
                <c:numCache>
                  <c:formatCode>General</c:formatCode>
                  <c:ptCount val="4"/>
                  <c:pt idx="0">
                    <c:v>0.11596969111566824</c:v>
                  </c:pt>
                  <c:pt idx="1">
                    <c:v>0.10420464342932279</c:v>
                  </c:pt>
                  <c:pt idx="2">
                    <c:v>0.18930172720926833</c:v>
                  </c:pt>
                  <c:pt idx="3">
                    <c:v>8.70845275966248E-2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'Other carbon'!$AM$55:$AM$58</c:f>
              <c:numCache>
                <c:formatCode>General</c:formatCode>
                <c:ptCount val="4"/>
                <c:pt idx="0">
                  <c:v>0</c:v>
                </c:pt>
                <c:pt idx="1">
                  <c:v>33</c:v>
                </c:pt>
                <c:pt idx="2">
                  <c:v>67</c:v>
                </c:pt>
                <c:pt idx="3">
                  <c:v>100</c:v>
                </c:pt>
              </c:numCache>
            </c:numRef>
          </c:xVal>
          <c:yVal>
            <c:numRef>
              <c:f>'Other carbon'!$AQ$55:$AQ$58</c:f>
              <c:numCache>
                <c:formatCode>General</c:formatCode>
                <c:ptCount val="4"/>
                <c:pt idx="0">
                  <c:v>3.1221311949999997</c:v>
                </c:pt>
                <c:pt idx="1">
                  <c:v>3.0748713500000004</c:v>
                </c:pt>
                <c:pt idx="2">
                  <c:v>3.0960743549999989</c:v>
                </c:pt>
                <c:pt idx="3">
                  <c:v>3.0642230000000001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9F-4F6C-A58D-48B493A2956C}"/>
            </c:ext>
          </c:extLst>
        </c:ser>
        <c:ser>
          <c:idx val="0"/>
          <c:order val="1"/>
          <c:tx>
            <c:v>MWCNT+Soil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'Other carbon'!$AP$55:$AP$58</c:f>
                <c:numCache>
                  <c:formatCode>General</c:formatCode>
                  <c:ptCount val="4"/>
                  <c:pt idx="0">
                    <c:v>2.3049064771607248E-3</c:v>
                  </c:pt>
                  <c:pt idx="1">
                    <c:v>1.9756563466362867E-4</c:v>
                  </c:pt>
                  <c:pt idx="2">
                    <c:v>7.428013E-2</c:v>
                  </c:pt>
                  <c:pt idx="3">
                    <c:v>0.13329679124535829</c:v>
                  </c:pt>
                </c:numCache>
              </c:numRef>
            </c:plus>
            <c:minus>
              <c:numRef>
                <c:f>'Other carbon'!$AP$55:$AP$58</c:f>
                <c:numCache>
                  <c:formatCode>General</c:formatCode>
                  <c:ptCount val="4"/>
                  <c:pt idx="0">
                    <c:v>2.3049064771607248E-3</c:v>
                  </c:pt>
                  <c:pt idx="1">
                    <c:v>1.9756563466362867E-4</c:v>
                  </c:pt>
                  <c:pt idx="2">
                    <c:v>7.428013E-2</c:v>
                  </c:pt>
                  <c:pt idx="3">
                    <c:v>0.13329679124535829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5"/>
                </a:solidFill>
                <a:round/>
              </a:ln>
              <a:effectLst/>
            </c:spPr>
          </c:errBars>
          <c:xVal>
            <c:numRef>
              <c:f>'Other carbon'!$AM$55:$AM$58</c:f>
              <c:numCache>
                <c:formatCode>General</c:formatCode>
                <c:ptCount val="4"/>
                <c:pt idx="0">
                  <c:v>0</c:v>
                </c:pt>
                <c:pt idx="1">
                  <c:v>33</c:v>
                </c:pt>
                <c:pt idx="2">
                  <c:v>67</c:v>
                </c:pt>
                <c:pt idx="3">
                  <c:v>100</c:v>
                </c:pt>
              </c:numCache>
            </c:numRef>
          </c:xVal>
          <c:yVal>
            <c:numRef>
              <c:f>'Other carbon'!$AN$55:$AN$58</c:f>
              <c:numCache>
                <c:formatCode>General</c:formatCode>
                <c:ptCount val="4"/>
                <c:pt idx="0">
                  <c:v>3.6152905749999995</c:v>
                </c:pt>
                <c:pt idx="1">
                  <c:v>3.739218665500001</c:v>
                </c:pt>
                <c:pt idx="2">
                  <c:v>3.6176766849999993</c:v>
                </c:pt>
                <c:pt idx="3">
                  <c:v>3.7004517450000005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9F-4F6C-A58D-48B493A2956C}"/>
            </c:ext>
          </c:extLst>
        </c:ser>
        <c:ser>
          <c:idx val="2"/>
          <c:order val="2"/>
          <c:tx>
            <c:v>MWCNT-COOH+Soil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'Other carbon'!$AV$56:$AV$58</c:f>
                <c:numCache>
                  <c:formatCode>General</c:formatCode>
                  <c:ptCount val="3"/>
                  <c:pt idx="0">
                    <c:v>0.10221403884533231</c:v>
                  </c:pt>
                  <c:pt idx="1">
                    <c:v>3.099920773382563E-2</c:v>
                  </c:pt>
                  <c:pt idx="2">
                    <c:v>1.1335098479115671E-2</c:v>
                  </c:pt>
                </c:numCache>
              </c:numRef>
            </c:plus>
            <c:minus>
              <c:numRef>
                <c:f>'Other carbon'!$AV$56:$AV$58</c:f>
                <c:numCache>
                  <c:formatCode>General</c:formatCode>
                  <c:ptCount val="3"/>
                  <c:pt idx="0">
                    <c:v>0.10221403884533231</c:v>
                  </c:pt>
                  <c:pt idx="1">
                    <c:v>3.099920773382563E-2</c:v>
                  </c:pt>
                  <c:pt idx="2">
                    <c:v>1.1335098479115671E-2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6"/>
                </a:solidFill>
                <a:round/>
              </a:ln>
              <a:effectLst/>
            </c:spPr>
          </c:errBars>
          <c:xVal>
            <c:numRef>
              <c:f>'Other carbon'!$AM$55:$AM$58</c:f>
              <c:numCache>
                <c:formatCode>General</c:formatCode>
                <c:ptCount val="4"/>
                <c:pt idx="0">
                  <c:v>0</c:v>
                </c:pt>
                <c:pt idx="1">
                  <c:v>33</c:v>
                </c:pt>
                <c:pt idx="2">
                  <c:v>67</c:v>
                </c:pt>
                <c:pt idx="3">
                  <c:v>100</c:v>
                </c:pt>
              </c:numCache>
            </c:numRef>
          </c:xVal>
          <c:yVal>
            <c:numRef>
              <c:f>'Other carbon'!$AT$55:$AT$58</c:f>
              <c:numCache>
                <c:formatCode>General</c:formatCode>
                <c:ptCount val="4"/>
                <c:pt idx="0">
                  <c:v>2.642710036155</c:v>
                </c:pt>
                <c:pt idx="1">
                  <c:v>2.660382968048749</c:v>
                </c:pt>
                <c:pt idx="2">
                  <c:v>2.6251302199999991</c:v>
                </c:pt>
                <c:pt idx="3">
                  <c:v>2.6110316649999987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9F-4F6C-A58D-48B493A2956C}"/>
            </c:ext>
          </c:extLst>
        </c:ser>
        <c:ser>
          <c:idx val="3"/>
          <c:order val="3"/>
          <c:tx>
            <c:v>Soil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'Other carbon'!$AL$55:$AL$58</c:f>
                <c:numCache>
                  <c:formatCode>General</c:formatCode>
                  <c:ptCount val="4"/>
                  <c:pt idx="0">
                    <c:v>7.1589739999999999E-2</c:v>
                  </c:pt>
                  <c:pt idx="1">
                    <c:v>1.0368545999999999E-2</c:v>
                  </c:pt>
                  <c:pt idx="2">
                    <c:v>4.8751000000000003E-2</c:v>
                  </c:pt>
                  <c:pt idx="3">
                    <c:v>8.4893999999999997E-2</c:v>
                  </c:pt>
                </c:numCache>
              </c:numRef>
            </c:plus>
            <c:minus>
              <c:numRef>
                <c:f>'Other carbon'!$AL$55:$AL$58</c:f>
                <c:numCache>
                  <c:formatCode>General</c:formatCode>
                  <c:ptCount val="4"/>
                  <c:pt idx="0">
                    <c:v>7.1589739999999999E-2</c:v>
                  </c:pt>
                  <c:pt idx="1">
                    <c:v>1.0368545999999999E-2</c:v>
                  </c:pt>
                  <c:pt idx="2">
                    <c:v>4.8751000000000003E-2</c:v>
                  </c:pt>
                  <c:pt idx="3">
                    <c:v>8.4893999999999997E-2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4"/>
                </a:solidFill>
                <a:round/>
              </a:ln>
              <a:effectLst/>
            </c:spPr>
          </c:errBars>
          <c:xVal>
            <c:numRef>
              <c:f>'Other carbon'!$AM$55:$AM$58</c:f>
              <c:numCache>
                <c:formatCode>General</c:formatCode>
                <c:ptCount val="4"/>
                <c:pt idx="0">
                  <c:v>0</c:v>
                </c:pt>
                <c:pt idx="1">
                  <c:v>33</c:v>
                </c:pt>
                <c:pt idx="2">
                  <c:v>67</c:v>
                </c:pt>
                <c:pt idx="3">
                  <c:v>100</c:v>
                </c:pt>
              </c:numCache>
            </c:numRef>
          </c:xVal>
          <c:yVal>
            <c:numRef>
              <c:f>'Other carbon'!$AK$55:$AK$58</c:f>
              <c:numCache>
                <c:formatCode>General</c:formatCode>
                <c:ptCount val="4"/>
                <c:pt idx="0">
                  <c:v>1.2940814149018907</c:v>
                </c:pt>
                <c:pt idx="1">
                  <c:v>1.2664877248942528</c:v>
                </c:pt>
                <c:pt idx="2">
                  <c:v>1.2899449010814099</c:v>
                </c:pt>
                <c:pt idx="3">
                  <c:v>1.27248942566487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9F-4F6C-A58D-48B493A29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859952"/>
        <c:axId val="461860344"/>
      </c:scatterChart>
      <c:valAx>
        <c:axId val="461859952"/>
        <c:scaling>
          <c:orientation val="minMax"/>
          <c:max val="1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Ratio of C</a:t>
                </a:r>
                <a:r>
                  <a:rPr lang="en-US" baseline="-25000"/>
                  <a:t>60</a:t>
                </a:r>
                <a:r>
                  <a:rPr lang="en-US"/>
                  <a:t>/CNT (mg/mg)</a:t>
                </a:r>
              </a:p>
            </c:rich>
          </c:tx>
          <c:layout>
            <c:manualLayout>
              <c:xMode val="edge"/>
              <c:yMode val="edge"/>
              <c:x val="0.2723317842150465"/>
              <c:y val="0.932616654625488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1860344"/>
        <c:crosses val="autoZero"/>
        <c:crossBetween val="midCat"/>
        <c:majorUnit val="20"/>
      </c:valAx>
      <c:valAx>
        <c:axId val="461860344"/>
        <c:scaling>
          <c:orientation val="minMax"/>
          <c:max val="4"/>
          <c:min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l-G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Δ</a:t>
                </a:r>
                <a:r>
                  <a:rPr lang="en-US"/>
                  <a:t>T (°C)</a:t>
                </a:r>
              </a:p>
            </c:rich>
          </c:tx>
          <c:layout>
            <c:manualLayout>
              <c:xMode val="edge"/>
              <c:yMode val="edge"/>
              <c:x val="2.8062719224317139E-3"/>
              <c:y val="0.394129087522596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1859952"/>
        <c:crosses val="autoZero"/>
        <c:crossBetween val="midCat"/>
        <c:majorUnit val="1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9672708205493553"/>
          <c:y val="0.496007381464172"/>
          <c:w val="0.43704940479261506"/>
          <c:h val="0.254160774584641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19</xdr:row>
      <xdr:rowOff>152399</xdr:rowOff>
    </xdr:from>
    <xdr:to>
      <xdr:col>8</xdr:col>
      <xdr:colOff>600075</xdr:colOff>
      <xdr:row>36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1371600</xdr:colOff>
      <xdr:row>49</xdr:row>
      <xdr:rowOff>180975</xdr:rowOff>
    </xdr:from>
    <xdr:to>
      <xdr:col>22</xdr:col>
      <xdr:colOff>542925</xdr:colOff>
      <xdr:row>64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247650</xdr:colOff>
      <xdr:row>38</xdr:row>
      <xdr:rowOff>80962</xdr:rowOff>
    </xdr:from>
    <xdr:to>
      <xdr:col>22</xdr:col>
      <xdr:colOff>552450</xdr:colOff>
      <xdr:row>52</xdr:row>
      <xdr:rowOff>157162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95250</xdr:colOff>
      <xdr:row>46</xdr:row>
      <xdr:rowOff>133350</xdr:rowOff>
    </xdr:from>
    <xdr:to>
      <xdr:col>10</xdr:col>
      <xdr:colOff>419100</xdr:colOff>
      <xdr:row>61</xdr:row>
      <xdr:rowOff>71437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714376</xdr:colOff>
      <xdr:row>19</xdr:row>
      <xdr:rowOff>142875</xdr:rowOff>
    </xdr:from>
    <xdr:to>
      <xdr:col>16</xdr:col>
      <xdr:colOff>209551</xdr:colOff>
      <xdr:row>36</xdr:row>
      <xdr:rowOff>38100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219075</xdr:colOff>
      <xdr:row>38</xdr:row>
      <xdr:rowOff>57150</xdr:rowOff>
    </xdr:from>
    <xdr:to>
      <xdr:col>9</xdr:col>
      <xdr:colOff>209550</xdr:colOff>
      <xdr:row>54</xdr:row>
      <xdr:rowOff>142875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504825</xdr:colOff>
      <xdr:row>44</xdr:row>
      <xdr:rowOff>114300</xdr:rowOff>
    </xdr:from>
    <xdr:to>
      <xdr:col>44</xdr:col>
      <xdr:colOff>446913</xdr:colOff>
      <xdr:row>57</xdr:row>
      <xdr:rowOff>71628</xdr:rowOff>
    </xdr:to>
    <xdr:graphicFrame macro="">
      <xdr:nvGraphicFramePr>
        <xdr:cNvPr id="5" name="图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1000124</xdr:colOff>
      <xdr:row>66</xdr:row>
      <xdr:rowOff>19050</xdr:rowOff>
    </xdr:from>
    <xdr:to>
      <xdr:col>42</xdr:col>
      <xdr:colOff>56387</xdr:colOff>
      <xdr:row>80</xdr:row>
      <xdr:rowOff>14478</xdr:rowOff>
    </xdr:to>
    <xdr:graphicFrame macro="">
      <xdr:nvGraphicFramePr>
        <xdr:cNvPr id="8" name="图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552449</xdr:colOff>
      <xdr:row>43</xdr:row>
      <xdr:rowOff>238124</xdr:rowOff>
    </xdr:from>
    <xdr:to>
      <xdr:col>39</xdr:col>
      <xdr:colOff>551687</xdr:colOff>
      <xdr:row>56</xdr:row>
      <xdr:rowOff>128777</xdr:rowOff>
    </xdr:to>
    <xdr:graphicFrame macro="">
      <xdr:nvGraphicFramePr>
        <xdr:cNvPr id="9" name="图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0</xdr:row>
      <xdr:rowOff>28575</xdr:rowOff>
    </xdr:from>
    <xdr:to>
      <xdr:col>37</xdr:col>
      <xdr:colOff>18288</xdr:colOff>
      <xdr:row>15</xdr:row>
      <xdr:rowOff>81153</xdr:rowOff>
    </xdr:to>
    <xdr:graphicFrame macro="">
      <xdr:nvGraphicFramePr>
        <xdr:cNvPr id="2" name="图表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Excel.Sheet.12">
    <oleItems>
      <mc:AlternateContent xmlns:mc="http://schemas.openxmlformats.org/markup-compatibility/2006">
        <mc:Choice Requires="x14">
          <x14:oleItem name="!Untitled!R4402C5" advise="1"/>
        </mc:Choice>
        <mc:Fallback>
          <oleItem name="!Untitled!R4402C5" advise="1"/>
        </mc:Fallback>
      </mc:AlternateContent>
    </oleItems>
  </oleLin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2"/>
  <sheetViews>
    <sheetView topLeftCell="E1" workbookViewId="0">
      <selection activeCell="J3" sqref="J3:U10"/>
    </sheetView>
  </sheetViews>
  <sheetFormatPr defaultColWidth="9" defaultRowHeight="15"/>
  <cols>
    <col min="1" max="16384" width="9" style="13"/>
  </cols>
  <sheetData>
    <row r="2" spans="1:22">
      <c r="A2" s="241" t="s">
        <v>267</v>
      </c>
    </row>
    <row r="3" spans="1:22">
      <c r="A3" s="13" t="s">
        <v>259</v>
      </c>
      <c r="K3" s="13" t="s">
        <v>282</v>
      </c>
      <c r="V3" s="461"/>
    </row>
    <row r="4" spans="1:22">
      <c r="A4" s="13" t="s">
        <v>258</v>
      </c>
      <c r="K4" s="13" t="s">
        <v>283</v>
      </c>
      <c r="V4" s="461"/>
    </row>
    <row r="5" spans="1:22">
      <c r="A5" s="13" t="s">
        <v>260</v>
      </c>
      <c r="K5" s="13" t="s">
        <v>284</v>
      </c>
      <c r="V5" s="461"/>
    </row>
    <row r="6" spans="1:22">
      <c r="A6" s="13" t="s">
        <v>261</v>
      </c>
      <c r="K6" s="13" t="s">
        <v>285</v>
      </c>
      <c r="L6" s="13" t="s">
        <v>190</v>
      </c>
      <c r="V6" s="461"/>
    </row>
    <row r="7" spans="1:22">
      <c r="A7" s="13" t="s">
        <v>262</v>
      </c>
      <c r="K7" s="13" t="s">
        <v>286</v>
      </c>
      <c r="V7" s="461"/>
    </row>
    <row r="8" spans="1:22">
      <c r="A8" s="13" t="s">
        <v>263</v>
      </c>
      <c r="V8" s="461"/>
    </row>
    <row r="9" spans="1:22">
      <c r="A9" s="13" t="s">
        <v>264</v>
      </c>
      <c r="K9" s="13" t="s">
        <v>287</v>
      </c>
      <c r="V9" s="461"/>
    </row>
    <row r="10" spans="1:22">
      <c r="A10" s="13" t="s">
        <v>265</v>
      </c>
      <c r="K10" s="461"/>
      <c r="L10" s="461"/>
      <c r="M10" s="461"/>
      <c r="N10" s="461"/>
      <c r="O10" s="461"/>
      <c r="P10" s="461"/>
      <c r="Q10" s="461"/>
      <c r="R10" s="461"/>
      <c r="S10" s="461"/>
      <c r="T10" s="461"/>
      <c r="U10" s="461"/>
      <c r="V10" s="461"/>
    </row>
    <row r="11" spans="1:22">
      <c r="A11" s="13" t="s">
        <v>266</v>
      </c>
    </row>
    <row r="12" spans="1:22">
      <c r="A12" s="13" t="s">
        <v>268</v>
      </c>
    </row>
    <row r="13" spans="1:22">
      <c r="A13" s="320"/>
      <c r="B13" s="320"/>
      <c r="C13" s="320"/>
      <c r="D13" s="320"/>
      <c r="E13" s="320"/>
      <c r="F13" s="320"/>
      <c r="G13" s="320"/>
    </row>
    <row r="14" spans="1:22">
      <c r="A14" s="320"/>
      <c r="B14" s="320"/>
      <c r="C14" s="320"/>
      <c r="D14" s="320"/>
      <c r="E14" s="320"/>
      <c r="F14" s="320"/>
      <c r="G14" s="320"/>
    </row>
    <row r="15" spans="1:22">
      <c r="A15" s="320"/>
      <c r="B15" s="320"/>
      <c r="C15" s="320"/>
      <c r="D15" s="320"/>
      <c r="E15" s="320"/>
      <c r="F15" s="320"/>
      <c r="G15" s="320"/>
    </row>
    <row r="16" spans="1:22">
      <c r="A16" s="320" t="s">
        <v>272</v>
      </c>
      <c r="B16" s="320" t="s">
        <v>273</v>
      </c>
      <c r="C16" s="320"/>
      <c r="D16" s="320"/>
      <c r="E16" s="320"/>
      <c r="F16" s="320"/>
      <c r="G16" s="320"/>
    </row>
    <row r="17" spans="1:7">
      <c r="A17" s="320" t="s">
        <v>274</v>
      </c>
      <c r="B17" s="320" t="s">
        <v>275</v>
      </c>
      <c r="C17" s="320"/>
      <c r="D17" s="320"/>
      <c r="E17" s="320"/>
      <c r="F17" s="320"/>
      <c r="G17" s="320"/>
    </row>
    <row r="18" spans="1:7" ht="18">
      <c r="A18" s="320" t="s">
        <v>276</v>
      </c>
      <c r="B18" s="320" t="s">
        <v>277</v>
      </c>
      <c r="C18" s="320"/>
      <c r="D18" s="320"/>
      <c r="E18" s="320"/>
      <c r="F18" s="320"/>
      <c r="G18" s="320"/>
    </row>
    <row r="19" spans="1:7" ht="18">
      <c r="A19" s="320" t="s">
        <v>278</v>
      </c>
      <c r="B19" s="320" t="s">
        <v>279</v>
      </c>
      <c r="C19" s="320"/>
      <c r="D19" s="320"/>
      <c r="E19" s="320"/>
      <c r="F19" s="320"/>
      <c r="G19" s="320"/>
    </row>
    <row r="20" spans="1:7" ht="17.25">
      <c r="A20" s="320" t="s">
        <v>280</v>
      </c>
      <c r="B20" s="320" t="s">
        <v>281</v>
      </c>
      <c r="C20" s="320"/>
      <c r="D20" s="320"/>
      <c r="E20" s="320"/>
      <c r="F20" s="320"/>
      <c r="G20" s="320"/>
    </row>
    <row r="21" spans="1:7">
      <c r="A21" s="483" t="s">
        <v>288</v>
      </c>
    </row>
    <row r="22" spans="1:7">
      <c r="A22" s="483" t="s">
        <v>289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2"/>
  <sheetViews>
    <sheetView topLeftCell="A46" zoomScaleNormal="100" workbookViewId="0">
      <selection activeCell="I9" sqref="I9:K10"/>
    </sheetView>
  </sheetViews>
  <sheetFormatPr defaultColWidth="9" defaultRowHeight="15"/>
  <cols>
    <col min="1" max="1" width="9" style="13"/>
    <col min="2" max="2" width="13.140625" style="13" customWidth="1"/>
    <col min="3" max="7" width="9" style="13"/>
    <col min="8" max="8" width="12.42578125" style="13" customWidth="1"/>
    <col min="9" max="9" width="13.7109375" style="13" customWidth="1"/>
    <col min="10" max="10" width="18.5703125" style="13" customWidth="1"/>
    <col min="11" max="17" width="9" style="13"/>
    <col min="18" max="18" width="13.5703125" style="13" customWidth="1"/>
    <col min="19" max="19" width="13.28515625" style="13" customWidth="1"/>
    <col min="20" max="20" width="9" style="13"/>
    <col min="21" max="21" width="9.140625" style="13"/>
    <col min="22" max="25" width="9" style="13"/>
    <col min="26" max="26" width="16.140625" style="13" customWidth="1"/>
    <col min="27" max="16384" width="9" style="13"/>
  </cols>
  <sheetData>
    <row r="1" spans="1:44">
      <c r="A1" s="471">
        <v>42429</v>
      </c>
      <c r="B1" s="438" t="s">
        <v>237</v>
      </c>
      <c r="C1" s="438"/>
      <c r="D1" s="438"/>
      <c r="E1" s="438"/>
      <c r="F1" s="438"/>
      <c r="G1" s="438"/>
    </row>
    <row r="2" spans="1:44">
      <c r="A2" s="13" t="s">
        <v>216</v>
      </c>
    </row>
    <row r="3" spans="1:44" ht="15.75">
      <c r="A3" s="21" t="s">
        <v>242</v>
      </c>
    </row>
    <row r="4" spans="1:44">
      <c r="A4" s="14" t="s">
        <v>238</v>
      </c>
    </row>
    <row r="5" spans="1:44">
      <c r="A5" s="14" t="s">
        <v>239</v>
      </c>
    </row>
    <row r="6" spans="1:44">
      <c r="A6" s="14" t="s">
        <v>240</v>
      </c>
      <c r="AJ6" s="13" t="s">
        <v>257</v>
      </c>
    </row>
    <row r="7" spans="1:44" ht="15.75">
      <c r="A7" s="21"/>
      <c r="P7" s="68"/>
      <c r="AJ7" s="508" t="s">
        <v>7</v>
      </c>
      <c r="AK7" s="512"/>
      <c r="AL7" s="512"/>
      <c r="AM7" s="512"/>
      <c r="AN7" s="512"/>
      <c r="AO7" s="512"/>
      <c r="AP7" s="512"/>
      <c r="AQ7" s="513"/>
    </row>
    <row r="8" spans="1:44" ht="15.75">
      <c r="A8" s="21"/>
      <c r="B8" s="68" t="s">
        <v>244</v>
      </c>
      <c r="I8" s="68" t="s">
        <v>245</v>
      </c>
      <c r="P8" s="68"/>
      <c r="AI8" s="389" t="s">
        <v>126</v>
      </c>
      <c r="AJ8" s="390" t="s">
        <v>30</v>
      </c>
      <c r="AK8" s="390" t="s">
        <v>97</v>
      </c>
      <c r="AL8" s="390" t="s">
        <v>158</v>
      </c>
      <c r="AM8" s="390" t="s">
        <v>97</v>
      </c>
      <c r="AN8" s="390" t="s">
        <v>159</v>
      </c>
      <c r="AO8" s="390" t="s">
        <v>97</v>
      </c>
      <c r="AP8" s="390" t="s">
        <v>160</v>
      </c>
      <c r="AQ8" s="391" t="s">
        <v>97</v>
      </c>
    </row>
    <row r="9" spans="1:44" ht="18.75">
      <c r="B9" s="320" t="s">
        <v>243</v>
      </c>
      <c r="C9" s="323" t="s">
        <v>0</v>
      </c>
      <c r="D9" s="324" t="s">
        <v>1</v>
      </c>
      <c r="E9" s="324" t="s">
        <v>49</v>
      </c>
      <c r="F9" s="324" t="s">
        <v>6</v>
      </c>
      <c r="G9" s="325" t="s">
        <v>7</v>
      </c>
      <c r="H9" s="320"/>
      <c r="I9" s="320" t="s">
        <v>243</v>
      </c>
      <c r="J9" s="323" t="s">
        <v>0</v>
      </c>
      <c r="K9" s="324" t="s">
        <v>1</v>
      </c>
      <c r="L9" s="324" t="s">
        <v>49</v>
      </c>
      <c r="M9" s="324" t="s">
        <v>6</v>
      </c>
      <c r="N9" s="325" t="s">
        <v>7</v>
      </c>
      <c r="P9" s="320"/>
      <c r="AI9" s="269">
        <v>1.1499999999999999</v>
      </c>
      <c r="AJ9" s="352">
        <v>1.3474816000000001</v>
      </c>
      <c r="AK9" s="352">
        <v>2.4866166564680849E-2</v>
      </c>
      <c r="AL9" s="35">
        <v>3.8434417349999999</v>
      </c>
      <c r="AM9" s="352">
        <v>7.0516435885886212E-3</v>
      </c>
      <c r="AN9" s="352">
        <v>3.2322072930000001</v>
      </c>
      <c r="AO9" s="352">
        <v>2.8376849909894752E-2</v>
      </c>
      <c r="AP9" s="33">
        <v>2.7220120300000001</v>
      </c>
      <c r="AQ9" s="270">
        <v>0.10016396658104371</v>
      </c>
    </row>
    <row r="10" spans="1:44">
      <c r="B10" s="320">
        <f>0.0615</f>
        <v>6.1499999999999999E-2</v>
      </c>
      <c r="C10" s="332">
        <v>15</v>
      </c>
      <c r="D10" s="333">
        <v>133</v>
      </c>
      <c r="E10" s="330">
        <v>23.752154340000001</v>
      </c>
      <c r="F10" s="320">
        <v>25.45954811</v>
      </c>
      <c r="G10" s="328">
        <f t="shared" ref="G10:G13" si="0">F10-E10</f>
        <v>1.7073937699999995</v>
      </c>
      <c r="H10" s="320"/>
      <c r="I10" s="320">
        <f>0.0938</f>
        <v>9.3799999999999994E-2</v>
      </c>
      <c r="J10" s="332">
        <v>15</v>
      </c>
      <c r="K10" s="333">
        <v>133</v>
      </c>
      <c r="L10" s="330">
        <v>23.74489002</v>
      </c>
      <c r="M10" s="320">
        <v>24.921589040000001</v>
      </c>
      <c r="N10" s="328">
        <f t="shared" ref="N10:N13" si="1">M10-L10</f>
        <v>1.1766990200000009</v>
      </c>
      <c r="P10" s="241"/>
      <c r="AI10" s="269">
        <v>3.601</v>
      </c>
      <c r="AJ10" s="352">
        <v>1.52550133333333</v>
      </c>
      <c r="AK10" s="352">
        <v>9.2905033719790295E-2</v>
      </c>
      <c r="AL10" s="352">
        <v>3.7315996500000002</v>
      </c>
      <c r="AM10" s="352">
        <v>0.11348327032778069</v>
      </c>
      <c r="AN10" s="352">
        <v>2.874308235</v>
      </c>
      <c r="AO10" s="352">
        <v>0.13713447187889158</v>
      </c>
      <c r="AP10" s="33">
        <v>2.4868504499999999</v>
      </c>
      <c r="AQ10" s="270">
        <v>2.1179686574167945E-2</v>
      </c>
    </row>
    <row r="11" spans="1:44">
      <c r="B11" s="320"/>
      <c r="C11" s="332">
        <v>15</v>
      </c>
      <c r="D11" s="333">
        <v>133</v>
      </c>
      <c r="E11" s="333">
        <v>23.750198560000001</v>
      </c>
      <c r="F11" s="411">
        <v>25.446137069999999</v>
      </c>
      <c r="G11" s="334">
        <f t="shared" si="0"/>
        <v>1.6959385099999977</v>
      </c>
      <c r="H11" s="320"/>
      <c r="I11" s="320"/>
      <c r="J11" s="332">
        <v>15</v>
      </c>
      <c r="K11" s="333">
        <v>133</v>
      </c>
      <c r="L11" s="333">
        <v>23.737625699999999</v>
      </c>
      <c r="M11" s="411">
        <v>24.861870280000002</v>
      </c>
      <c r="N11" s="334">
        <f t="shared" si="1"/>
        <v>1.1242445800000027</v>
      </c>
      <c r="P11" s="320"/>
      <c r="AI11" s="269">
        <v>5.282</v>
      </c>
      <c r="AJ11" s="352">
        <v>1.5941419400000001</v>
      </c>
      <c r="AK11" s="352">
        <v>5.1029874072841389E-2</v>
      </c>
      <c r="AL11" s="352">
        <v>3.6566926254999998</v>
      </c>
      <c r="AM11" s="352">
        <v>0.12289850318529734</v>
      </c>
      <c r="AN11" s="352">
        <v>2.7667724200000001</v>
      </c>
      <c r="AO11" s="352">
        <v>6.5675992983792425E-2</v>
      </c>
      <c r="AP11" s="33">
        <v>2.40000312</v>
      </c>
      <c r="AQ11" s="270">
        <v>6.0578262208325455E-3</v>
      </c>
    </row>
    <row r="12" spans="1:44">
      <c r="B12" s="320">
        <f>0.0252</f>
        <v>2.52E-2</v>
      </c>
      <c r="C12" s="332">
        <v>15</v>
      </c>
      <c r="D12" s="333">
        <v>133</v>
      </c>
      <c r="E12" s="330">
        <v>25.59216846</v>
      </c>
      <c r="F12" s="320">
        <v>26.289542839999999</v>
      </c>
      <c r="G12" s="328">
        <f t="shared" si="0"/>
        <v>0.69737437999999941</v>
      </c>
      <c r="H12" s="320"/>
      <c r="I12" s="320">
        <f>0.0935</f>
        <v>9.35E-2</v>
      </c>
      <c r="J12" s="332">
        <v>15</v>
      </c>
      <c r="K12" s="333">
        <v>133</v>
      </c>
      <c r="L12" s="330">
        <v>23.73697378</v>
      </c>
      <c r="M12" s="320">
        <v>24.908457389999999</v>
      </c>
      <c r="N12" s="328">
        <f t="shared" si="1"/>
        <v>1.1714836099999992</v>
      </c>
      <c r="P12" s="241"/>
      <c r="AI12" s="269">
        <v>6.3570000000000002</v>
      </c>
      <c r="AJ12" s="352">
        <v>1.605796695</v>
      </c>
      <c r="AK12" s="352">
        <v>2.8935990354478986E-2</v>
      </c>
      <c r="AL12" s="352">
        <v>3.5739301929999998</v>
      </c>
      <c r="AM12" s="352">
        <v>0.10467356836233303</v>
      </c>
      <c r="AN12" s="352">
        <v>2.7389688849999998</v>
      </c>
      <c r="AO12" s="352">
        <v>2.0631742458357995E-2</v>
      </c>
      <c r="AP12" s="33">
        <v>2.3850211849999998</v>
      </c>
      <c r="AQ12" s="270">
        <v>5.3029918532358597E-2</v>
      </c>
    </row>
    <row r="13" spans="1:44">
      <c r="B13" s="320"/>
      <c r="C13" s="332">
        <v>15</v>
      </c>
      <c r="D13" s="333">
        <v>133</v>
      </c>
      <c r="E13" s="333">
        <v>25.43272602</v>
      </c>
      <c r="F13" s="411">
        <v>26.274082889999999</v>
      </c>
      <c r="G13" s="334">
        <f t="shared" si="0"/>
        <v>0.84135686999999848</v>
      </c>
      <c r="H13" s="320"/>
      <c r="I13" s="320"/>
      <c r="J13" s="332">
        <v>15</v>
      </c>
      <c r="K13" s="333">
        <v>133</v>
      </c>
      <c r="L13" s="333">
        <v>23.72710176</v>
      </c>
      <c r="M13" s="411">
        <v>24.933002699999999</v>
      </c>
      <c r="N13" s="334">
        <f t="shared" si="1"/>
        <v>1.2059009399999994</v>
      </c>
      <c r="P13" s="320"/>
      <c r="AI13" s="368">
        <v>7.75</v>
      </c>
      <c r="AJ13" s="15">
        <v>1.63173904</v>
      </c>
      <c r="AK13" s="15">
        <v>8.3834579977673973E-4</v>
      </c>
      <c r="AL13" s="15">
        <v>3.3064607050000001</v>
      </c>
      <c r="AM13" s="15">
        <v>0.12289850318529734</v>
      </c>
      <c r="AN13" s="15">
        <v>2.6743082349999998</v>
      </c>
      <c r="AO13" s="15">
        <v>1.9239930038813819E-2</v>
      </c>
      <c r="AP13" s="37">
        <v>2.1505873835</v>
      </c>
      <c r="AQ13" s="262">
        <v>0.19361364809748813</v>
      </c>
    </row>
    <row r="14" spans="1:44">
      <c r="B14" s="320">
        <f>0.0308</f>
        <v>3.0800000000000001E-2</v>
      </c>
      <c r="C14" s="332">
        <v>15</v>
      </c>
      <c r="D14" s="333">
        <v>133</v>
      </c>
      <c r="E14" s="330">
        <v>23.73622872</v>
      </c>
      <c r="F14" s="320">
        <v>24.748669549999999</v>
      </c>
      <c r="G14" s="328">
        <f t="shared" ref="G14:G15" si="2">F14-E14</f>
        <v>1.0124408299999992</v>
      </c>
      <c r="H14" s="320"/>
      <c r="I14" s="320"/>
      <c r="J14" s="320"/>
      <c r="K14" s="320"/>
      <c r="L14" s="320"/>
      <c r="M14" s="320"/>
      <c r="N14" s="320"/>
    </row>
    <row r="15" spans="1:44">
      <c r="B15" s="320"/>
      <c r="C15" s="332">
        <v>15</v>
      </c>
      <c r="D15" s="333">
        <v>133</v>
      </c>
      <c r="E15" s="333">
        <v>23.725145980000001</v>
      </c>
      <c r="F15" s="411">
        <v>24.76375698</v>
      </c>
      <c r="G15" s="334">
        <f t="shared" si="2"/>
        <v>1.0386109999999995</v>
      </c>
      <c r="H15" s="320"/>
      <c r="I15" s="320"/>
      <c r="J15" s="320"/>
      <c r="K15" s="320"/>
      <c r="L15" s="320"/>
      <c r="M15" s="320"/>
      <c r="N15" s="320"/>
    </row>
    <row r="16" spans="1:44">
      <c r="AI16" s="13" t="s">
        <v>167</v>
      </c>
      <c r="AK16" s="508" t="s">
        <v>7</v>
      </c>
      <c r="AL16" s="512"/>
      <c r="AM16" s="512"/>
      <c r="AN16" s="512"/>
      <c r="AO16" s="512"/>
      <c r="AP16" s="512"/>
      <c r="AQ16" s="512"/>
      <c r="AR16" s="513"/>
    </row>
    <row r="17" spans="1:44">
      <c r="AJ17" s="389" t="s">
        <v>126</v>
      </c>
      <c r="AK17" s="390" t="s">
        <v>30</v>
      </c>
      <c r="AL17" s="390" t="s">
        <v>97</v>
      </c>
      <c r="AM17" s="390" t="s">
        <v>5</v>
      </c>
      <c r="AN17" s="390" t="s">
        <v>97</v>
      </c>
      <c r="AO17" s="390" t="s">
        <v>9</v>
      </c>
      <c r="AP17" s="390" t="s">
        <v>97</v>
      </c>
      <c r="AQ17" s="390" t="s">
        <v>122</v>
      </c>
      <c r="AR17" s="391" t="s">
        <v>97</v>
      </c>
    </row>
    <row r="18" spans="1:44">
      <c r="A18" s="68" t="s">
        <v>247</v>
      </c>
      <c r="B18" s="68" t="s">
        <v>246</v>
      </c>
      <c r="I18" s="68" t="s">
        <v>247</v>
      </c>
      <c r="J18" s="68" t="s">
        <v>253</v>
      </c>
      <c r="Q18" s="68" t="s">
        <v>247</v>
      </c>
      <c r="R18" s="68" t="s">
        <v>252</v>
      </c>
      <c r="Y18" s="68" t="s">
        <v>247</v>
      </c>
      <c r="Z18" s="68" t="s">
        <v>251</v>
      </c>
      <c r="AJ18" s="269">
        <v>1.1499999999999999</v>
      </c>
      <c r="AK18" s="352">
        <v>3.4112485290620818</v>
      </c>
      <c r="AL18" s="352">
        <v>9.2486616656467999E-2</v>
      </c>
      <c r="AM18" s="352">
        <v>5.70267473</v>
      </c>
      <c r="AN18" s="352">
        <v>0.36470197551671579</v>
      </c>
      <c r="AO18" s="352">
        <v>4.4045430100000011</v>
      </c>
      <c r="AP18" s="352">
        <v>2.8376849909894752E-2</v>
      </c>
      <c r="AQ18" s="33">
        <v>3.8816805686949798</v>
      </c>
      <c r="AR18" s="270">
        <v>0.10016396658104371</v>
      </c>
    </row>
    <row r="19" spans="1:44">
      <c r="B19" s="68" t="s">
        <v>248</v>
      </c>
      <c r="J19" s="68" t="s">
        <v>248</v>
      </c>
      <c r="O19" s="241"/>
      <c r="R19" s="68" t="s">
        <v>248</v>
      </c>
      <c r="Y19" s="68" t="s">
        <v>248</v>
      </c>
      <c r="AJ19" s="269">
        <v>3.601</v>
      </c>
      <c r="AK19" s="352">
        <v>3.7472697345775288</v>
      </c>
      <c r="AL19" s="352">
        <v>9.2905033719790295E-2</v>
      </c>
      <c r="AM19" s="13">
        <v>6.0444235699999975</v>
      </c>
      <c r="AN19" s="352">
        <v>0.11346723314598318</v>
      </c>
      <c r="AO19" s="352">
        <v>4.9830565699999987</v>
      </c>
      <c r="AP19" s="352">
        <v>3.9678391929602513E-2</v>
      </c>
      <c r="AQ19" s="33">
        <v>4.2914601289999998</v>
      </c>
      <c r="AR19" s="270">
        <v>6.0578262208325455E-3</v>
      </c>
    </row>
    <row r="20" spans="1:44" ht="18.75">
      <c r="B20" s="320" t="s">
        <v>243</v>
      </c>
      <c r="C20" s="323" t="s">
        <v>0</v>
      </c>
      <c r="D20" s="324" t="s">
        <v>1</v>
      </c>
      <c r="E20" s="324" t="s">
        <v>49</v>
      </c>
      <c r="F20" s="324" t="s">
        <v>6</v>
      </c>
      <c r="G20" s="325" t="s">
        <v>7</v>
      </c>
      <c r="J20" s="320" t="s">
        <v>243</v>
      </c>
      <c r="K20" s="323" t="s">
        <v>0</v>
      </c>
      <c r="L20" s="324" t="s">
        <v>1</v>
      </c>
      <c r="M20" s="324" t="s">
        <v>49</v>
      </c>
      <c r="N20" s="324" t="s">
        <v>6</v>
      </c>
      <c r="O20" s="325" t="s">
        <v>7</v>
      </c>
      <c r="R20" s="320" t="s">
        <v>243</v>
      </c>
      <c r="S20" s="323" t="s">
        <v>0</v>
      </c>
      <c r="T20" s="324"/>
      <c r="U20" s="324" t="s">
        <v>49</v>
      </c>
      <c r="V20" s="324" t="s">
        <v>6</v>
      </c>
      <c r="W20" s="325" t="s">
        <v>7</v>
      </c>
      <c r="Y20" s="320" t="s">
        <v>243</v>
      </c>
      <c r="Z20" s="323" t="s">
        <v>0</v>
      </c>
      <c r="AA20" s="324" t="s">
        <v>1</v>
      </c>
      <c r="AB20" s="324" t="s">
        <v>49</v>
      </c>
      <c r="AC20" s="324" t="s">
        <v>6</v>
      </c>
      <c r="AD20" s="325" t="s">
        <v>7</v>
      </c>
      <c r="AJ20" s="368">
        <v>6.3570000000000002</v>
      </c>
      <c r="AK20" s="15">
        <v>4.0472697345775259</v>
      </c>
      <c r="AL20" s="15">
        <v>8.3834579977673973E-4</v>
      </c>
      <c r="AM20" s="15">
        <v>6.2071315250000012</v>
      </c>
      <c r="AN20" s="15">
        <v>0.10389915208664501</v>
      </c>
      <c r="AO20" s="15">
        <v>5.1935672099999994</v>
      </c>
      <c r="AP20" s="15">
        <v>0.12545273551350147</v>
      </c>
      <c r="AQ20" s="37">
        <v>4.7017252450000004</v>
      </c>
      <c r="AR20" s="262">
        <v>8.8852499610557384E-2</v>
      </c>
    </row>
    <row r="21" spans="1:44">
      <c r="B21" s="320">
        <v>9.64E-2</v>
      </c>
      <c r="C21" s="462">
        <v>15</v>
      </c>
      <c r="D21" s="463">
        <v>133</v>
      </c>
      <c r="E21" s="330">
        <v>23.72570477</v>
      </c>
      <c r="F21" s="320">
        <v>27.047059770000001</v>
      </c>
      <c r="G21" s="328">
        <f t="shared" ref="G21:G24" si="3">F21-E21</f>
        <v>3.3213550000000005</v>
      </c>
      <c r="J21" s="320">
        <v>9.5799999999999996E-2</v>
      </c>
      <c r="K21" s="462">
        <v>15</v>
      </c>
      <c r="L21" s="463">
        <v>133</v>
      </c>
      <c r="M21" s="330">
        <v>23.567845590000001</v>
      </c>
      <c r="N21" s="320">
        <v>26.381501589999999</v>
      </c>
      <c r="O21" s="328">
        <f t="shared" ref="O21:O24" si="4">N21-M21</f>
        <v>2.8136559999999982</v>
      </c>
      <c r="R21" s="320">
        <v>9.5799999999999996E-2</v>
      </c>
      <c r="S21" s="462">
        <v>15</v>
      </c>
      <c r="T21" s="463">
        <v>133</v>
      </c>
      <c r="U21" s="330">
        <v>23.741816650000001</v>
      </c>
      <c r="V21" s="320">
        <v>26.607103649999999</v>
      </c>
      <c r="W21" s="328">
        <f>V21-U21</f>
        <v>2.8652869999999986</v>
      </c>
      <c r="Y21" s="320">
        <v>9.5799999999999996E-2</v>
      </c>
      <c r="Z21" s="462">
        <v>15</v>
      </c>
      <c r="AA21" s="463">
        <v>133</v>
      </c>
      <c r="AB21" s="330">
        <v>23.741537260000001</v>
      </c>
      <c r="AC21" s="320">
        <v>26.64490026</v>
      </c>
      <c r="AD21" s="328">
        <f t="shared" ref="AD21:AD24" si="5">AC21-AB21</f>
        <v>2.9033629999999988</v>
      </c>
    </row>
    <row r="22" spans="1:44">
      <c r="B22" s="320"/>
      <c r="C22" s="332">
        <v>15</v>
      </c>
      <c r="D22" s="333">
        <v>133</v>
      </c>
      <c r="E22" s="333">
        <v>23.732782820000001</v>
      </c>
      <c r="F22" s="411">
        <v>26.990251570000002</v>
      </c>
      <c r="G22" s="334">
        <f t="shared" si="3"/>
        <v>3.257468750000001</v>
      </c>
      <c r="J22" s="320"/>
      <c r="K22" s="332">
        <v>15</v>
      </c>
      <c r="L22" s="333">
        <v>133</v>
      </c>
      <c r="M22" s="333">
        <v>23.73464547</v>
      </c>
      <c r="N22" s="411">
        <v>26.54144033</v>
      </c>
      <c r="O22" s="334">
        <f t="shared" si="4"/>
        <v>2.8067948600000001</v>
      </c>
      <c r="R22" s="320"/>
      <c r="S22" s="332">
        <v>15</v>
      </c>
      <c r="T22" s="333">
        <v>133</v>
      </c>
      <c r="U22" s="333">
        <v>23.734179810000001</v>
      </c>
      <c r="V22" s="411">
        <v>26.58386827</v>
      </c>
      <c r="W22" s="334">
        <f>V22-U22</f>
        <v>2.8496884599999994</v>
      </c>
      <c r="Y22" s="320"/>
      <c r="Z22" s="332">
        <v>15</v>
      </c>
      <c r="AA22" s="333">
        <v>133</v>
      </c>
      <c r="AB22" s="333">
        <v>24.076627139999999</v>
      </c>
      <c r="AC22" s="411">
        <v>26.94418129</v>
      </c>
      <c r="AD22" s="334">
        <f t="shared" si="5"/>
        <v>2.8675541500000001</v>
      </c>
    </row>
    <row r="23" spans="1:44">
      <c r="B23" s="320">
        <v>9.0800000000000006E-2</v>
      </c>
      <c r="C23" s="462">
        <v>15</v>
      </c>
      <c r="D23" s="463">
        <v>133</v>
      </c>
      <c r="E23" s="330">
        <v>23.73436607</v>
      </c>
      <c r="F23" s="320">
        <v>27.216210069999999</v>
      </c>
      <c r="G23" s="328">
        <f t="shared" si="3"/>
        <v>3.4818439999999988</v>
      </c>
      <c r="J23" s="320">
        <v>8.8400000000000006E-2</v>
      </c>
      <c r="K23" s="462">
        <v>15</v>
      </c>
      <c r="L23" s="463">
        <v>133</v>
      </c>
      <c r="M23" s="330">
        <v>23.571291479999999</v>
      </c>
      <c r="N23" s="320">
        <v>26.69148848</v>
      </c>
      <c r="O23" s="328">
        <f t="shared" si="4"/>
        <v>3.120197000000001</v>
      </c>
      <c r="R23" s="320">
        <v>8.8400000000000006E-2</v>
      </c>
      <c r="S23" s="462">
        <v>15</v>
      </c>
      <c r="T23" s="463">
        <v>133</v>
      </c>
      <c r="U23" s="330">
        <v>23.736880639999999</v>
      </c>
      <c r="V23" s="320">
        <v>26.75019764</v>
      </c>
      <c r="W23" s="328">
        <f>V23-U23</f>
        <v>3.0133170000000007</v>
      </c>
      <c r="Y23" s="320">
        <v>9.1700000000000004E-2</v>
      </c>
      <c r="Z23" s="462">
        <v>15</v>
      </c>
      <c r="AA23" s="463">
        <v>133</v>
      </c>
      <c r="AB23" s="330">
        <v>23.753724160000001</v>
      </c>
      <c r="AC23" s="320">
        <v>26.479304160000002</v>
      </c>
      <c r="AD23" s="328">
        <f t="shared" si="5"/>
        <v>2.7255800000000008</v>
      </c>
    </row>
    <row r="24" spans="1:44">
      <c r="B24" s="320"/>
      <c r="C24" s="332">
        <v>15</v>
      </c>
      <c r="D24" s="333">
        <v>133</v>
      </c>
      <c r="E24" s="333">
        <v>23.733341620000001</v>
      </c>
      <c r="F24" s="411">
        <v>27.09400398</v>
      </c>
      <c r="G24" s="334">
        <f t="shared" si="3"/>
        <v>3.3606623599999992</v>
      </c>
      <c r="J24" s="320"/>
      <c r="K24" s="332">
        <v>15</v>
      </c>
      <c r="L24" s="333">
        <v>133</v>
      </c>
      <c r="M24" s="333">
        <v>23.5696151</v>
      </c>
      <c r="N24" s="411">
        <v>26.62313954</v>
      </c>
      <c r="O24" s="334">
        <f t="shared" si="4"/>
        <v>3.0535244400000003</v>
      </c>
      <c r="R24" s="320"/>
      <c r="S24" s="332">
        <v>15</v>
      </c>
      <c r="T24" s="333">
        <v>133</v>
      </c>
      <c r="U24" s="333">
        <v>23.739395219999999</v>
      </c>
      <c r="V24" s="411">
        <v>26.73570625</v>
      </c>
      <c r="W24" s="334">
        <f>V24-U24</f>
        <v>2.9963110300000011</v>
      </c>
      <c r="Y24" s="320"/>
      <c r="Z24" s="332">
        <v>15</v>
      </c>
      <c r="AA24" s="333">
        <v>133</v>
      </c>
      <c r="AB24" s="333">
        <v>24.027147660000001</v>
      </c>
      <c r="AC24" s="411">
        <v>26.68129441</v>
      </c>
      <c r="AD24" s="334">
        <f t="shared" si="5"/>
        <v>2.6541467499999989</v>
      </c>
    </row>
    <row r="25" spans="1:44">
      <c r="J25" s="320"/>
      <c r="K25" s="320"/>
      <c r="L25" s="320"/>
      <c r="M25" s="320"/>
      <c r="N25" s="320"/>
      <c r="O25" s="320"/>
    </row>
    <row r="26" spans="1:44">
      <c r="B26" s="68" t="s">
        <v>249</v>
      </c>
      <c r="C26" s="241"/>
      <c r="J26" s="68" t="s">
        <v>249</v>
      </c>
      <c r="R26" s="68" t="s">
        <v>249</v>
      </c>
      <c r="S26" s="320"/>
      <c r="T26" s="320"/>
      <c r="U26" s="320"/>
      <c r="V26" s="320"/>
      <c r="W26" s="320"/>
      <c r="Y26" s="68" t="s">
        <v>249</v>
      </c>
    </row>
    <row r="27" spans="1:44" ht="18.75">
      <c r="B27" s="320" t="s">
        <v>243</v>
      </c>
      <c r="C27" s="323" t="s">
        <v>0</v>
      </c>
      <c r="D27" s="324" t="s">
        <v>1</v>
      </c>
      <c r="E27" s="324" t="s">
        <v>49</v>
      </c>
      <c r="F27" s="324" t="s">
        <v>6</v>
      </c>
      <c r="G27" s="325" t="s">
        <v>7</v>
      </c>
      <c r="J27" s="320" t="s">
        <v>243</v>
      </c>
      <c r="K27" s="323" t="s">
        <v>0</v>
      </c>
      <c r="L27" s="324" t="s">
        <v>1</v>
      </c>
      <c r="M27" s="324" t="s">
        <v>49</v>
      </c>
      <c r="N27" s="324" t="s">
        <v>6</v>
      </c>
      <c r="O27" s="325" t="s">
        <v>7</v>
      </c>
      <c r="R27" s="320" t="s">
        <v>243</v>
      </c>
      <c r="S27" s="323" t="s">
        <v>0</v>
      </c>
      <c r="T27" s="324" t="s">
        <v>1</v>
      </c>
      <c r="U27" s="324" t="s">
        <v>49</v>
      </c>
      <c r="V27" s="324" t="s">
        <v>6</v>
      </c>
      <c r="W27" s="325" t="s">
        <v>7</v>
      </c>
      <c r="Y27" s="320" t="s">
        <v>243</v>
      </c>
      <c r="Z27" s="323" t="s">
        <v>0</v>
      </c>
      <c r="AA27" s="324" t="s">
        <v>1</v>
      </c>
      <c r="AB27" s="324" t="s">
        <v>49</v>
      </c>
      <c r="AC27" s="324" t="s">
        <v>6</v>
      </c>
      <c r="AD27" s="325" t="s">
        <v>7</v>
      </c>
    </row>
    <row r="28" spans="1:44">
      <c r="B28" s="320">
        <v>8.8099999999999998E-2</v>
      </c>
      <c r="C28" s="462">
        <v>15</v>
      </c>
      <c r="D28" s="463">
        <v>133</v>
      </c>
      <c r="E28" s="330">
        <v>23.731013310000002</v>
      </c>
      <c r="F28" s="320">
        <v>26.46494191</v>
      </c>
      <c r="G28" s="328">
        <f t="shared" ref="G28:G31" si="6">F28-E28</f>
        <v>2.7339285999999987</v>
      </c>
      <c r="J28" s="320">
        <v>9.1999999999999998E-2</v>
      </c>
      <c r="K28" s="462">
        <v>15</v>
      </c>
      <c r="L28" s="463">
        <v>133</v>
      </c>
      <c r="M28" s="330">
        <v>23.565517280000002</v>
      </c>
      <c r="N28" s="320">
        <v>26.085849280000001</v>
      </c>
      <c r="O28" s="328">
        <f t="shared" ref="O28:O31" si="7">N28-M28</f>
        <v>2.5203319999999998</v>
      </c>
      <c r="R28" s="320">
        <v>9.5000000000000001E-2</v>
      </c>
      <c r="S28" s="462">
        <v>15</v>
      </c>
      <c r="T28" s="463">
        <v>133</v>
      </c>
      <c r="U28" s="330">
        <v>23.567193660000001</v>
      </c>
      <c r="V28" s="320">
        <v>26.091573660000002</v>
      </c>
      <c r="W28" s="328">
        <f t="shared" ref="W28:W31" si="8">V28-U28</f>
        <v>2.5243800000000007</v>
      </c>
      <c r="Y28" s="320">
        <v>9.1499999999999998E-2</v>
      </c>
      <c r="Z28" s="462">
        <v>15</v>
      </c>
      <c r="AA28" s="463">
        <v>133</v>
      </c>
      <c r="AB28" s="330">
        <v>23.801980100000002</v>
      </c>
      <c r="AC28" s="320">
        <v>26.2626831</v>
      </c>
      <c r="AD28" s="328">
        <f t="shared" ref="AD28:AD31" si="9">AC28-AB28</f>
        <v>2.4607029999999988</v>
      </c>
    </row>
    <row r="29" spans="1:44">
      <c r="B29" s="320"/>
      <c r="C29" s="332">
        <v>15</v>
      </c>
      <c r="D29" s="333">
        <v>133</v>
      </c>
      <c r="E29" s="333">
        <v>23.730827049999998</v>
      </c>
      <c r="F29" s="411">
        <v>26.44385256</v>
      </c>
      <c r="G29" s="334">
        <f t="shared" si="6"/>
        <v>2.7130255100000014</v>
      </c>
      <c r="J29" s="320"/>
      <c r="K29" s="332">
        <v>15</v>
      </c>
      <c r="L29" s="333">
        <v>133</v>
      </c>
      <c r="M29" s="333">
        <v>23.745076279999999</v>
      </c>
      <c r="N29" s="411">
        <v>26.25729196</v>
      </c>
      <c r="O29" s="334">
        <f t="shared" si="7"/>
        <v>2.5122156800000006</v>
      </c>
      <c r="R29" s="320"/>
      <c r="S29" s="332">
        <v>15</v>
      </c>
      <c r="T29" s="333">
        <v>133</v>
      </c>
      <c r="U29" s="333">
        <v>23.572595329999999</v>
      </c>
      <c r="V29" s="411">
        <v>25.993081870000001</v>
      </c>
      <c r="W29" s="334">
        <f t="shared" si="8"/>
        <v>2.4204865400000024</v>
      </c>
      <c r="Y29" s="320"/>
      <c r="Z29" s="332">
        <v>15</v>
      </c>
      <c r="AA29" s="333">
        <v>133</v>
      </c>
      <c r="AB29" s="333">
        <v>24.0742057</v>
      </c>
      <c r="AC29" s="411">
        <v>26.50876882</v>
      </c>
      <c r="AD29" s="334">
        <f t="shared" si="9"/>
        <v>2.43456312</v>
      </c>
    </row>
    <row r="30" spans="1:44">
      <c r="B30" s="320">
        <v>8.9200000000000002E-2</v>
      </c>
      <c r="C30" s="462">
        <v>15</v>
      </c>
      <c r="D30" s="463">
        <v>133</v>
      </c>
      <c r="E30" s="330">
        <v>24.07429883</v>
      </c>
      <c r="F30" s="320">
        <v>26.61428883</v>
      </c>
      <c r="G30" s="328">
        <f t="shared" si="6"/>
        <v>2.5399899999999995</v>
      </c>
      <c r="J30" s="320">
        <v>9.8400000000000001E-2</v>
      </c>
      <c r="K30" s="462">
        <v>15</v>
      </c>
      <c r="L30" s="463">
        <v>133</v>
      </c>
      <c r="M30" s="330">
        <v>23.74386556</v>
      </c>
      <c r="N30" s="320">
        <v>26.35707756</v>
      </c>
      <c r="O30" s="328">
        <f t="shared" si="7"/>
        <v>2.6132120000000008</v>
      </c>
      <c r="R30" s="320">
        <v>9.2999999999999999E-2</v>
      </c>
      <c r="S30" s="462">
        <v>15</v>
      </c>
      <c r="T30" s="463">
        <v>133</v>
      </c>
      <c r="U30" s="330">
        <v>23.56952197</v>
      </c>
      <c r="V30" s="320">
        <v>26.123078970000002</v>
      </c>
      <c r="W30" s="328">
        <f t="shared" si="8"/>
        <v>2.5535570000000014</v>
      </c>
      <c r="Y30" s="320">
        <v>9.9199999999999997E-2</v>
      </c>
      <c r="Z30" s="462">
        <v>15</v>
      </c>
      <c r="AA30" s="463">
        <v>133</v>
      </c>
      <c r="AB30" s="330">
        <v>23.872364040000001</v>
      </c>
      <c r="AC30" s="320">
        <v>26.360276040000002</v>
      </c>
      <c r="AD30" s="328">
        <f t="shared" si="9"/>
        <v>2.4879120000000015</v>
      </c>
    </row>
    <row r="31" spans="1:44">
      <c r="B31" s="320"/>
      <c r="C31" s="332">
        <v>15</v>
      </c>
      <c r="D31" s="333">
        <v>133</v>
      </c>
      <c r="E31" s="333">
        <v>23.73613559</v>
      </c>
      <c r="F31" s="411">
        <v>26.265153959999999</v>
      </c>
      <c r="G31" s="334">
        <f t="shared" si="6"/>
        <v>2.5290183699999993</v>
      </c>
      <c r="J31" s="320"/>
      <c r="K31" s="332">
        <v>15</v>
      </c>
      <c r="L31" s="333">
        <v>133</v>
      </c>
      <c r="M31" s="333">
        <v>23.739954010000002</v>
      </c>
      <c r="N31" s="411">
        <v>26.263510839999999</v>
      </c>
      <c r="O31" s="334">
        <f t="shared" si="7"/>
        <v>2.5235568299999969</v>
      </c>
      <c r="R31" s="320"/>
      <c r="S31" s="332">
        <v>15</v>
      </c>
      <c r="T31" s="333">
        <v>133</v>
      </c>
      <c r="U31" s="333">
        <v>23.74321364</v>
      </c>
      <c r="V31" s="411">
        <v>26.236850960000002</v>
      </c>
      <c r="W31" s="334">
        <f t="shared" si="8"/>
        <v>2.4936373200000013</v>
      </c>
      <c r="Y31" s="320"/>
      <c r="Z31" s="332">
        <v>15</v>
      </c>
      <c r="AA31" s="333">
        <v>133</v>
      </c>
      <c r="AB31" s="333">
        <v>24.07523016</v>
      </c>
      <c r="AC31" s="411">
        <v>26.408280340000001</v>
      </c>
      <c r="AD31" s="334">
        <f t="shared" si="9"/>
        <v>2.3330501800000008</v>
      </c>
    </row>
    <row r="32" spans="1:44">
      <c r="C32" s="241"/>
    </row>
    <row r="33" spans="1:30" ht="15.75">
      <c r="B33" s="68" t="s">
        <v>250</v>
      </c>
      <c r="C33" s="320"/>
      <c r="J33" s="68" t="s">
        <v>250</v>
      </c>
      <c r="R33" s="68" t="s">
        <v>250</v>
      </c>
      <c r="S33" s="434"/>
      <c r="Y33" s="68" t="s">
        <v>250</v>
      </c>
    </row>
    <row r="34" spans="1:30" ht="18.75">
      <c r="B34" s="320" t="s">
        <v>243</v>
      </c>
      <c r="C34" s="323" t="s">
        <v>0</v>
      </c>
      <c r="D34" s="324" t="s">
        <v>1</v>
      </c>
      <c r="E34" s="324" t="s">
        <v>49</v>
      </c>
      <c r="F34" s="324" t="s">
        <v>6</v>
      </c>
      <c r="G34" s="325" t="s">
        <v>7</v>
      </c>
      <c r="J34" s="320" t="s">
        <v>243</v>
      </c>
      <c r="K34" s="323" t="s">
        <v>0</v>
      </c>
      <c r="L34" s="324" t="s">
        <v>1</v>
      </c>
      <c r="M34" s="324" t="s">
        <v>49</v>
      </c>
      <c r="N34" s="324" t="s">
        <v>6</v>
      </c>
      <c r="O34" s="325" t="s">
        <v>7</v>
      </c>
      <c r="R34" s="320" t="s">
        <v>243</v>
      </c>
      <c r="S34" s="323" t="s">
        <v>0</v>
      </c>
      <c r="T34" s="324" t="s">
        <v>1</v>
      </c>
      <c r="U34" s="324" t="s">
        <v>49</v>
      </c>
      <c r="V34" s="324" t="s">
        <v>6</v>
      </c>
      <c r="W34" s="325" t="s">
        <v>7</v>
      </c>
      <c r="Y34" s="320" t="s">
        <v>243</v>
      </c>
      <c r="Z34" s="323" t="s">
        <v>0</v>
      </c>
      <c r="AA34" s="324" t="s">
        <v>1</v>
      </c>
      <c r="AB34" s="324" t="s">
        <v>49</v>
      </c>
      <c r="AC34" s="324" t="s">
        <v>6</v>
      </c>
      <c r="AD34" s="325" t="s">
        <v>7</v>
      </c>
    </row>
    <row r="35" spans="1:30">
      <c r="B35" s="320">
        <v>9.2299999999999993E-2</v>
      </c>
      <c r="C35" s="462">
        <v>15</v>
      </c>
      <c r="D35" s="463">
        <v>133</v>
      </c>
      <c r="E35" s="330">
        <v>23.821072210000001</v>
      </c>
      <c r="F35" s="320">
        <v>26.14359121</v>
      </c>
      <c r="G35" s="328">
        <f t="shared" ref="G35:G38" si="10">F35-E35</f>
        <v>2.3225189999999998</v>
      </c>
      <c r="J35" s="320">
        <v>9.11E-2</v>
      </c>
      <c r="K35" s="462">
        <v>15</v>
      </c>
      <c r="L35" s="463">
        <v>133</v>
      </c>
      <c r="M35" s="330">
        <v>23.567193660000001</v>
      </c>
      <c r="N35" s="320">
        <v>25.867196660000001</v>
      </c>
      <c r="O35" s="328">
        <f t="shared" ref="O35:O38" si="11">N35-M35</f>
        <v>2.3000030000000002</v>
      </c>
      <c r="R35" s="320">
        <v>9.4100000000000003E-2</v>
      </c>
      <c r="S35" s="462">
        <v>15</v>
      </c>
      <c r="T35" s="463">
        <v>133</v>
      </c>
      <c r="U35" s="330">
        <v>23.566914260000001</v>
      </c>
      <c r="V35" s="320">
        <v>25.838788260000001</v>
      </c>
      <c r="W35" s="328">
        <f t="shared" ref="W35:W38" si="12">V35-U35</f>
        <v>2.2718740000000004</v>
      </c>
      <c r="Y35" s="320">
        <v>9.5699999999999993E-2</v>
      </c>
      <c r="Z35" s="462">
        <v>15</v>
      </c>
      <c r="AA35" s="463">
        <v>133</v>
      </c>
      <c r="AB35" s="330">
        <v>23.564772219999998</v>
      </c>
      <c r="AC35" s="320">
        <v>25.658259219999998</v>
      </c>
      <c r="AD35" s="328">
        <f t="shared" ref="AD35:AD38" si="13">AC35-AB35</f>
        <v>2.0934869999999997</v>
      </c>
    </row>
    <row r="36" spans="1:30">
      <c r="B36" s="320"/>
      <c r="C36" s="332">
        <v>15</v>
      </c>
      <c r="D36" s="333">
        <v>133</v>
      </c>
      <c r="E36" s="333">
        <v>23.743120510000001</v>
      </c>
      <c r="F36" s="411">
        <v>26.000616369999999</v>
      </c>
      <c r="G36" s="334">
        <f t="shared" si="10"/>
        <v>2.2574958599999988</v>
      </c>
      <c r="J36" s="320"/>
      <c r="K36" s="332">
        <v>15</v>
      </c>
      <c r="L36" s="333">
        <v>133</v>
      </c>
      <c r="M36" s="333">
        <v>23.572595329999999</v>
      </c>
      <c r="N36" s="411">
        <v>25.843081869999999</v>
      </c>
      <c r="O36" s="334">
        <f t="shared" si="11"/>
        <v>2.2704865400000003</v>
      </c>
      <c r="R36" s="320"/>
      <c r="S36" s="332">
        <v>15</v>
      </c>
      <c r="T36" s="333">
        <v>133</v>
      </c>
      <c r="U36" s="333">
        <v>23.63108239</v>
      </c>
      <c r="V36" s="411">
        <v>25.754125460000001</v>
      </c>
      <c r="W36" s="334">
        <f t="shared" si="12"/>
        <v>2.1230430700000014</v>
      </c>
      <c r="Y36" s="320"/>
      <c r="Z36" s="332">
        <v>15</v>
      </c>
      <c r="AA36" s="333">
        <v>133</v>
      </c>
      <c r="AB36" s="333">
        <v>23.571291479999999</v>
      </c>
      <c r="AC36" s="411">
        <v>25.597170479999999</v>
      </c>
      <c r="AD36" s="334">
        <f t="shared" si="13"/>
        <v>2.0258789999999998</v>
      </c>
    </row>
    <row r="37" spans="1:30">
      <c r="B37" s="320">
        <v>8.9200000000000002E-2</v>
      </c>
      <c r="C37" s="462">
        <v>15</v>
      </c>
      <c r="D37" s="463">
        <v>133</v>
      </c>
      <c r="E37" s="330">
        <v>23.73613559</v>
      </c>
      <c r="F37" s="320">
        <v>26.111115590000001</v>
      </c>
      <c r="G37" s="328">
        <f t="shared" si="10"/>
        <v>2.3749800000000008</v>
      </c>
      <c r="J37" s="320">
        <v>9.6299999999999997E-2</v>
      </c>
      <c r="K37" s="462">
        <v>15</v>
      </c>
      <c r="L37" s="463">
        <v>133</v>
      </c>
      <c r="M37" s="330">
        <v>23.56952197</v>
      </c>
      <c r="N37" s="320">
        <v>25.878092970000001</v>
      </c>
      <c r="O37" s="328">
        <f t="shared" si="11"/>
        <v>2.3085710000000006</v>
      </c>
      <c r="R37" s="320">
        <v>8.8400000000000006E-2</v>
      </c>
      <c r="S37" s="462">
        <v>15</v>
      </c>
      <c r="T37" s="463">
        <v>133</v>
      </c>
      <c r="U37" s="330">
        <v>23.57110522</v>
      </c>
      <c r="V37" s="320">
        <v>25.866085219999999</v>
      </c>
      <c r="W37" s="328">
        <f t="shared" si="12"/>
        <v>2.2949799999999989</v>
      </c>
      <c r="Y37" s="320">
        <v>8.9300000000000004E-2</v>
      </c>
      <c r="Z37" s="462">
        <v>15</v>
      </c>
      <c r="AA37" s="463">
        <v>133</v>
      </c>
      <c r="AB37" s="330">
        <v>23.564772219999998</v>
      </c>
      <c r="AC37" s="320">
        <v>25.604237219999998</v>
      </c>
      <c r="AD37" s="328">
        <f t="shared" si="13"/>
        <v>2.0394649999999999</v>
      </c>
    </row>
    <row r="38" spans="1:30">
      <c r="B38" s="320"/>
      <c r="C38" s="332">
        <v>15</v>
      </c>
      <c r="D38" s="333">
        <v>133</v>
      </c>
      <c r="E38" s="333">
        <v>23.73613559</v>
      </c>
      <c r="F38" s="411">
        <v>26.099033120000001</v>
      </c>
      <c r="G38" s="334">
        <f t="shared" si="10"/>
        <v>2.3628975300000015</v>
      </c>
      <c r="J38" s="320"/>
      <c r="K38" s="332">
        <v>15</v>
      </c>
      <c r="L38" s="333">
        <v>133</v>
      </c>
      <c r="M38" s="333">
        <v>23.74321364</v>
      </c>
      <c r="N38" s="411">
        <v>26.036850959999999</v>
      </c>
      <c r="O38" s="334">
        <f t="shared" si="11"/>
        <v>2.2936373199999984</v>
      </c>
      <c r="R38" s="320"/>
      <c r="S38" s="332">
        <v>15</v>
      </c>
      <c r="T38" s="333">
        <v>133</v>
      </c>
      <c r="U38" s="333">
        <v>23.560395010000001</v>
      </c>
      <c r="V38" s="411">
        <v>25.738593349999999</v>
      </c>
      <c r="W38" s="334">
        <f t="shared" si="12"/>
        <v>2.178198339999998</v>
      </c>
      <c r="Y38" s="320"/>
      <c r="Z38" s="332">
        <v>15</v>
      </c>
      <c r="AA38" s="333">
        <v>133</v>
      </c>
      <c r="AB38" s="333">
        <v>23.485297110000001</v>
      </c>
      <c r="AC38" s="411">
        <v>25.471700479999999</v>
      </c>
      <c r="AD38" s="334">
        <f t="shared" si="13"/>
        <v>1.9864033699999979</v>
      </c>
    </row>
    <row r="39" spans="1:30" ht="15.75">
      <c r="S39" s="434"/>
    </row>
    <row r="40" spans="1:30">
      <c r="S40" s="241"/>
    </row>
    <row r="41" spans="1:30">
      <c r="A41" s="482" t="s">
        <v>256</v>
      </c>
      <c r="B41" s="438"/>
      <c r="C41" s="438"/>
      <c r="D41" s="438"/>
      <c r="E41" s="438"/>
      <c r="F41" s="438"/>
      <c r="G41" s="438"/>
      <c r="S41" s="320"/>
    </row>
    <row r="42" spans="1:30">
      <c r="A42" s="68" t="s">
        <v>255</v>
      </c>
      <c r="B42" s="68"/>
      <c r="C42" s="68"/>
      <c r="D42" s="68"/>
      <c r="S42" s="241"/>
    </row>
    <row r="43" spans="1:30">
      <c r="A43" s="68" t="s">
        <v>247</v>
      </c>
      <c r="B43" s="68" t="s">
        <v>246</v>
      </c>
      <c r="J43" s="68" t="s">
        <v>247</v>
      </c>
      <c r="K43" s="68" t="s">
        <v>253</v>
      </c>
      <c r="Q43" s="68" t="s">
        <v>247</v>
      </c>
      <c r="R43" s="68" t="s">
        <v>251</v>
      </c>
    </row>
    <row r="44" spans="1:30">
      <c r="B44" s="68" t="s">
        <v>248</v>
      </c>
      <c r="J44" s="68" t="s">
        <v>248</v>
      </c>
      <c r="Q44" s="68" t="s">
        <v>248</v>
      </c>
    </row>
    <row r="45" spans="1:30" ht="18.75">
      <c r="B45" s="320" t="s">
        <v>243</v>
      </c>
      <c r="C45" s="323" t="s">
        <v>0</v>
      </c>
      <c r="D45" s="324" t="s">
        <v>1</v>
      </c>
      <c r="E45" s="324" t="s">
        <v>49</v>
      </c>
      <c r="F45" s="324" t="s">
        <v>6</v>
      </c>
      <c r="G45" s="325" t="s">
        <v>7</v>
      </c>
      <c r="J45" s="320" t="s">
        <v>243</v>
      </c>
      <c r="K45" s="323" t="s">
        <v>0</v>
      </c>
      <c r="L45" s="324" t="s">
        <v>1</v>
      </c>
      <c r="M45" s="324" t="s">
        <v>49</v>
      </c>
      <c r="N45" s="324" t="s">
        <v>6</v>
      </c>
      <c r="O45" s="325" t="s">
        <v>7</v>
      </c>
      <c r="P45" s="320"/>
      <c r="Q45" s="320" t="s">
        <v>243</v>
      </c>
      <c r="R45" s="323" t="s">
        <v>0</v>
      </c>
      <c r="S45" s="324" t="s">
        <v>1</v>
      </c>
      <c r="T45" s="324" t="s">
        <v>49</v>
      </c>
      <c r="U45" s="324" t="s">
        <v>6</v>
      </c>
      <c r="V45" s="325" t="s">
        <v>7</v>
      </c>
    </row>
    <row r="46" spans="1:30">
      <c r="B46" s="320">
        <f>0.0958</f>
        <v>9.5799999999999996E-2</v>
      </c>
      <c r="C46" s="462">
        <v>30</v>
      </c>
      <c r="D46" s="463">
        <v>149</v>
      </c>
      <c r="E46" s="330">
        <v>25.440642260000001</v>
      </c>
      <c r="F46" s="320">
        <v>31.367098469999998</v>
      </c>
      <c r="G46" s="328">
        <f>F46-E46</f>
        <v>5.9264562099999978</v>
      </c>
      <c r="J46" s="320">
        <f>0.088</f>
        <v>8.7999999999999995E-2</v>
      </c>
      <c r="K46" s="462">
        <v>30</v>
      </c>
      <c r="L46" s="463">
        <v>149</v>
      </c>
      <c r="M46" s="330">
        <v>23.585168190000001</v>
      </c>
      <c r="N46" s="320">
        <v>29.63271988</v>
      </c>
      <c r="O46" s="328">
        <f>N46-M46</f>
        <v>6.0475516899999988</v>
      </c>
      <c r="P46" s="320"/>
      <c r="Q46" s="320">
        <f>0.0994</f>
        <v>9.9400000000000002E-2</v>
      </c>
      <c r="R46" s="462">
        <v>30</v>
      </c>
      <c r="S46" s="463">
        <v>149</v>
      </c>
      <c r="T46" s="330">
        <v>25.61731417</v>
      </c>
      <c r="U46" s="320">
        <v>31.90711516</v>
      </c>
      <c r="V46" s="328">
        <f>U46-T46</f>
        <v>6.2898009899999998</v>
      </c>
    </row>
    <row r="47" spans="1:30">
      <c r="B47" s="320"/>
      <c r="C47" s="332">
        <v>30</v>
      </c>
      <c r="D47" s="333">
        <v>149</v>
      </c>
      <c r="E47" s="333">
        <v>25.614892730000001</v>
      </c>
      <c r="F47" s="411">
        <v>31.579082849999999</v>
      </c>
      <c r="G47" s="334">
        <f>F47-E47</f>
        <v>5.9641901199999978</v>
      </c>
      <c r="J47" s="320"/>
      <c r="K47" s="332">
        <v>30</v>
      </c>
      <c r="L47" s="333">
        <v>149</v>
      </c>
      <c r="M47" s="333">
        <v>23.570918949999999</v>
      </c>
      <c r="N47" s="411">
        <v>29.656865190000001</v>
      </c>
      <c r="O47" s="334">
        <f>N47-M47</f>
        <v>6.0859462400000019</v>
      </c>
      <c r="P47" s="320"/>
      <c r="Q47" s="320"/>
      <c r="R47" s="332">
        <v>30</v>
      </c>
      <c r="S47" s="333">
        <v>149</v>
      </c>
      <c r="T47" s="333">
        <v>25.447627180000001</v>
      </c>
      <c r="U47" s="411">
        <v>31.751037479000001</v>
      </c>
      <c r="V47" s="334">
        <f>U47-T47</f>
        <v>6.3034102989999994</v>
      </c>
    </row>
    <row r="48" spans="1:30">
      <c r="B48" s="320">
        <f>0.0984</f>
        <v>9.8400000000000001E-2</v>
      </c>
      <c r="C48" s="462">
        <v>30</v>
      </c>
      <c r="D48" s="463">
        <v>149</v>
      </c>
      <c r="E48" s="330">
        <v>23.57110522</v>
      </c>
      <c r="F48" s="320">
        <v>29.101175170000001</v>
      </c>
      <c r="G48" s="328">
        <f t="shared" ref="G48:G49" si="14">F48-E48</f>
        <v>5.5300699500000015</v>
      </c>
      <c r="J48" s="320">
        <f>0.0954</f>
        <v>9.5399999999999999E-2</v>
      </c>
      <c r="K48" s="462">
        <v>30</v>
      </c>
      <c r="L48" s="463">
        <v>149</v>
      </c>
      <c r="M48" s="330">
        <v>23.738370759999999</v>
      </c>
      <c r="N48" s="320">
        <v>29.752301710000001</v>
      </c>
      <c r="O48" s="328">
        <f>N48-M48</f>
        <v>6.0139309500000024</v>
      </c>
      <c r="P48" s="320"/>
      <c r="Q48" s="320"/>
      <c r="R48" s="462">
        <v>30</v>
      </c>
      <c r="S48" s="463">
        <v>149</v>
      </c>
      <c r="T48" s="330">
        <v>26.298669799999999</v>
      </c>
      <c r="U48" s="320">
        <v>32.707683160000002</v>
      </c>
      <c r="V48" s="328">
        <f>U48-T48</f>
        <v>6.409013360000003</v>
      </c>
    </row>
    <row r="49" spans="2:22">
      <c r="B49" s="320"/>
      <c r="C49" s="332">
        <v>30</v>
      </c>
      <c r="D49" s="333">
        <v>149</v>
      </c>
      <c r="E49" s="333">
        <v>23.560395010000001</v>
      </c>
      <c r="F49" s="411">
        <v>29.238593349999999</v>
      </c>
      <c r="G49" s="334">
        <f t="shared" si="14"/>
        <v>5.678198339999998</v>
      </c>
      <c r="J49" s="320"/>
      <c r="K49" s="332">
        <v>30</v>
      </c>
      <c r="L49" s="333">
        <v>149</v>
      </c>
      <c r="M49" s="333">
        <v>23.731572109999998</v>
      </c>
      <c r="N49" s="411">
        <v>29.789743949999998</v>
      </c>
      <c r="O49" s="334">
        <f>N49-M49</f>
        <v>6.05817184</v>
      </c>
      <c r="P49" s="320"/>
      <c r="Q49" s="320"/>
      <c r="R49" s="332">
        <v>30</v>
      </c>
      <c r="S49" s="333">
        <v>149</v>
      </c>
      <c r="T49" s="333">
        <v>24.443529359999999</v>
      </c>
      <c r="U49" s="411">
        <v>30.72412868</v>
      </c>
      <c r="V49" s="334">
        <f>U49-T49</f>
        <v>6.2805993200000003</v>
      </c>
    </row>
    <row r="50" spans="2:22">
      <c r="J50" s="68" t="s">
        <v>249</v>
      </c>
    </row>
    <row r="51" spans="2:22" ht="18.75">
      <c r="B51" s="68" t="s">
        <v>249</v>
      </c>
      <c r="J51" s="320" t="s">
        <v>243</v>
      </c>
      <c r="K51" s="323" t="s">
        <v>0</v>
      </c>
      <c r="L51" s="324" t="s">
        <v>1</v>
      </c>
      <c r="M51" s="324" t="s">
        <v>49</v>
      </c>
      <c r="N51" s="324" t="s">
        <v>6</v>
      </c>
      <c r="O51" s="325" t="s">
        <v>7</v>
      </c>
      <c r="Q51" s="68" t="s">
        <v>249</v>
      </c>
    </row>
    <row r="52" spans="2:22" ht="18.75">
      <c r="B52" s="320" t="s">
        <v>243</v>
      </c>
      <c r="C52" s="323" t="s">
        <v>0</v>
      </c>
      <c r="D52" s="324" t="s">
        <v>1</v>
      </c>
      <c r="E52" s="324" t="s">
        <v>49</v>
      </c>
      <c r="F52" s="324" t="s">
        <v>6</v>
      </c>
      <c r="G52" s="325" t="s">
        <v>7</v>
      </c>
      <c r="J52" s="320">
        <f>0.0974</f>
        <v>9.74E-2</v>
      </c>
      <c r="K52" s="462">
        <v>30</v>
      </c>
      <c r="L52" s="463">
        <v>149</v>
      </c>
      <c r="M52" s="330">
        <v>23.663864950000001</v>
      </c>
      <c r="N52" s="320">
        <v>28.481764760000001</v>
      </c>
      <c r="O52" s="328">
        <f>N52-M52</f>
        <v>4.8178998100000001</v>
      </c>
      <c r="Q52" s="320" t="s">
        <v>243</v>
      </c>
      <c r="R52" s="323" t="s">
        <v>0</v>
      </c>
      <c r="S52" s="324" t="s">
        <v>1</v>
      </c>
      <c r="T52" s="324" t="s">
        <v>49</v>
      </c>
      <c r="U52" s="324" t="s">
        <v>6</v>
      </c>
      <c r="V52" s="325" t="s">
        <v>7</v>
      </c>
    </row>
    <row r="53" spans="2:22">
      <c r="B53" s="320">
        <f>0.1019</f>
        <v>0.1019</v>
      </c>
      <c r="C53" s="462">
        <v>30</v>
      </c>
      <c r="D53" s="463">
        <v>149</v>
      </c>
      <c r="E53" s="330">
        <v>25.439617810000001</v>
      </c>
      <c r="F53" s="320">
        <v>29.45073124</v>
      </c>
      <c r="G53" s="328">
        <f t="shared" ref="G53:G56" si="15">F53-E53</f>
        <v>4.0111134299999982</v>
      </c>
      <c r="J53" s="320"/>
      <c r="K53" s="332">
        <v>30</v>
      </c>
      <c r="L53" s="333">
        <v>149</v>
      </c>
      <c r="M53" s="333">
        <v>23.740978460000001</v>
      </c>
      <c r="N53" s="411">
        <v>28.624446460000001</v>
      </c>
      <c r="O53" s="334">
        <f>N53-M53</f>
        <v>4.8834680000000006</v>
      </c>
      <c r="Q53" s="320">
        <f>0.101</f>
        <v>0.10100000000000001</v>
      </c>
      <c r="R53" s="462">
        <v>30</v>
      </c>
      <c r="S53" s="463">
        <v>149</v>
      </c>
      <c r="T53" s="330">
        <v>25.4433431</v>
      </c>
      <c r="U53" s="320">
        <v>30.725618789999999</v>
      </c>
      <c r="V53" s="328">
        <f t="shared" ref="V53:V56" si="16">U53-T53</f>
        <v>5.2822756899999987</v>
      </c>
    </row>
    <row r="54" spans="2:22">
      <c r="B54" s="320"/>
      <c r="C54" s="332">
        <v>30</v>
      </c>
      <c r="D54" s="333">
        <v>149</v>
      </c>
      <c r="E54" s="333">
        <v>25.109370800000001</v>
      </c>
      <c r="F54" s="411">
        <v>29.147273070000001</v>
      </c>
      <c r="G54" s="334">
        <f t="shared" si="15"/>
        <v>4.03790227</v>
      </c>
      <c r="J54" s="320">
        <f>0.0984</f>
        <v>9.8400000000000001E-2</v>
      </c>
      <c r="K54" s="462">
        <v>30</v>
      </c>
      <c r="L54" s="463">
        <v>149</v>
      </c>
      <c r="M54" s="330">
        <v>23.742002920000001</v>
      </c>
      <c r="N54" s="320">
        <v>28.830031330000001</v>
      </c>
      <c r="O54" s="328">
        <f>N54-M54</f>
        <v>5.0880284099999997</v>
      </c>
      <c r="Q54" s="320"/>
      <c r="R54" s="332">
        <v>30</v>
      </c>
      <c r="S54" s="333">
        <v>149</v>
      </c>
      <c r="T54" s="333">
        <v>26.293640660000001</v>
      </c>
      <c r="U54" s="411">
        <v>31.367377869999999</v>
      </c>
      <c r="V54" s="334">
        <f t="shared" si="16"/>
        <v>5.0737372099999973</v>
      </c>
    </row>
    <row r="55" spans="2:22">
      <c r="B55" s="320">
        <f>0.1027</f>
        <v>0.1027</v>
      </c>
      <c r="C55" s="462">
        <v>30</v>
      </c>
      <c r="D55" s="463">
        <v>149</v>
      </c>
      <c r="E55" s="330">
        <v>25.421411989999999</v>
      </c>
      <c r="F55" s="320">
        <v>30.376411699999998</v>
      </c>
      <c r="G55" s="328">
        <f t="shared" si="15"/>
        <v>4.9549997099999992</v>
      </c>
      <c r="J55" s="320"/>
      <c r="K55" s="332">
        <v>30</v>
      </c>
      <c r="L55" s="333">
        <v>149</v>
      </c>
      <c r="M55" s="333">
        <v>23.748335910000002</v>
      </c>
      <c r="N55" s="411">
        <v>28.831431380000001</v>
      </c>
      <c r="O55" s="334">
        <f>N55-M55</f>
        <v>5.0830954699999999</v>
      </c>
      <c r="Q55" s="320">
        <f>0.1027</f>
        <v>0.1027</v>
      </c>
      <c r="R55" s="462">
        <v>30</v>
      </c>
      <c r="S55" s="463">
        <v>149</v>
      </c>
      <c r="T55" s="330">
        <v>25.962276070000001</v>
      </c>
      <c r="U55" s="320">
        <v>31.067134800000002</v>
      </c>
      <c r="V55" s="328">
        <f t="shared" si="16"/>
        <v>5.1048587300000001</v>
      </c>
    </row>
    <row r="56" spans="2:22">
      <c r="B56" s="320"/>
      <c r="C56" s="332">
        <v>30</v>
      </c>
      <c r="D56" s="333">
        <v>149</v>
      </c>
      <c r="E56" s="333">
        <v>25.441201060000001</v>
      </c>
      <c r="F56" s="411">
        <v>30.070697370000001</v>
      </c>
      <c r="G56" s="334">
        <f t="shared" si="15"/>
        <v>4.6294963100000004</v>
      </c>
      <c r="J56" s="68" t="s">
        <v>250</v>
      </c>
      <c r="Q56" s="320"/>
      <c r="R56" s="332">
        <v>30</v>
      </c>
      <c r="S56" s="333">
        <v>149</v>
      </c>
      <c r="T56" s="333">
        <v>25.874079819999999</v>
      </c>
      <c r="U56" s="411">
        <v>30.90421014</v>
      </c>
      <c r="V56" s="334">
        <f t="shared" si="16"/>
        <v>5.0301303200000014</v>
      </c>
    </row>
    <row r="57" spans="2:22" ht="18.75">
      <c r="J57" s="320" t="s">
        <v>243</v>
      </c>
      <c r="K57" s="323" t="s">
        <v>0</v>
      </c>
      <c r="L57" s="324" t="s">
        <v>1</v>
      </c>
      <c r="M57" s="324" t="s">
        <v>49</v>
      </c>
      <c r="N57" s="324" t="s">
        <v>6</v>
      </c>
      <c r="O57" s="325" t="s">
        <v>7</v>
      </c>
      <c r="Q57" s="68" t="s">
        <v>250</v>
      </c>
    </row>
    <row r="58" spans="2:22" ht="18.75">
      <c r="B58" s="68" t="s">
        <v>250</v>
      </c>
      <c r="J58" s="320">
        <f>0.0945</f>
        <v>9.4500000000000001E-2</v>
      </c>
      <c r="K58" s="462">
        <v>30</v>
      </c>
      <c r="L58" s="463">
        <v>149</v>
      </c>
      <c r="M58" s="330">
        <v>23.566634870000001</v>
      </c>
      <c r="N58" s="320">
        <v>27.846137070000001</v>
      </c>
      <c r="O58" s="328">
        <f>N58-M58</f>
        <v>4.2795021999999996</v>
      </c>
      <c r="Q58" s="320"/>
      <c r="R58" s="323" t="s">
        <v>0</v>
      </c>
      <c r="S58" s="324" t="s">
        <v>1</v>
      </c>
      <c r="T58" s="324" t="s">
        <v>49</v>
      </c>
      <c r="U58" s="324" t="s">
        <v>6</v>
      </c>
      <c r="V58" s="325" t="s">
        <v>7</v>
      </c>
    </row>
    <row r="59" spans="2:22" ht="18.75">
      <c r="B59" s="320" t="s">
        <v>243</v>
      </c>
      <c r="C59" s="323" t="s">
        <v>0</v>
      </c>
      <c r="D59" s="324" t="s">
        <v>1</v>
      </c>
      <c r="E59" s="324" t="s">
        <v>49</v>
      </c>
      <c r="F59" s="324" t="s">
        <v>6</v>
      </c>
      <c r="G59" s="325" t="s">
        <v>7</v>
      </c>
      <c r="J59" s="320"/>
      <c r="K59" s="332">
        <v>30</v>
      </c>
      <c r="L59" s="333">
        <v>149</v>
      </c>
      <c r="M59" s="333">
        <v>23.73464547</v>
      </c>
      <c r="N59" s="411">
        <v>27.953987300000001</v>
      </c>
      <c r="O59" s="334">
        <f>N59-M59</f>
        <v>4.2193418300000012</v>
      </c>
      <c r="Q59" s="320">
        <f>0.0976</f>
        <v>9.7600000000000006E-2</v>
      </c>
      <c r="R59" s="462">
        <v>30</v>
      </c>
      <c r="S59" s="463">
        <v>149</v>
      </c>
      <c r="T59" s="330">
        <v>25.41402742</v>
      </c>
      <c r="U59" s="320">
        <v>30.05292446</v>
      </c>
      <c r="V59" s="328">
        <f t="shared" ref="V59:V62" si="17">U59-T59</f>
        <v>4.6388970399999998</v>
      </c>
    </row>
    <row r="60" spans="2:22">
      <c r="B60" s="320">
        <f>0.1048</f>
        <v>0.1048</v>
      </c>
      <c r="C60" s="462">
        <v>30</v>
      </c>
      <c r="D60" s="463">
        <v>149</v>
      </c>
      <c r="E60" s="330">
        <v>25.445112609999999</v>
      </c>
      <c r="F60" s="320">
        <v>28.959713900000001</v>
      </c>
      <c r="G60" s="328">
        <f t="shared" ref="G60:G63" si="18">F60-E60</f>
        <v>3.5146012900000017</v>
      </c>
      <c r="J60" s="320">
        <f>0.1007</f>
        <v>0.1007</v>
      </c>
      <c r="K60" s="462">
        <v>30</v>
      </c>
      <c r="L60" s="463">
        <v>149</v>
      </c>
      <c r="M60" s="330">
        <v>23.56980136</v>
      </c>
      <c r="N60" s="320">
        <v>27.900150709999998</v>
      </c>
      <c r="O60" s="328">
        <f>N60-M60</f>
        <v>4.3303493499999988</v>
      </c>
      <c r="Q60" s="320"/>
      <c r="R60" s="332">
        <v>30</v>
      </c>
      <c r="S60" s="333">
        <v>149</v>
      </c>
      <c r="T60" s="333">
        <v>25.961251610000001</v>
      </c>
      <c r="U60" s="411">
        <v>30.843022250000001</v>
      </c>
      <c r="V60" s="334">
        <f t="shared" si="17"/>
        <v>4.8817706399999992</v>
      </c>
    </row>
    <row r="61" spans="2:22">
      <c r="B61" s="320"/>
      <c r="C61" s="332">
        <v>30</v>
      </c>
      <c r="D61" s="333">
        <v>149</v>
      </c>
      <c r="E61" s="333">
        <v>25.61861802</v>
      </c>
      <c r="F61" s="411">
        <v>29.47146648</v>
      </c>
      <c r="G61" s="334">
        <f t="shared" si="18"/>
        <v>3.8528484600000006</v>
      </c>
      <c r="J61" s="320"/>
      <c r="K61" s="332">
        <v>30</v>
      </c>
      <c r="L61" s="333">
        <v>149</v>
      </c>
      <c r="M61" s="333">
        <v>23.7433999</v>
      </c>
      <c r="N61" s="411">
        <v>28.062392656</v>
      </c>
      <c r="O61" s="334">
        <f>N61-M61</f>
        <v>4.3189927560000001</v>
      </c>
      <c r="Q61" s="320">
        <f>0.104</f>
        <v>0.104</v>
      </c>
      <c r="R61" s="462">
        <v>30</v>
      </c>
      <c r="S61" s="463">
        <v>149</v>
      </c>
      <c r="T61" s="330">
        <v>25.6257892</v>
      </c>
      <c r="U61" s="320">
        <v>30.390342650000001</v>
      </c>
      <c r="V61" s="328">
        <f t="shared" si="17"/>
        <v>4.7645534500000011</v>
      </c>
    </row>
    <row r="62" spans="2:22">
      <c r="B62" s="320">
        <f>0.1027</f>
        <v>0.1027</v>
      </c>
      <c r="C62" s="462">
        <v>30</v>
      </c>
      <c r="D62" s="463">
        <v>149</v>
      </c>
      <c r="E62" s="330">
        <v>25.489512260000001</v>
      </c>
      <c r="F62" s="320">
        <v>29.426003690000002</v>
      </c>
      <c r="G62" s="328">
        <f t="shared" si="18"/>
        <v>3.9364914300000002</v>
      </c>
      <c r="Q62" s="320"/>
      <c r="R62" s="332">
        <v>30</v>
      </c>
      <c r="S62" s="333">
        <v>149</v>
      </c>
      <c r="T62" s="333">
        <v>25.045671410000001</v>
      </c>
      <c r="U62" s="411">
        <v>29.911399240000001</v>
      </c>
      <c r="V62" s="334">
        <f t="shared" si="17"/>
        <v>4.8657278300000009</v>
      </c>
    </row>
    <row r="63" spans="2:22">
      <c r="B63" s="320"/>
      <c r="C63" s="332">
        <v>30</v>
      </c>
      <c r="D63" s="333">
        <v>149</v>
      </c>
      <c r="E63" s="333">
        <v>25.487452609999998</v>
      </c>
      <c r="F63" s="411">
        <v>29.325911470000001</v>
      </c>
      <c r="G63" s="334">
        <f t="shared" si="18"/>
        <v>3.8384588600000029</v>
      </c>
    </row>
    <row r="66" spans="2:25">
      <c r="B66" s="68" t="s">
        <v>269</v>
      </c>
    </row>
    <row r="67" spans="2:25">
      <c r="B67" s="68" t="s">
        <v>247</v>
      </c>
      <c r="C67" s="68" t="s">
        <v>246</v>
      </c>
      <c r="I67" s="68" t="s">
        <v>247</v>
      </c>
      <c r="J67" s="68" t="s">
        <v>253</v>
      </c>
      <c r="O67" s="68" t="s">
        <v>247</v>
      </c>
      <c r="P67" s="68" t="s">
        <v>270</v>
      </c>
      <c r="T67" s="68" t="s">
        <v>247</v>
      </c>
      <c r="U67" s="68" t="s">
        <v>271</v>
      </c>
    </row>
    <row r="68" spans="2:25" ht="18.75">
      <c r="B68" s="320" t="s">
        <v>243</v>
      </c>
      <c r="C68" s="323" t="s">
        <v>0</v>
      </c>
      <c r="D68" s="324" t="s">
        <v>1</v>
      </c>
      <c r="E68" s="324" t="s">
        <v>49</v>
      </c>
      <c r="F68" s="324" t="s">
        <v>6</v>
      </c>
      <c r="G68" s="325" t="s">
        <v>7</v>
      </c>
      <c r="H68" s="320" t="s">
        <v>243</v>
      </c>
      <c r="I68" s="323" t="s">
        <v>0</v>
      </c>
      <c r="J68" s="324" t="s">
        <v>1</v>
      </c>
      <c r="K68" s="324" t="s">
        <v>49</v>
      </c>
      <c r="L68" s="324" t="s">
        <v>6</v>
      </c>
      <c r="M68" s="325" t="s">
        <v>7</v>
      </c>
      <c r="N68" s="320" t="s">
        <v>243</v>
      </c>
      <c r="O68" s="323" t="s">
        <v>0</v>
      </c>
      <c r="P68" s="324" t="s">
        <v>1</v>
      </c>
      <c r="Q68" s="324" t="s">
        <v>49</v>
      </c>
      <c r="R68" s="324" t="s">
        <v>6</v>
      </c>
      <c r="S68" s="325" t="s">
        <v>7</v>
      </c>
      <c r="T68" s="66"/>
      <c r="U68" s="323" t="s">
        <v>0</v>
      </c>
      <c r="V68" s="324" t="s">
        <v>1</v>
      </c>
      <c r="W68" s="324" t="s">
        <v>49</v>
      </c>
      <c r="X68" s="324" t="s">
        <v>6</v>
      </c>
      <c r="Y68" s="325" t="s">
        <v>7</v>
      </c>
    </row>
    <row r="69" spans="2:25">
      <c r="B69" s="13">
        <v>9.8400000000000001E-2</v>
      </c>
      <c r="C69" s="462">
        <v>30</v>
      </c>
      <c r="D69" s="463">
        <v>149</v>
      </c>
      <c r="E69" s="330">
        <v>24.759007230937918</v>
      </c>
      <c r="F69" s="320">
        <v>25.909007230937917</v>
      </c>
      <c r="G69" s="328">
        <f t="shared" ref="G69:G70" si="19">F69-E69</f>
        <v>1.1499999999999986</v>
      </c>
      <c r="H69" s="13">
        <v>1.022E-2</v>
      </c>
      <c r="I69" s="462">
        <v>30</v>
      </c>
      <c r="J69" s="463">
        <v>149</v>
      </c>
      <c r="K69" s="330">
        <v>25.447999710000001</v>
      </c>
      <c r="L69" s="320">
        <v>27.481910073333331</v>
      </c>
      <c r="M69" s="328">
        <f t="shared" ref="M69:M70" si="20">L69-K69</f>
        <v>2.0339103633333302</v>
      </c>
      <c r="N69" s="320">
        <v>9.5600000000000004E-2</v>
      </c>
      <c r="O69" s="462">
        <v>15</v>
      </c>
      <c r="P69" s="463">
        <v>133</v>
      </c>
      <c r="Q69" s="330">
        <v>25.611446829999998</v>
      </c>
      <c r="R69" s="320">
        <v>27.217243524999997</v>
      </c>
      <c r="S69" s="328">
        <f t="shared" ref="S69:S70" si="21">R69-Q69</f>
        <v>1.6057966949999987</v>
      </c>
      <c r="T69" s="320">
        <f>0.0976</f>
        <v>9.7600000000000006E-2</v>
      </c>
      <c r="U69" s="462">
        <v>30</v>
      </c>
      <c r="V69" s="463">
        <v>149</v>
      </c>
      <c r="W69" s="330">
        <v>25.449303564387773</v>
      </c>
      <c r="X69" s="330">
        <v>31.806303564387772</v>
      </c>
      <c r="Y69" s="328">
        <f t="shared" ref="Y69:Y70" si="22">X69-W69</f>
        <v>6.3569999999999993</v>
      </c>
    </row>
    <row r="70" spans="2:25">
      <c r="C70" s="332">
        <v>15</v>
      </c>
      <c r="D70" s="333">
        <v>133</v>
      </c>
      <c r="E70" s="333">
        <v>24.159820029999999</v>
      </c>
      <c r="F70" s="411">
        <v>25.507301630000001</v>
      </c>
      <c r="G70" s="334">
        <f t="shared" si="19"/>
        <v>1.3474816000000018</v>
      </c>
      <c r="I70" s="332">
        <v>15</v>
      </c>
      <c r="J70" s="333">
        <v>133</v>
      </c>
      <c r="K70" s="333">
        <v>25.956408740000001</v>
      </c>
      <c r="L70" s="411">
        <v>29.55740874</v>
      </c>
      <c r="M70" s="334">
        <f t="shared" si="20"/>
        <v>3.6009999999999991</v>
      </c>
      <c r="N70" s="320"/>
      <c r="O70" s="332">
        <v>15</v>
      </c>
      <c r="P70" s="333">
        <v>133</v>
      </c>
      <c r="Q70" s="333">
        <v>25.440642260000001</v>
      </c>
      <c r="R70" s="411">
        <v>27.19638703</v>
      </c>
      <c r="S70" s="334">
        <f t="shared" si="21"/>
        <v>1.7557447699999997</v>
      </c>
      <c r="T70" s="320"/>
      <c r="U70" s="332">
        <v>15</v>
      </c>
      <c r="V70" s="333">
        <v>133</v>
      </c>
      <c r="W70" s="333">
        <v>25.960785950000002</v>
      </c>
      <c r="X70" s="411">
        <v>27.592524990000001</v>
      </c>
      <c r="Y70" s="334">
        <f t="shared" si="22"/>
        <v>1.6317390399999994</v>
      </c>
    </row>
    <row r="73" spans="2:25" ht="15.75">
      <c r="N73" s="434"/>
    </row>
    <row r="74" spans="2:25">
      <c r="N74" s="241"/>
    </row>
    <row r="75" spans="2:25">
      <c r="N75" s="320"/>
    </row>
    <row r="78" spans="2:25">
      <c r="M78" s="352"/>
    </row>
    <row r="99" spans="9:10">
      <c r="J99" s="241"/>
    </row>
    <row r="100" spans="9:10">
      <c r="J100" s="320"/>
    </row>
    <row r="107" spans="9:10">
      <c r="I107" s="241"/>
    </row>
    <row r="108" spans="9:10">
      <c r="I108" s="320"/>
    </row>
    <row r="117" spans="3:3">
      <c r="C117" s="241"/>
    </row>
    <row r="118" spans="3:3">
      <c r="C118" s="241"/>
    </row>
    <row r="119" spans="3:3">
      <c r="C119" s="241"/>
    </row>
    <row r="120" spans="3:3">
      <c r="C120" s="401"/>
    </row>
    <row r="121" spans="3:3">
      <c r="C121" s="401"/>
    </row>
    <row r="122" spans="3:3">
      <c r="C122" s="401"/>
    </row>
  </sheetData>
  <mergeCells count="2">
    <mergeCell ref="AJ7:AQ7"/>
    <mergeCell ref="AK16:AR16"/>
  </mergeCells>
  <phoneticPr fontId="1" type="noConversion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9"/>
  <sheetViews>
    <sheetView workbookViewId="0">
      <selection activeCell="J32" sqref="J32"/>
    </sheetView>
  </sheetViews>
  <sheetFormatPr defaultColWidth="9.140625" defaultRowHeight="15"/>
  <cols>
    <col min="1" max="16384" width="9.140625" style="13"/>
  </cols>
  <sheetData>
    <row r="1" spans="2:18">
      <c r="H1" s="13" t="s">
        <v>116</v>
      </c>
      <c r="I1" s="13">
        <v>133.15</v>
      </c>
      <c r="L1" s="13" t="s">
        <v>130</v>
      </c>
    </row>
    <row r="2" spans="2:18" ht="15.75">
      <c r="H2" s="442" t="s">
        <v>128</v>
      </c>
      <c r="I2" s="11" t="s">
        <v>7</v>
      </c>
      <c r="L2" s="13" t="s">
        <v>131</v>
      </c>
      <c r="M2" s="13">
        <v>6</v>
      </c>
    </row>
    <row r="3" spans="2:18" ht="16.5">
      <c r="B3" s="13" t="s">
        <v>127</v>
      </c>
      <c r="H3" s="32">
        <v>0.1038</v>
      </c>
      <c r="I3" s="35">
        <v>1.4263206080389601</v>
      </c>
      <c r="L3" s="13" t="s">
        <v>137</v>
      </c>
      <c r="M3" s="13">
        <v>3.14</v>
      </c>
    </row>
    <row r="4" spans="2:18" ht="18.75">
      <c r="C4" s="223" t="s">
        <v>0</v>
      </c>
      <c r="D4" s="224" t="s">
        <v>1</v>
      </c>
      <c r="E4" s="224" t="s">
        <v>17</v>
      </c>
      <c r="F4" s="224" t="s">
        <v>6</v>
      </c>
      <c r="G4" s="224" t="s">
        <v>7</v>
      </c>
      <c r="H4" s="32">
        <v>9.4500000000000001E-2</v>
      </c>
      <c r="I4" s="35">
        <v>1.3243197992039022</v>
      </c>
      <c r="L4" s="13" t="s">
        <v>132</v>
      </c>
      <c r="N4" s="13">
        <f>3.14*M13</f>
        <v>2.7527428480218618E-3</v>
      </c>
      <c r="O4" s="13" t="s">
        <v>135</v>
      </c>
    </row>
    <row r="5" spans="2:18" ht="15.75">
      <c r="B5" s="241">
        <f>0.1009-0.0042</f>
        <v>9.6700000000000008E-2</v>
      </c>
      <c r="C5" s="253">
        <v>20</v>
      </c>
      <c r="D5" s="252">
        <v>100</v>
      </c>
      <c r="E5" s="246">
        <v>22.20215408</v>
      </c>
      <c r="F5" s="241">
        <v>23.227726560000001</v>
      </c>
      <c r="G5" s="252">
        <f>F5-E5</f>
        <v>1.025572480000001</v>
      </c>
      <c r="H5" s="32">
        <v>9.6799999999999997E-2</v>
      </c>
      <c r="I5" s="35">
        <v>1.3890477249770008</v>
      </c>
      <c r="L5" s="446" t="s">
        <v>95</v>
      </c>
      <c r="M5" s="445" t="s">
        <v>7</v>
      </c>
      <c r="N5" s="228">
        <f>1000*N4/0.1</f>
        <v>27.527428480218614</v>
      </c>
      <c r="O5" s="228" t="s">
        <v>133</v>
      </c>
      <c r="P5" s="228"/>
    </row>
    <row r="6" spans="2:18">
      <c r="B6" s="320"/>
      <c r="C6" s="248">
        <v>15</v>
      </c>
      <c r="D6" s="249">
        <v>133</v>
      </c>
      <c r="E6" s="249">
        <v>22.20178155</v>
      </c>
      <c r="F6" s="250">
        <v>23.422883680000002</v>
      </c>
      <c r="G6" s="249">
        <f>F6-E6</f>
        <v>1.221102130000002</v>
      </c>
      <c r="H6" s="32">
        <v>9.6700000000000008E-2</v>
      </c>
      <c r="I6" s="35">
        <v>1.221102130000002</v>
      </c>
      <c r="K6" s="13" t="s">
        <v>138</v>
      </c>
      <c r="L6" s="267">
        <f t="shared" ref="L6:L12" si="0">(M6-1.106)/33.109</f>
        <v>1.1959689206377357E-2</v>
      </c>
      <c r="M6" s="268">
        <v>1.501973349933948</v>
      </c>
      <c r="N6" s="13">
        <f>O6/54.382</f>
        <v>6.2256576758841942E-2</v>
      </c>
      <c r="O6" s="13">
        <v>3.3856371572993424</v>
      </c>
    </row>
    <row r="7" spans="2:18" ht="18.75">
      <c r="C7" s="223" t="s">
        <v>0</v>
      </c>
      <c r="D7" s="224" t="s">
        <v>1</v>
      </c>
      <c r="E7" s="224" t="s">
        <v>17</v>
      </c>
      <c r="F7" s="224" t="s">
        <v>6</v>
      </c>
      <c r="G7" s="224" t="s">
        <v>7</v>
      </c>
      <c r="H7" s="32">
        <v>9.3799999999999994E-2</v>
      </c>
      <c r="I7" s="35">
        <v>0.92424457999999987</v>
      </c>
      <c r="K7" s="13" t="s">
        <v>139</v>
      </c>
      <c r="L7" s="269">
        <f t="shared" si="0"/>
        <v>1.1861297532393001E-2</v>
      </c>
      <c r="M7" s="270">
        <v>1.4987157</v>
      </c>
      <c r="N7" s="13">
        <f t="shared" ref="N7:N12" si="1">O7/54.382</f>
        <v>5.9305841420479552E-2</v>
      </c>
      <c r="O7" s="13">
        <v>3.2251702681285188</v>
      </c>
    </row>
    <row r="8" spans="2:18">
      <c r="B8" s="241">
        <f>0.0938</f>
        <v>9.3799999999999994E-2</v>
      </c>
      <c r="C8" s="253">
        <v>20</v>
      </c>
      <c r="D8" s="252">
        <v>100</v>
      </c>
      <c r="E8" s="246">
        <v>23.74489002</v>
      </c>
      <c r="F8" s="241">
        <v>24.421589040000001</v>
      </c>
      <c r="G8" s="252">
        <f t="shared" ref="G8:G11" si="2">F8-E8</f>
        <v>0.67669902000000093</v>
      </c>
      <c r="H8" s="32">
        <v>8.8200000000000001E-2</v>
      </c>
      <c r="I8" s="35">
        <v>1.0861985099999991</v>
      </c>
      <c r="K8" s="13" t="s">
        <v>140</v>
      </c>
      <c r="L8" s="269">
        <f t="shared" si="0"/>
        <v>9.7478600984626466E-3</v>
      </c>
      <c r="M8" s="270">
        <v>1.4287418999999999</v>
      </c>
      <c r="N8" s="13">
        <f t="shared" si="1"/>
        <v>5.48412058853028E-2</v>
      </c>
      <c r="O8" s="13">
        <v>2.9823744584545366</v>
      </c>
    </row>
    <row r="9" spans="2:18">
      <c r="B9" s="320"/>
      <c r="C9" s="248">
        <v>15</v>
      </c>
      <c r="D9" s="249">
        <v>133</v>
      </c>
      <c r="E9" s="249">
        <v>23.737625699999999</v>
      </c>
      <c r="F9" s="250">
        <v>24.661870279999999</v>
      </c>
      <c r="G9" s="249">
        <f t="shared" si="2"/>
        <v>0.92424457999999987</v>
      </c>
      <c r="H9" s="32">
        <v>9.5899999999999999E-2</v>
      </c>
      <c r="I9" s="35">
        <v>1.2919797922360026</v>
      </c>
      <c r="K9" s="13" t="s">
        <v>141</v>
      </c>
      <c r="L9" s="269">
        <f t="shared" si="0"/>
        <v>1.1100359418889124E-2</v>
      </c>
      <c r="M9" s="270">
        <v>1.4735218000000001</v>
      </c>
      <c r="N9" s="13">
        <f t="shared" si="1"/>
        <v>5.6656516076053376E-2</v>
      </c>
      <c r="O9" s="13">
        <v>3.0810946572479345</v>
      </c>
    </row>
    <row r="10" spans="2:18">
      <c r="B10" s="241">
        <f>0.0935</f>
        <v>9.35E-2</v>
      </c>
      <c r="C10" s="253">
        <v>20</v>
      </c>
      <c r="D10" s="252">
        <v>100</v>
      </c>
      <c r="E10" s="246">
        <v>23.73697378</v>
      </c>
      <c r="F10" s="241">
        <v>24.408457389999999</v>
      </c>
      <c r="G10" s="252">
        <f t="shared" si="2"/>
        <v>0.67148360999999923</v>
      </c>
      <c r="H10" s="32">
        <v>0.10050000000000001</v>
      </c>
      <c r="I10" s="35">
        <v>1.44218739735485</v>
      </c>
      <c r="K10" s="13" t="s">
        <v>142</v>
      </c>
      <c r="L10" s="269">
        <f t="shared" si="0"/>
        <v>1.0949279652058353E-2</v>
      </c>
      <c r="M10" s="270">
        <v>1.4685197000000001</v>
      </c>
      <c r="N10" s="13">
        <f t="shared" si="1"/>
        <v>6.2256576758841942E-2</v>
      </c>
      <c r="O10" s="13">
        <v>3.3856371572993424</v>
      </c>
    </row>
    <row r="11" spans="2:18">
      <c r="B11" s="320"/>
      <c r="C11" s="248">
        <v>15</v>
      </c>
      <c r="D11" s="249">
        <v>133</v>
      </c>
      <c r="E11" s="249">
        <v>23.72710176</v>
      </c>
      <c r="F11" s="250">
        <v>24.813300269999999</v>
      </c>
      <c r="G11" s="249">
        <f t="shared" si="2"/>
        <v>1.0861985099999991</v>
      </c>
      <c r="H11" s="32">
        <v>9.3600000000000003E-2</v>
      </c>
      <c r="I11" s="35">
        <v>1.4163487205712855</v>
      </c>
      <c r="K11" s="13" t="s">
        <v>143</v>
      </c>
      <c r="L11" s="269">
        <f t="shared" si="0"/>
        <v>1.2426198314657645E-2</v>
      </c>
      <c r="M11" s="270">
        <v>1.5174190000000001</v>
      </c>
      <c r="N11" s="13">
        <f t="shared" si="1"/>
        <v>5.9305841420479552E-2</v>
      </c>
      <c r="O11" s="13">
        <v>3.2251702681285188</v>
      </c>
    </row>
    <row r="12" spans="2:18" ht="18.75">
      <c r="B12" s="228"/>
      <c r="C12" s="379" t="s">
        <v>0</v>
      </c>
      <c r="D12" s="380" t="s">
        <v>1</v>
      </c>
      <c r="E12" s="380" t="s">
        <v>13</v>
      </c>
      <c r="F12" s="380" t="s">
        <v>6</v>
      </c>
      <c r="G12" s="380" t="s">
        <v>7</v>
      </c>
      <c r="H12" s="32">
        <v>9.1200000000000003E-2</v>
      </c>
      <c r="I12" s="35">
        <v>1.4141135462590242</v>
      </c>
      <c r="K12" s="13" t="s">
        <v>144</v>
      </c>
      <c r="L12" s="368">
        <f t="shared" si="0"/>
        <v>1.1151496571929083E-2</v>
      </c>
      <c r="M12" s="262">
        <v>1.4752149000000001</v>
      </c>
      <c r="N12" s="13">
        <f t="shared" si="1"/>
        <v>5.6656516076053376E-2</v>
      </c>
      <c r="O12" s="13">
        <v>3.0810946572479345</v>
      </c>
      <c r="P12" s="13" t="s">
        <v>123</v>
      </c>
      <c r="Q12" s="13">
        <f>_xlfn.STDEV.S(O6:O12)</f>
        <v>0.15581175518666329</v>
      </c>
      <c r="R12" s="13">
        <f>3.14*Q12</f>
        <v>0.48924891128612275</v>
      </c>
    </row>
    <row r="13" spans="2:18" ht="15.75">
      <c r="B13" s="228">
        <f>0.094-0.0058</f>
        <v>8.8200000000000001E-2</v>
      </c>
      <c r="C13" s="381">
        <v>20</v>
      </c>
      <c r="D13" s="382">
        <v>100</v>
      </c>
      <c r="E13" s="231">
        <v>22.54273877</v>
      </c>
      <c r="F13" s="231">
        <v>23.223628739999999</v>
      </c>
      <c r="G13" s="382">
        <f>F13-E13</f>
        <v>0.68088996999999907</v>
      </c>
      <c r="H13" s="32">
        <v>0.1024</v>
      </c>
      <c r="I13" s="35">
        <v>1.4021087975566182</v>
      </c>
      <c r="L13" s="13" t="s">
        <v>123</v>
      </c>
      <c r="M13" s="13">
        <f>_xlfn.STDEV.S(L6:L12)</f>
        <v>8.7666969682224894E-4</v>
      </c>
      <c r="N13" s="13" t="s">
        <v>132</v>
      </c>
      <c r="P13" s="13">
        <f>3.14*M22</f>
        <v>4.0144465396791344E-3</v>
      </c>
    </row>
    <row r="14" spans="2:18" ht="15.75">
      <c r="B14" s="228"/>
      <c r="C14" s="383">
        <v>15</v>
      </c>
      <c r="D14" s="384">
        <v>133</v>
      </c>
      <c r="E14" s="384">
        <v>22.883602849999999</v>
      </c>
      <c r="F14" s="231">
        <v>23.739581479999998</v>
      </c>
      <c r="G14" s="443">
        <f>F14-E14</f>
        <v>0.85597862999999919</v>
      </c>
      <c r="H14" s="32">
        <v>9.06E-2</v>
      </c>
      <c r="I14" s="35">
        <v>1.3555892321817851</v>
      </c>
      <c r="L14" s="446" t="s">
        <v>134</v>
      </c>
      <c r="M14" s="445" t="s">
        <v>7</v>
      </c>
      <c r="N14" s="228" t="s">
        <v>134</v>
      </c>
      <c r="O14" s="228"/>
      <c r="P14" s="228">
        <f>1000*P13/0.1</f>
        <v>40.144465396791347</v>
      </c>
      <c r="Q14" s="228" t="s">
        <v>133</v>
      </c>
      <c r="R14" s="228"/>
    </row>
    <row r="15" spans="2:18" ht="18.75">
      <c r="B15" s="240"/>
      <c r="C15" s="207" t="s">
        <v>0</v>
      </c>
      <c r="D15" s="208" t="s">
        <v>1</v>
      </c>
      <c r="E15" s="208" t="s">
        <v>13</v>
      </c>
      <c r="F15" s="208" t="s">
        <v>6</v>
      </c>
      <c r="G15" s="208" t="s">
        <v>7</v>
      </c>
      <c r="H15" s="32">
        <v>0.1022</v>
      </c>
      <c r="I15" s="35">
        <v>1.3903505736798394</v>
      </c>
      <c r="K15" s="13" t="s">
        <v>138</v>
      </c>
      <c r="L15" s="267">
        <f t="shared" ref="L15:L21" si="3">(M15-1.3455)/20.04</f>
        <v>1.4520233654865275E-2</v>
      </c>
      <c r="M15" s="268">
        <v>1.6364854824435</v>
      </c>
    </row>
    <row r="16" spans="2:18">
      <c r="B16" s="232">
        <f>0.1075-0.0116</f>
        <v>9.5899999999999999E-2</v>
      </c>
      <c r="C16" s="214">
        <v>20</v>
      </c>
      <c r="D16" s="215">
        <v>100</v>
      </c>
      <c r="E16" s="215">
        <v>24.775119112439114</v>
      </c>
      <c r="F16" s="215">
        <v>26.306772309945355</v>
      </c>
      <c r="G16" s="215">
        <f t="shared" ref="G16:G17" si="4">F16-E16</f>
        <v>1.5316531975062411</v>
      </c>
      <c r="H16" s="32">
        <v>8.1100000000000005E-2</v>
      </c>
      <c r="I16" s="35">
        <v>1.1621253587082272</v>
      </c>
      <c r="K16" s="13" t="s">
        <v>139</v>
      </c>
      <c r="L16" s="269">
        <f t="shared" si="3"/>
        <v>1.2058328343313381E-2</v>
      </c>
      <c r="M16" s="270">
        <v>1.5871489000000001</v>
      </c>
    </row>
    <row r="17" spans="2:18">
      <c r="B17" s="232"/>
      <c r="C17" s="219">
        <v>15</v>
      </c>
      <c r="D17" s="220">
        <v>133</v>
      </c>
      <c r="E17" s="220">
        <v>24.739470436541499</v>
      </c>
      <c r="F17" s="220">
        <v>26.031450228777501</v>
      </c>
      <c r="G17" s="220">
        <f t="shared" si="4"/>
        <v>1.2919797922360026</v>
      </c>
      <c r="H17" s="36">
        <v>8.5600000000000009E-2</v>
      </c>
      <c r="I17" s="38">
        <v>1.2858771554158324</v>
      </c>
      <c r="K17" s="13" t="s">
        <v>140</v>
      </c>
      <c r="L17" s="269">
        <f t="shared" si="3"/>
        <v>1.4489720558882242E-2</v>
      </c>
      <c r="M17" s="270">
        <v>1.6358740000000001</v>
      </c>
    </row>
    <row r="18" spans="2:18">
      <c r="B18" s="232">
        <f>0.1072-0.0067</f>
        <v>0.10050000000000001</v>
      </c>
      <c r="C18" s="214">
        <v>20</v>
      </c>
      <c r="D18" s="215">
        <v>100</v>
      </c>
      <c r="E18" s="215">
        <v>25.449024167598729</v>
      </c>
      <c r="F18" s="215">
        <v>26.647729524834723</v>
      </c>
      <c r="G18" s="215">
        <f>F18-E18</f>
        <v>1.198705357235994</v>
      </c>
      <c r="H18" s="229" t="s">
        <v>129</v>
      </c>
      <c r="I18" s="229">
        <f>AVERAGE(I3:I17)</f>
        <v>1.3021275950788886</v>
      </c>
      <c r="K18" s="13" t="s">
        <v>141</v>
      </c>
      <c r="L18" s="269">
        <f t="shared" si="3"/>
        <v>1.5333537924151706E-2</v>
      </c>
      <c r="M18" s="270">
        <v>1.6527841000000001</v>
      </c>
    </row>
    <row r="19" spans="2:18">
      <c r="B19" s="232"/>
      <c r="C19" s="219">
        <v>15</v>
      </c>
      <c r="D19" s="220">
        <v>133</v>
      </c>
      <c r="E19" s="220">
        <v>25.807969213858549</v>
      </c>
      <c r="F19" s="220">
        <v>27.250156611213399</v>
      </c>
      <c r="G19" s="217">
        <f>F19-E19</f>
        <v>1.44218739735485</v>
      </c>
      <c r="H19" s="229" t="s">
        <v>123</v>
      </c>
      <c r="I19" s="229">
        <f>_xlfn.STDEV.S(I3:I17)</f>
        <v>0.14766443752676756</v>
      </c>
      <c r="K19" s="13" t="s">
        <v>142</v>
      </c>
      <c r="L19" s="269">
        <f t="shared" si="3"/>
        <v>1.2305563872255489E-2</v>
      </c>
      <c r="M19" s="270">
        <v>1.5921034999999999</v>
      </c>
    </row>
    <row r="20" spans="2:18">
      <c r="B20" s="232">
        <f>0.1017-0.0081</f>
        <v>9.3600000000000003E-2</v>
      </c>
      <c r="C20" s="214">
        <v>20</v>
      </c>
      <c r="D20" s="215">
        <v>100</v>
      </c>
      <c r="E20" s="215">
        <v>26.055873993389252</v>
      </c>
      <c r="F20" s="215">
        <v>27.321634579994363</v>
      </c>
      <c r="G20" s="216">
        <f t="shared" ref="G20:G31" si="5">F20-E20</f>
        <v>1.2657605866051114</v>
      </c>
      <c r="H20" s="444"/>
      <c r="I20" s="444"/>
      <c r="K20" s="13" t="s">
        <v>143</v>
      </c>
      <c r="L20" s="269">
        <f t="shared" si="3"/>
        <v>1.2684002495009986E-2</v>
      </c>
      <c r="M20" s="270">
        <v>1.59968741</v>
      </c>
    </row>
    <row r="21" spans="2:18">
      <c r="B21" s="232"/>
      <c r="C21" s="219">
        <v>15</v>
      </c>
      <c r="D21" s="220">
        <v>133</v>
      </c>
      <c r="E21" s="221">
        <v>25.615917182917414</v>
      </c>
      <c r="F21" s="221">
        <v>27.0322659034887</v>
      </c>
      <c r="G21" s="218">
        <f t="shared" si="5"/>
        <v>1.4163487205712855</v>
      </c>
      <c r="K21" s="13" t="s">
        <v>144</v>
      </c>
      <c r="L21" s="368">
        <f t="shared" si="3"/>
        <v>1.4136227544910182E-2</v>
      </c>
      <c r="M21" s="262">
        <v>1.62879</v>
      </c>
    </row>
    <row r="22" spans="2:18">
      <c r="C22" s="219">
        <v>30</v>
      </c>
      <c r="D22" s="220">
        <v>130</v>
      </c>
      <c r="E22" s="220">
        <v>25.457685468058912</v>
      </c>
      <c r="F22" s="220">
        <v>27.508364767334754</v>
      </c>
      <c r="G22" s="217">
        <f t="shared" si="5"/>
        <v>2.050679299275842</v>
      </c>
      <c r="L22" s="13" t="s">
        <v>123</v>
      </c>
      <c r="M22" s="13">
        <f>_xlfn.STDEV.S(L15:L21)</f>
        <v>1.2784861591334823E-3</v>
      </c>
      <c r="N22" s="13" t="s">
        <v>132</v>
      </c>
      <c r="P22" s="13">
        <f>3.14*M31</f>
        <v>4.8772641851807285E-3</v>
      </c>
    </row>
    <row r="23" spans="2:18" ht="15.75">
      <c r="B23" s="233">
        <f>0.1012-0.01</f>
        <v>9.1200000000000003E-2</v>
      </c>
      <c r="C23" s="214">
        <v>20</v>
      </c>
      <c r="D23" s="215">
        <v>100</v>
      </c>
      <c r="E23" s="215">
        <v>25.834357370993899</v>
      </c>
      <c r="F23" s="215">
        <v>27.132227607502202</v>
      </c>
      <c r="G23" s="216">
        <f t="shared" si="5"/>
        <v>1.2978702365083024</v>
      </c>
      <c r="L23" s="446" t="s">
        <v>98</v>
      </c>
      <c r="M23" s="445" t="s">
        <v>7</v>
      </c>
      <c r="N23" s="228" t="s">
        <v>136</v>
      </c>
      <c r="O23" s="228"/>
      <c r="P23" s="228">
        <f>1000*P22/0.1</f>
        <v>48.772641851807286</v>
      </c>
      <c r="Q23" s="228" t="s">
        <v>133</v>
      </c>
      <c r="R23" s="228"/>
    </row>
    <row r="24" spans="2:18">
      <c r="B24" s="233"/>
      <c r="C24" s="219">
        <v>15</v>
      </c>
      <c r="D24" s="220">
        <v>133</v>
      </c>
      <c r="E24" s="221">
        <v>25.632494725733675</v>
      </c>
      <c r="F24" s="221">
        <v>27.046608271992699</v>
      </c>
      <c r="G24" s="218">
        <f t="shared" si="5"/>
        <v>1.4141135462590242</v>
      </c>
      <c r="K24" s="13" t="s">
        <v>138</v>
      </c>
      <c r="L24" s="267">
        <f t="shared" ref="L24:L30" si="6">(M24-1.4065)/13.617</f>
        <v>2.1867056620400963E-2</v>
      </c>
      <c r="M24" s="268">
        <v>1.70426371</v>
      </c>
    </row>
    <row r="25" spans="2:18">
      <c r="C25" s="219">
        <v>30</v>
      </c>
      <c r="D25" s="220">
        <v>130</v>
      </c>
      <c r="E25" s="220">
        <v>25.631470270840552</v>
      </c>
      <c r="F25" s="220">
        <v>27.715397788011909</v>
      </c>
      <c r="G25" s="217">
        <f t="shared" si="5"/>
        <v>2.0839275171713574</v>
      </c>
      <c r="K25" s="13" t="s">
        <v>139</v>
      </c>
      <c r="L25" s="269">
        <f t="shared" si="6"/>
        <v>2.3548358669310411E-2</v>
      </c>
      <c r="M25" s="270">
        <v>1.727158</v>
      </c>
    </row>
    <row r="26" spans="2:18">
      <c r="B26" s="233">
        <f>0.1076-0.0052</f>
        <v>0.1024</v>
      </c>
      <c r="C26" s="214">
        <v>20</v>
      </c>
      <c r="D26" s="215">
        <v>100</v>
      </c>
      <c r="E26" s="233">
        <v>25.97037857594362</v>
      </c>
      <c r="F26" s="233">
        <v>27.3303890127175</v>
      </c>
      <c r="G26" s="216">
        <f t="shared" si="5"/>
        <v>1.3600104367738801</v>
      </c>
      <c r="K26" s="13" t="s">
        <v>140</v>
      </c>
      <c r="L26" s="269">
        <f t="shared" si="6"/>
        <v>2.1083013879709178E-2</v>
      </c>
      <c r="M26" s="270">
        <v>1.6935874</v>
      </c>
    </row>
    <row r="27" spans="2:18">
      <c r="B27" s="233"/>
      <c r="C27" s="219">
        <v>15</v>
      </c>
      <c r="D27" s="220">
        <v>133</v>
      </c>
      <c r="E27" s="233">
        <v>25.631097741788484</v>
      </c>
      <c r="F27" s="233">
        <v>27.033206539345102</v>
      </c>
      <c r="G27" s="218">
        <f t="shared" si="5"/>
        <v>1.4021087975566182</v>
      </c>
      <c r="K27" s="13" t="s">
        <v>141</v>
      </c>
      <c r="L27" s="269">
        <f t="shared" si="6"/>
        <v>2.2478081075126666E-2</v>
      </c>
      <c r="M27" s="270">
        <v>1.7125840299999999</v>
      </c>
    </row>
    <row r="28" spans="2:18">
      <c r="B28" s="233"/>
      <c r="C28" s="219">
        <v>30</v>
      </c>
      <c r="D28" s="220">
        <v>130</v>
      </c>
      <c r="E28" s="236">
        <v>24.775119112439114</v>
      </c>
      <c r="F28" s="236">
        <v>26.671850780954994</v>
      </c>
      <c r="G28" s="217">
        <f t="shared" si="5"/>
        <v>1.8967316685158799</v>
      </c>
      <c r="K28" s="13" t="s">
        <v>142</v>
      </c>
      <c r="L28" s="269">
        <f t="shared" si="6"/>
        <v>2.0284864507600791E-2</v>
      </c>
      <c r="M28" s="270">
        <v>1.6827190000000001</v>
      </c>
    </row>
    <row r="29" spans="2:18">
      <c r="B29" s="233">
        <f>0.1055-0.0149</f>
        <v>9.06E-2</v>
      </c>
      <c r="C29" s="214">
        <v>20</v>
      </c>
      <c r="D29" s="215">
        <v>100</v>
      </c>
      <c r="E29" s="233">
        <v>25.632308461207653</v>
      </c>
      <c r="F29" s="233">
        <v>26.879256330684214</v>
      </c>
      <c r="G29" s="216">
        <f t="shared" si="5"/>
        <v>1.2469478694765606</v>
      </c>
      <c r="K29" s="13" t="s">
        <v>143</v>
      </c>
      <c r="L29" s="269">
        <f t="shared" si="6"/>
        <v>2.4681379158404921E-2</v>
      </c>
      <c r="M29" s="270">
        <v>1.7425863399999999</v>
      </c>
    </row>
    <row r="30" spans="2:18">
      <c r="B30" s="233"/>
      <c r="C30" s="219">
        <v>15</v>
      </c>
      <c r="D30" s="220">
        <v>133</v>
      </c>
      <c r="E30" s="233">
        <v>25.677663873294815</v>
      </c>
      <c r="F30" s="233">
        <v>27.0332531054766</v>
      </c>
      <c r="G30" s="218">
        <f t="shared" si="5"/>
        <v>1.3555892321817851</v>
      </c>
      <c r="K30" s="13" t="s">
        <v>144</v>
      </c>
      <c r="L30" s="368">
        <f t="shared" si="6"/>
        <v>2.3641771315267665E-2</v>
      </c>
      <c r="M30" s="262">
        <v>1.7284299999999999</v>
      </c>
      <c r="P30" s="13">
        <f>0.13*23.04</f>
        <v>2.9952000000000001</v>
      </c>
    </row>
    <row r="31" spans="2:18">
      <c r="B31" s="233"/>
      <c r="C31" s="219">
        <v>30</v>
      </c>
      <c r="D31" s="220">
        <v>130</v>
      </c>
      <c r="E31" s="236">
        <v>25.979691802244886</v>
      </c>
      <c r="F31" s="236">
        <v>27.844106575495402</v>
      </c>
      <c r="G31" s="217">
        <f t="shared" si="5"/>
        <v>1.8644147732505161</v>
      </c>
      <c r="L31" s="13" t="s">
        <v>123</v>
      </c>
      <c r="M31" s="13">
        <f>_xlfn.STDEV.S(L24:L30)</f>
        <v>1.5532688487836714E-3</v>
      </c>
    </row>
    <row r="33" spans="2:14">
      <c r="B33" s="233">
        <f>0.1071-0.0049</f>
        <v>0.1022</v>
      </c>
      <c r="C33" s="214">
        <v>20</v>
      </c>
      <c r="D33" s="215">
        <v>100</v>
      </c>
      <c r="E33" s="257">
        <v>24.07848978510437</v>
      </c>
      <c r="F33" s="257">
        <v>25.439617809034466</v>
      </c>
      <c r="G33" s="216">
        <f t="shared" ref="G33:G35" si="7">F33-E33</f>
        <v>1.361128023930096</v>
      </c>
    </row>
    <row r="34" spans="2:14">
      <c r="B34" s="233"/>
      <c r="C34" s="219">
        <v>15</v>
      </c>
      <c r="D34" s="220">
        <v>133</v>
      </c>
      <c r="E34" s="233">
        <v>24.711810154426701</v>
      </c>
      <c r="F34" s="233">
        <v>26.10216072810654</v>
      </c>
      <c r="G34" s="218">
        <f t="shared" si="7"/>
        <v>1.3903505736798394</v>
      </c>
    </row>
    <row r="35" spans="2:14">
      <c r="B35" s="233"/>
      <c r="C35" s="219">
        <v>30</v>
      </c>
      <c r="D35" s="220">
        <v>130</v>
      </c>
      <c r="E35" s="236">
        <v>24.414231593265047</v>
      </c>
      <c r="F35" s="236">
        <v>26.294292586701669</v>
      </c>
      <c r="G35" s="217">
        <f t="shared" si="7"/>
        <v>1.8800609934366221</v>
      </c>
    </row>
    <row r="37" spans="2:14">
      <c r="B37" s="233">
        <f>0.1051-0.024</f>
        <v>8.1100000000000005E-2</v>
      </c>
      <c r="C37" s="294">
        <v>20</v>
      </c>
      <c r="D37" s="295">
        <v>100</v>
      </c>
      <c r="E37" s="370">
        <v>23.583026145877003</v>
      </c>
      <c r="F37" s="370">
        <v>24.024845601609091</v>
      </c>
      <c r="G37" s="296">
        <f t="shared" ref="G37:G42" si="8">F37-E37</f>
        <v>0.44181945573208736</v>
      </c>
    </row>
    <row r="38" spans="2:14">
      <c r="B38" s="233"/>
      <c r="C38" s="34">
        <v>15</v>
      </c>
      <c r="D38" s="39">
        <v>133</v>
      </c>
      <c r="E38" s="13">
        <v>23.578276400463373</v>
      </c>
      <c r="F38" s="13">
        <v>24.740401759171601</v>
      </c>
      <c r="G38" s="297">
        <f t="shared" si="8"/>
        <v>1.1621253587082272</v>
      </c>
      <c r="N38" s="13">
        <f>2.2/1.34</f>
        <v>1.6417910447761195</v>
      </c>
    </row>
    <row r="39" spans="2:14">
      <c r="B39" s="233"/>
      <c r="C39" s="42">
        <v>30</v>
      </c>
      <c r="D39" s="43">
        <v>130</v>
      </c>
      <c r="E39" s="15">
        <v>23.58321241040305</v>
      </c>
      <c r="F39" s="15">
        <v>24.696422350193416</v>
      </c>
      <c r="G39" s="298">
        <f t="shared" si="8"/>
        <v>1.1132099397903659</v>
      </c>
      <c r="N39" s="13">
        <f>33.16*1.64</f>
        <v>54.38239999999999</v>
      </c>
    </row>
    <row r="40" spans="2:14">
      <c r="B40" s="233">
        <f>0.1053-0.0197</f>
        <v>8.5600000000000009E-2</v>
      </c>
      <c r="C40" s="294">
        <v>20</v>
      </c>
      <c r="D40" s="295">
        <v>100</v>
      </c>
      <c r="E40" s="13">
        <v>23.745821341623142</v>
      </c>
      <c r="F40" s="13">
        <v>24.772138880022688</v>
      </c>
      <c r="G40" s="296">
        <f t="shared" si="8"/>
        <v>1.026317538399546</v>
      </c>
    </row>
    <row r="41" spans="2:14">
      <c r="B41" s="233"/>
      <c r="C41" s="34">
        <v>15</v>
      </c>
      <c r="D41" s="39">
        <v>133</v>
      </c>
      <c r="E41" s="13">
        <v>23.752899393612115</v>
      </c>
      <c r="F41" s="13">
        <v>25.038776549027947</v>
      </c>
      <c r="G41" s="297">
        <f t="shared" si="8"/>
        <v>1.2858771554158324</v>
      </c>
    </row>
    <row r="42" spans="2:14">
      <c r="B42" s="233"/>
      <c r="C42" s="42">
        <v>30</v>
      </c>
      <c r="D42" s="43">
        <v>130</v>
      </c>
      <c r="E42" s="15">
        <v>23.754203245294281</v>
      </c>
      <c r="F42" s="15">
        <v>25.278405861759534</v>
      </c>
      <c r="G42" s="298">
        <f t="shared" si="8"/>
        <v>1.5242026164652529</v>
      </c>
    </row>
    <row r="43" spans="2:14" ht="18.75">
      <c r="B43" s="232"/>
      <c r="C43" s="207" t="s">
        <v>0</v>
      </c>
      <c r="D43" s="208" t="s">
        <v>1</v>
      </c>
      <c r="E43" s="208" t="s">
        <v>13</v>
      </c>
      <c r="F43" s="208" t="s">
        <v>6</v>
      </c>
      <c r="G43" s="209" t="s">
        <v>7</v>
      </c>
    </row>
    <row r="44" spans="2:14">
      <c r="B44" s="232">
        <f>0.1198-0.016</f>
        <v>0.1038</v>
      </c>
      <c r="C44" s="214">
        <v>20</v>
      </c>
      <c r="D44" s="215">
        <v>100</v>
      </c>
      <c r="E44" s="233">
        <v>23.763889000647616</v>
      </c>
      <c r="F44" s="233">
        <v>25.122968114791412</v>
      </c>
      <c r="G44" s="216">
        <f t="shared" ref="G44:G49" si="9">F44-E44</f>
        <v>1.3590791141437961</v>
      </c>
    </row>
    <row r="45" spans="2:14">
      <c r="B45" s="232"/>
      <c r="C45" s="219">
        <v>15</v>
      </c>
      <c r="D45" s="220">
        <v>133</v>
      </c>
      <c r="E45" s="233">
        <v>23.692922216231945</v>
      </c>
      <c r="F45" s="233">
        <v>25.119242824270906</v>
      </c>
      <c r="G45" s="217">
        <f t="shared" si="9"/>
        <v>1.4263206080389601</v>
      </c>
    </row>
    <row r="46" spans="2:14">
      <c r="B46" s="232">
        <v>9.4500000000000001E-2</v>
      </c>
      <c r="C46" s="214">
        <v>20</v>
      </c>
      <c r="D46" s="215">
        <v>100</v>
      </c>
      <c r="E46" s="215">
        <v>23.581536029668815</v>
      </c>
      <c r="F46" s="215">
        <v>24.763756976351548</v>
      </c>
      <c r="G46" s="216">
        <v>1.1822209466827331</v>
      </c>
    </row>
    <row r="47" spans="2:14">
      <c r="B47" s="232"/>
      <c r="C47" s="219">
        <v>15</v>
      </c>
      <c r="D47" s="220">
        <v>133</v>
      </c>
      <c r="E47" s="220">
        <v>24.771462903705999</v>
      </c>
      <c r="F47" s="220">
        <v>26.095782702909901</v>
      </c>
      <c r="G47" s="217">
        <f>F47-E47</f>
        <v>1.3243197992039022</v>
      </c>
    </row>
    <row r="48" spans="2:14">
      <c r="B48" s="232">
        <f>0.0968-0</f>
        <v>9.6799999999999997E-2</v>
      </c>
      <c r="C48" s="214">
        <v>20</v>
      </c>
      <c r="D48" s="215">
        <v>100</v>
      </c>
      <c r="E48" s="215">
        <v>24.100562131438391</v>
      </c>
      <c r="F48" s="215">
        <v>25.453680779999999</v>
      </c>
      <c r="G48" s="216">
        <f t="shared" si="9"/>
        <v>1.3531186485616082</v>
      </c>
    </row>
    <row r="49" spans="2:7">
      <c r="B49" s="232"/>
      <c r="C49" s="219">
        <v>15</v>
      </c>
      <c r="D49" s="220">
        <v>133</v>
      </c>
      <c r="E49" s="220">
        <v>24.089919999999999</v>
      </c>
      <c r="F49" s="220">
        <v>25.478967724977</v>
      </c>
      <c r="G49" s="217">
        <f t="shared" si="9"/>
        <v>1.3890477249770008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34" workbookViewId="0">
      <selection activeCell="I29" sqref="I29"/>
    </sheetView>
  </sheetViews>
  <sheetFormatPr defaultRowHeight="15"/>
  <cols>
    <col min="7" max="7" width="10" customWidth="1"/>
    <col min="8" max="8" width="11" customWidth="1"/>
  </cols>
  <sheetData>
    <row r="1" spans="1:15">
      <c r="A1" s="470" t="s">
        <v>313</v>
      </c>
      <c r="B1" s="62"/>
      <c r="C1" s="62"/>
      <c r="D1" s="62"/>
      <c r="E1" s="62"/>
      <c r="F1" s="62"/>
      <c r="J1" s="470" t="s">
        <v>321</v>
      </c>
      <c r="K1" s="62"/>
      <c r="L1" s="62"/>
      <c r="M1" s="62"/>
      <c r="N1" s="62"/>
      <c r="O1" s="62"/>
    </row>
    <row r="2" spans="1:15">
      <c r="A2" t="s">
        <v>314</v>
      </c>
      <c r="J2" s="461" t="s">
        <v>314</v>
      </c>
    </row>
    <row r="5" spans="1:15">
      <c r="A5" s="240" t="s">
        <v>5</v>
      </c>
      <c r="B5" s="16" t="s">
        <v>319</v>
      </c>
      <c r="C5" s="13" t="s">
        <v>299</v>
      </c>
      <c r="E5" s="13"/>
      <c r="F5" s="13"/>
      <c r="G5" s="13"/>
      <c r="K5" s="240" t="s">
        <v>5</v>
      </c>
      <c r="L5" s="16" t="s">
        <v>319</v>
      </c>
      <c r="M5" s="13" t="s">
        <v>299</v>
      </c>
    </row>
    <row r="6" spans="1:15" ht="18.75">
      <c r="A6" t="s">
        <v>317</v>
      </c>
      <c r="B6" s="13" t="s">
        <v>315</v>
      </c>
      <c r="C6" s="9" t="s">
        <v>0</v>
      </c>
      <c r="D6" s="10" t="s">
        <v>1</v>
      </c>
      <c r="E6" s="10" t="s">
        <v>8</v>
      </c>
      <c r="F6" s="10" t="s">
        <v>6</v>
      </c>
      <c r="G6" s="11" t="s">
        <v>7</v>
      </c>
      <c r="I6" s="461" t="s">
        <v>322</v>
      </c>
      <c r="J6" s="13" t="s">
        <v>315</v>
      </c>
      <c r="K6" s="9" t="s">
        <v>0</v>
      </c>
      <c r="L6" s="10" t="s">
        <v>1</v>
      </c>
      <c r="M6" s="10" t="s">
        <v>8</v>
      </c>
      <c r="N6" s="10" t="s">
        <v>6</v>
      </c>
      <c r="O6" s="11" t="s">
        <v>7</v>
      </c>
    </row>
    <row r="7" spans="1:15" ht="15.75">
      <c r="B7" s="13">
        <f>0.0676-0.0011</f>
        <v>6.649999999999999E-2</v>
      </c>
      <c r="C7" s="3">
        <v>25</v>
      </c>
      <c r="D7" s="4">
        <v>130</v>
      </c>
      <c r="E7" s="17">
        <v>24.767668531398101</v>
      </c>
      <c r="F7" s="17">
        <v>26.979187248896782</v>
      </c>
      <c r="G7" s="5">
        <f t="shared" ref="G7:G13" si="0">F7-E7</f>
        <v>2.2115187174986808</v>
      </c>
      <c r="I7" s="461"/>
      <c r="J7" s="13">
        <v>6.9800000000000001E-2</v>
      </c>
      <c r="K7" s="3">
        <v>20</v>
      </c>
      <c r="L7" s="4">
        <v>130</v>
      </c>
      <c r="M7" s="17">
        <v>24.731398167668502</v>
      </c>
      <c r="N7" s="17">
        <v>30.352458167668502</v>
      </c>
      <c r="O7" s="5">
        <f t="shared" ref="O7:O10" si="1">N7-M7</f>
        <v>5.6210599999999999</v>
      </c>
    </row>
    <row r="8" spans="1:15" ht="15.75">
      <c r="B8" s="13"/>
      <c r="C8" s="3">
        <v>15</v>
      </c>
      <c r="D8" s="4">
        <v>130</v>
      </c>
      <c r="E8" s="17">
        <v>25.111512846440849</v>
      </c>
      <c r="F8" s="17">
        <v>26.980397968315952</v>
      </c>
      <c r="G8" s="5">
        <f t="shared" si="0"/>
        <v>1.8688851218751026</v>
      </c>
      <c r="I8" s="461"/>
      <c r="J8" s="13"/>
      <c r="K8" s="3">
        <v>20</v>
      </c>
      <c r="L8" s="4">
        <v>100</v>
      </c>
      <c r="M8" s="17">
        <v>25.184644081151198</v>
      </c>
      <c r="N8" s="17">
        <v>30.295184081151199</v>
      </c>
      <c r="O8" s="5">
        <f t="shared" si="1"/>
        <v>5.1105400000000003</v>
      </c>
    </row>
    <row r="9" spans="1:15" ht="15.75">
      <c r="B9" s="13"/>
      <c r="C9" s="3">
        <v>20</v>
      </c>
      <c r="D9" s="4">
        <v>100</v>
      </c>
      <c r="E9" s="17">
        <v>26.299414861167364</v>
      </c>
      <c r="F9" s="17">
        <v>27.696119409568265</v>
      </c>
      <c r="G9" s="5">
        <f t="shared" si="0"/>
        <v>1.3967045484009013</v>
      </c>
      <c r="I9" s="461" t="s">
        <v>323</v>
      </c>
      <c r="J9" s="13">
        <v>6.93E-2</v>
      </c>
      <c r="K9" s="3">
        <v>20</v>
      </c>
      <c r="L9" s="4">
        <v>130</v>
      </c>
      <c r="M9" s="17">
        <v>26.414861129967399</v>
      </c>
      <c r="N9" s="17">
        <v>31.017271129967398</v>
      </c>
      <c r="O9" s="5">
        <f t="shared" si="1"/>
        <v>4.602409999999999</v>
      </c>
    </row>
    <row r="10" spans="1:15" ht="15.75">
      <c r="B10" s="13"/>
      <c r="C10" s="6">
        <v>30</v>
      </c>
      <c r="D10" s="22">
        <v>100</v>
      </c>
      <c r="E10" s="12">
        <v>25.548955085811322</v>
      </c>
      <c r="F10" s="12">
        <v>27.319492537945067</v>
      </c>
      <c r="G10" s="8">
        <f t="shared" si="0"/>
        <v>1.7705374521337447</v>
      </c>
      <c r="I10" s="461"/>
      <c r="J10" s="13"/>
      <c r="K10" s="6">
        <v>20</v>
      </c>
      <c r="L10" s="22">
        <v>100</v>
      </c>
      <c r="M10" s="12">
        <v>25.585811489550299</v>
      </c>
      <c r="N10" s="12">
        <v>29.655751489550298</v>
      </c>
      <c r="O10" s="8">
        <f t="shared" si="1"/>
        <v>4.069939999999999</v>
      </c>
    </row>
    <row r="11" spans="1:15" ht="15.75">
      <c r="A11" s="461" t="s">
        <v>316</v>
      </c>
      <c r="B11">
        <f>0.0612-0.0021</f>
        <v>5.91E-2</v>
      </c>
      <c r="C11" s="48">
        <v>20</v>
      </c>
      <c r="D11" s="52">
        <v>100</v>
      </c>
      <c r="E11" s="53">
        <v>24.768041060450141</v>
      </c>
      <c r="F11" s="53">
        <v>25.976618437565463</v>
      </c>
      <c r="G11" s="29">
        <f t="shared" si="0"/>
        <v>1.2085773771153221</v>
      </c>
      <c r="L11" s="49"/>
    </row>
    <row r="12" spans="1:15" ht="15.75">
      <c r="C12" s="3">
        <v>30</v>
      </c>
      <c r="D12" s="4">
        <v>100</v>
      </c>
      <c r="E12" s="17">
        <v>24.433975633023724</v>
      </c>
      <c r="F12" s="17">
        <v>25.978574215088742</v>
      </c>
      <c r="G12" s="5">
        <f t="shared" si="0"/>
        <v>1.5445985820650172</v>
      </c>
      <c r="L12" s="50"/>
    </row>
    <row r="13" spans="1:15" ht="15.75">
      <c r="C13" s="6">
        <v>15</v>
      </c>
      <c r="D13" s="7">
        <v>100</v>
      </c>
      <c r="E13" s="12">
        <v>23.9896416061903</v>
      </c>
      <c r="F13" s="12">
        <v>25.117473311273649</v>
      </c>
      <c r="G13" s="8">
        <f t="shared" si="0"/>
        <v>1.1278317050833486</v>
      </c>
      <c r="L13" s="51"/>
    </row>
    <row r="14" spans="1:15" ht="15.75">
      <c r="C14" s="26">
        <v>15</v>
      </c>
      <c r="D14" s="27">
        <v>130</v>
      </c>
      <c r="E14" s="53">
        <v>23.760908768231189</v>
      </c>
      <c r="F14" s="53">
        <v>25.468954471883453</v>
      </c>
      <c r="G14" s="29">
        <f t="shared" ref="G14:G17" si="2">F14-E14</f>
        <v>1.7080457036522638</v>
      </c>
      <c r="L14" s="54"/>
    </row>
    <row r="15" spans="1:15" ht="15.75">
      <c r="C15" s="3">
        <v>20</v>
      </c>
      <c r="D15" s="18">
        <v>130</v>
      </c>
      <c r="E15" s="17">
        <v>23.758673593918896</v>
      </c>
      <c r="F15" s="17">
        <v>25.626534260900875</v>
      </c>
      <c r="G15" s="5">
        <f t="shared" si="2"/>
        <v>1.8678606669819793</v>
      </c>
      <c r="L15" s="54"/>
    </row>
    <row r="16" spans="1:15" ht="15.75">
      <c r="C16" s="24">
        <v>30</v>
      </c>
      <c r="D16" s="25">
        <v>130</v>
      </c>
      <c r="E16" s="12">
        <v>23.759418652023001</v>
      </c>
      <c r="F16" s="12">
        <v>25.975221453620275</v>
      </c>
      <c r="G16" s="8">
        <f t="shared" si="2"/>
        <v>2.2158028015972739</v>
      </c>
      <c r="L16" s="54"/>
    </row>
    <row r="17" spans="1:12" ht="15.75">
      <c r="C17" s="19">
        <v>15</v>
      </c>
      <c r="D17" s="18">
        <v>70</v>
      </c>
      <c r="E17" s="61">
        <v>23.823586781238717</v>
      </c>
      <c r="F17" s="59">
        <v>24.814327795167429</v>
      </c>
      <c r="G17" s="8">
        <f t="shared" si="2"/>
        <v>0.99074101392871228</v>
      </c>
      <c r="L17" s="60"/>
    </row>
    <row r="18" spans="1:12" ht="15.75">
      <c r="C18" s="19">
        <v>20</v>
      </c>
      <c r="D18" s="18">
        <v>70</v>
      </c>
      <c r="E18" s="58">
        <v>23.759139255233958</v>
      </c>
      <c r="F18" s="57">
        <v>24.780241386904812</v>
      </c>
      <c r="G18" s="8">
        <f t="shared" ref="G18" si="3">F18-E18</f>
        <v>1.0211021316708546</v>
      </c>
      <c r="L18" s="58"/>
    </row>
    <row r="19" spans="1:12" ht="15.75">
      <c r="C19" s="19">
        <v>30</v>
      </c>
      <c r="D19" s="18">
        <v>70</v>
      </c>
      <c r="E19" s="56">
        <v>23.75895299070794</v>
      </c>
      <c r="F19" s="55">
        <v>25.111699110966867</v>
      </c>
      <c r="G19" s="8">
        <f t="shared" ref="G19" si="4">F19-E19</f>
        <v>1.3527461202589279</v>
      </c>
      <c r="L19" s="56"/>
    </row>
    <row r="20" spans="1:12" ht="15.75">
      <c r="A20" s="461" t="s">
        <v>318</v>
      </c>
      <c r="B20" s="13">
        <f>0.0882-0.0109</f>
        <v>7.7300000000000008E-2</v>
      </c>
      <c r="C20" s="3">
        <v>30</v>
      </c>
      <c r="D20" s="4">
        <v>130</v>
      </c>
      <c r="E20" s="194">
        <v>21.338259210482782</v>
      </c>
      <c r="F20" s="193">
        <v>23.573247258260672</v>
      </c>
      <c r="G20" s="5">
        <f t="shared" ref="G20" si="5">F20-E20</f>
        <v>2.2349880477778896</v>
      </c>
    </row>
    <row r="21" spans="1:12" ht="15.75">
      <c r="B21" s="13"/>
      <c r="C21" s="3">
        <v>30</v>
      </c>
      <c r="D21" s="4">
        <v>100</v>
      </c>
      <c r="E21" s="192">
        <v>21.010619909204227</v>
      </c>
      <c r="F21" s="191">
        <v>22.633915253514971</v>
      </c>
      <c r="G21" s="5">
        <f>F21-E21</f>
        <v>1.6232953443107441</v>
      </c>
    </row>
    <row r="22" spans="1:12" ht="15.75">
      <c r="B22" s="13"/>
      <c r="C22" s="6">
        <v>30</v>
      </c>
      <c r="D22" s="25">
        <v>70</v>
      </c>
      <c r="E22" s="12">
        <v>20.335690399151463</v>
      </c>
      <c r="F22" s="12">
        <v>21.683966170785808</v>
      </c>
      <c r="G22" s="8">
        <f t="shared" ref="G22" si="6">F22-E22</f>
        <v>1.348275771634345</v>
      </c>
    </row>
    <row r="23" spans="1:12">
      <c r="F23" s="16"/>
      <c r="G23" s="16"/>
      <c r="H23" s="13"/>
      <c r="I23" s="13"/>
      <c r="J23" s="13"/>
      <c r="K23" s="13"/>
      <c r="L23" s="183"/>
    </row>
    <row r="24" spans="1:12">
      <c r="E24" s="183"/>
      <c r="F24" s="13"/>
      <c r="G24" s="461"/>
      <c r="H24" s="461"/>
      <c r="I24" s="461"/>
      <c r="J24" s="461"/>
      <c r="K24" s="461"/>
      <c r="L24" s="183"/>
    </row>
    <row r="25" spans="1:12">
      <c r="E25" s="183"/>
      <c r="G25" s="461"/>
      <c r="H25" s="461"/>
      <c r="I25" s="461"/>
      <c r="J25" s="461"/>
      <c r="K25" s="461"/>
      <c r="L25" s="190"/>
    </row>
    <row r="27" spans="1:12">
      <c r="A27" s="461" t="s">
        <v>9</v>
      </c>
      <c r="B27" s="16" t="s">
        <v>319</v>
      </c>
      <c r="C27" s="13" t="s">
        <v>311</v>
      </c>
      <c r="D27" s="13"/>
      <c r="E27" s="13"/>
      <c r="F27" s="13"/>
      <c r="G27" s="194"/>
    </row>
    <row r="28" spans="1:12" ht="18.75">
      <c r="A28" s="461" t="s">
        <v>317</v>
      </c>
      <c r="B28" s="13" t="s">
        <v>315</v>
      </c>
      <c r="C28" s="9" t="s">
        <v>0</v>
      </c>
      <c r="D28" s="10" t="s">
        <v>1</v>
      </c>
      <c r="E28" s="10" t="s">
        <v>8</v>
      </c>
      <c r="F28" s="10" t="s">
        <v>6</v>
      </c>
      <c r="G28" s="11" t="s">
        <v>7</v>
      </c>
      <c r="H28" s="194"/>
    </row>
    <row r="29" spans="1:12" ht="15.75">
      <c r="B29" s="13">
        <f>0.0779-0.0014</f>
        <v>7.6499999999999999E-2</v>
      </c>
      <c r="C29" s="3">
        <v>30</v>
      </c>
      <c r="D29" s="4">
        <v>130</v>
      </c>
      <c r="E29" s="196">
        <v>20.663515964956037</v>
      </c>
      <c r="F29" s="195">
        <v>22.421387429320053</v>
      </c>
      <c r="G29" s="5">
        <f>F29-E29</f>
        <v>1.7578714643640154</v>
      </c>
      <c r="H29" s="194"/>
    </row>
    <row r="30" spans="1:12" ht="15.75">
      <c r="B30" s="13"/>
      <c r="C30" s="3">
        <v>30</v>
      </c>
      <c r="D30" s="4">
        <v>100</v>
      </c>
      <c r="E30" s="198">
        <v>21.347944965836113</v>
      </c>
      <c r="F30" s="197">
        <v>22.362527839096099</v>
      </c>
      <c r="G30" s="5">
        <f>F30-E30</f>
        <v>1.014582873259986</v>
      </c>
      <c r="H30" s="196"/>
    </row>
    <row r="31" spans="1:12" ht="15.75">
      <c r="B31" s="13"/>
      <c r="C31" s="6">
        <v>30</v>
      </c>
      <c r="D31" s="25">
        <v>70</v>
      </c>
      <c r="E31" s="12">
        <v>21.342170765529335</v>
      </c>
      <c r="F31" s="12">
        <v>22.205786240445736</v>
      </c>
      <c r="G31" s="8">
        <f>F31-E31</f>
        <v>0.86361547491640067</v>
      </c>
      <c r="H31" s="196"/>
    </row>
    <row r="33" spans="1:8" ht="18.75">
      <c r="A33" s="461" t="s">
        <v>316</v>
      </c>
      <c r="B33" s="13" t="s">
        <v>315</v>
      </c>
      <c r="C33" s="9" t="s">
        <v>0</v>
      </c>
      <c r="D33" s="10" t="s">
        <v>1</v>
      </c>
      <c r="E33" s="10" t="s">
        <v>8</v>
      </c>
      <c r="F33" s="10" t="s">
        <v>6</v>
      </c>
      <c r="G33" s="11" t="s">
        <v>7</v>
      </c>
      <c r="H33" s="199"/>
    </row>
    <row r="34" spans="1:8" ht="15.75">
      <c r="B34" s="13">
        <f>0.081-0.0164</f>
        <v>6.4600000000000005E-2</v>
      </c>
      <c r="C34" s="6">
        <v>30</v>
      </c>
      <c r="D34" s="25">
        <v>100</v>
      </c>
      <c r="E34" s="202">
        <v>24.089106863087828</v>
      </c>
      <c r="F34" s="201">
        <v>25.457033542217829</v>
      </c>
      <c r="G34" s="8">
        <f>F34-E34</f>
        <v>1.3679266791300009</v>
      </c>
      <c r="H34" s="199"/>
    </row>
    <row r="35" spans="1:8" ht="15.75">
      <c r="B35" s="13"/>
      <c r="C35" s="18">
        <v>20</v>
      </c>
      <c r="D35" s="18">
        <v>100</v>
      </c>
      <c r="E35" s="12">
        <v>23.748522177250525</v>
      </c>
      <c r="F35" s="12">
        <v>25.110208994758654</v>
      </c>
      <c r="G35" s="8">
        <f>F35-E35</f>
        <v>1.3616868175081294</v>
      </c>
      <c r="H35" s="200"/>
    </row>
    <row r="36" spans="1:8">
      <c r="A36" s="13"/>
    </row>
    <row r="39" spans="1:8">
      <c r="E39" s="183"/>
      <c r="F39" s="183"/>
    </row>
  </sheetData>
  <phoneticPr fontId="1" type="noConversion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opLeftCell="A61" workbookViewId="0">
      <selection activeCell="G71" sqref="G71"/>
    </sheetView>
  </sheetViews>
  <sheetFormatPr defaultRowHeight="15"/>
  <cols>
    <col min="2" max="2" width="11.5703125" customWidth="1"/>
    <col min="3" max="3" width="11.42578125" customWidth="1"/>
    <col min="4" max="4" width="11.7109375" customWidth="1"/>
    <col min="12" max="12" width="13.7109375" customWidth="1"/>
  </cols>
  <sheetData>
    <row r="1" spans="1:17">
      <c r="B1" s="62" t="s">
        <v>296</v>
      </c>
      <c r="C1" s="62"/>
      <c r="D1" s="62"/>
      <c r="E1" s="62"/>
      <c r="F1" s="62"/>
      <c r="G1" s="62"/>
      <c r="J1" s="470" t="s">
        <v>309</v>
      </c>
      <c r="K1" s="62"/>
      <c r="L1" s="62"/>
      <c r="M1" s="62"/>
      <c r="N1" s="62"/>
      <c r="O1" s="62"/>
      <c r="P1" s="62"/>
    </row>
    <row r="2" spans="1:17">
      <c r="B2" t="s">
        <v>297</v>
      </c>
      <c r="J2" s="461" t="s">
        <v>297</v>
      </c>
    </row>
    <row r="3" spans="1:17">
      <c r="B3" s="240" t="s">
        <v>5</v>
      </c>
      <c r="C3" s="16" t="s">
        <v>298</v>
      </c>
      <c r="D3" s="13" t="s">
        <v>299</v>
      </c>
    </row>
    <row r="4" spans="1:17">
      <c r="A4" s="13"/>
      <c r="B4" t="s">
        <v>301</v>
      </c>
      <c r="E4" s="13"/>
      <c r="F4" s="13"/>
      <c r="G4" s="13"/>
      <c r="K4" s="461" t="s">
        <v>9</v>
      </c>
      <c r="L4" s="16" t="s">
        <v>310</v>
      </c>
      <c r="M4" s="13" t="s">
        <v>311</v>
      </c>
    </row>
    <row r="5" spans="1:17" ht="18.75">
      <c r="A5" s="14"/>
      <c r="B5" s="13" t="s">
        <v>300</v>
      </c>
      <c r="C5" s="9" t="s">
        <v>0</v>
      </c>
      <c r="D5" s="10" t="s">
        <v>1</v>
      </c>
      <c r="E5" s="10" t="s">
        <v>8</v>
      </c>
      <c r="F5" s="10" t="s">
        <v>6</v>
      </c>
      <c r="G5" s="11" t="s">
        <v>7</v>
      </c>
      <c r="K5" s="13" t="s">
        <v>300</v>
      </c>
      <c r="L5" s="9" t="s">
        <v>0</v>
      </c>
      <c r="M5" s="10" t="s">
        <v>1</v>
      </c>
      <c r="N5" s="10" t="s">
        <v>8</v>
      </c>
      <c r="O5" s="10" t="s">
        <v>6</v>
      </c>
      <c r="P5" s="11" t="s">
        <v>7</v>
      </c>
      <c r="Q5" s="95"/>
    </row>
    <row r="6" spans="1:17" ht="15.75">
      <c r="A6" s="13"/>
      <c r="B6" s="13">
        <f>0.073-0.016</f>
        <v>5.6999999999999995E-2</v>
      </c>
      <c r="C6" s="3">
        <v>20</v>
      </c>
      <c r="D6" s="4">
        <v>100</v>
      </c>
      <c r="E6" s="13">
        <v>26.290846692970206</v>
      </c>
      <c r="F6" s="13">
        <v>27.495326250512981</v>
      </c>
      <c r="G6" s="5">
        <f t="shared" ref="G6:G13" si="0">F6-E6</f>
        <v>1.2044795575427756</v>
      </c>
      <c r="K6" s="13">
        <f>0.0852-0.0154</f>
        <v>6.9800000000000001E-2</v>
      </c>
      <c r="L6" s="26">
        <v>15</v>
      </c>
      <c r="M6" s="27">
        <v>130</v>
      </c>
      <c r="N6" s="150">
        <v>25.103410339558753</v>
      </c>
      <c r="O6" s="149">
        <v>26.313198436093245</v>
      </c>
      <c r="P6" s="29">
        <f t="shared" ref="P6:P10" si="1">O6-N6</f>
        <v>1.209788096534492</v>
      </c>
      <c r="Q6" s="132"/>
    </row>
    <row r="7" spans="1:17" ht="15.75">
      <c r="A7" s="13"/>
      <c r="B7" s="13" t="s">
        <v>304</v>
      </c>
      <c r="C7" s="3">
        <v>20</v>
      </c>
      <c r="D7" s="4">
        <v>70</v>
      </c>
      <c r="E7" s="13">
        <v>25.219266874746495</v>
      </c>
      <c r="F7" s="13">
        <v>26.298669803063259</v>
      </c>
      <c r="G7" s="5">
        <f t="shared" si="0"/>
        <v>1.0794029283167639</v>
      </c>
      <c r="H7" s="72"/>
      <c r="K7" s="13" t="s">
        <v>312</v>
      </c>
      <c r="L7" s="3">
        <v>20</v>
      </c>
      <c r="M7" s="4">
        <v>130</v>
      </c>
      <c r="N7" s="148">
        <v>25.112164772281933</v>
      </c>
      <c r="O7" s="147">
        <v>26.650896021777143</v>
      </c>
      <c r="P7" s="5">
        <f t="shared" si="1"/>
        <v>1.5387312494952106</v>
      </c>
      <c r="Q7" s="132"/>
    </row>
    <row r="8" spans="1:17" ht="15.75">
      <c r="A8" s="13"/>
      <c r="B8" s="13">
        <f>B6/20.0378*20.1</f>
        <v>5.717693559173162E-2</v>
      </c>
      <c r="C8" s="3">
        <v>20</v>
      </c>
      <c r="D8" s="4">
        <v>50</v>
      </c>
      <c r="E8" s="13">
        <v>24.763850108614573</v>
      </c>
      <c r="F8" s="13">
        <v>25.445857670656309</v>
      </c>
      <c r="G8" s="5">
        <f t="shared" si="0"/>
        <v>0.68200756204173629</v>
      </c>
      <c r="H8" s="72"/>
      <c r="K8" s="13">
        <f>K6/20.1209*20.2</f>
        <v>7.0074400250485822E-2</v>
      </c>
      <c r="L8" s="3">
        <v>30</v>
      </c>
      <c r="M8" s="4">
        <v>130</v>
      </c>
      <c r="N8" s="146">
        <v>25.622343309065304</v>
      </c>
      <c r="O8" s="145">
        <v>27.318095553999878</v>
      </c>
      <c r="P8" s="5">
        <f t="shared" si="1"/>
        <v>1.6957522449345745</v>
      </c>
      <c r="Q8" s="132"/>
    </row>
    <row r="9" spans="1:17" ht="15.75">
      <c r="A9" s="13"/>
      <c r="B9" s="13"/>
      <c r="C9" s="3">
        <v>20</v>
      </c>
      <c r="D9" s="4">
        <v>30</v>
      </c>
      <c r="E9" s="13">
        <v>24.76198746335432</v>
      </c>
      <c r="F9" s="13">
        <v>25.102944678243688</v>
      </c>
      <c r="G9" s="5">
        <f t="shared" si="0"/>
        <v>0.34095721488936803</v>
      </c>
      <c r="H9" s="72"/>
      <c r="K9" s="13"/>
      <c r="L9" s="19">
        <v>40</v>
      </c>
      <c r="M9" s="18">
        <v>130</v>
      </c>
      <c r="N9" s="144">
        <v>25.459548113319165</v>
      </c>
      <c r="O9" s="143">
        <v>26.992412030244601</v>
      </c>
      <c r="P9" s="5">
        <f t="shared" si="1"/>
        <v>1.5328639169254359</v>
      </c>
      <c r="Q9" s="132"/>
    </row>
    <row r="10" spans="1:17" ht="15.75">
      <c r="A10" s="13"/>
      <c r="B10" s="13"/>
      <c r="C10" s="3">
        <v>10</v>
      </c>
      <c r="D10" s="4">
        <v>100</v>
      </c>
      <c r="E10" s="13">
        <v>25.617686695914671</v>
      </c>
      <c r="F10" s="13">
        <v>26.644376763366257</v>
      </c>
      <c r="G10" s="5">
        <f t="shared" si="0"/>
        <v>1.026690067451586</v>
      </c>
      <c r="H10" s="72"/>
      <c r="K10" s="13"/>
      <c r="L10" s="19">
        <v>50</v>
      </c>
      <c r="M10" s="18">
        <v>130</v>
      </c>
      <c r="N10" s="142">
        <v>24.772325144548734</v>
      </c>
      <c r="O10" s="141">
        <v>26.98263314262827</v>
      </c>
      <c r="P10" s="5">
        <f t="shared" si="1"/>
        <v>2.2103079980795357</v>
      </c>
      <c r="Q10" s="132"/>
    </row>
    <row r="11" spans="1:17" ht="15.75">
      <c r="A11" s="13"/>
      <c r="B11" s="13"/>
      <c r="C11" s="3">
        <v>10</v>
      </c>
      <c r="D11" s="4">
        <v>70</v>
      </c>
      <c r="E11" s="13">
        <v>25.107321894605278</v>
      </c>
      <c r="F11" s="13">
        <v>25.921577270124995</v>
      </c>
      <c r="G11" s="5">
        <f t="shared" si="0"/>
        <v>0.81425537551971772</v>
      </c>
      <c r="H11" s="72"/>
      <c r="K11" s="13"/>
      <c r="L11" s="3">
        <v>15</v>
      </c>
      <c r="M11" s="4">
        <v>100</v>
      </c>
      <c r="N11" s="140">
        <v>24.771580086444629</v>
      </c>
      <c r="O11" s="139">
        <v>25.63286725478574</v>
      </c>
      <c r="P11" s="5">
        <f>O11-N11</f>
        <v>0.86128716834111074</v>
      </c>
      <c r="Q11" s="132"/>
    </row>
    <row r="12" spans="1:17" ht="15.75">
      <c r="A12" s="13"/>
      <c r="B12" s="13"/>
      <c r="C12" s="3">
        <v>10</v>
      </c>
      <c r="D12" s="4">
        <v>50</v>
      </c>
      <c r="E12" s="13">
        <v>24.759472892252983</v>
      </c>
      <c r="F12" s="13">
        <v>25.447627183653537</v>
      </c>
      <c r="G12" s="5">
        <f t="shared" si="0"/>
        <v>0.68815429140055429</v>
      </c>
      <c r="H12" s="72"/>
      <c r="K12" s="13"/>
      <c r="L12" s="3">
        <v>20</v>
      </c>
      <c r="M12" s="4">
        <v>100</v>
      </c>
      <c r="N12" s="132">
        <v>24.424010480881375</v>
      </c>
      <c r="O12" s="131">
        <v>25.96758460805324</v>
      </c>
      <c r="P12" s="5">
        <f>O12-N12</f>
        <v>1.5435741271718655</v>
      </c>
      <c r="Q12" s="132"/>
    </row>
    <row r="13" spans="1:17" ht="15.75">
      <c r="A13" s="13"/>
      <c r="B13" s="13"/>
      <c r="C13" s="6">
        <v>10</v>
      </c>
      <c r="D13" s="7">
        <v>30</v>
      </c>
      <c r="E13" s="15">
        <v>24.07970050452354</v>
      </c>
      <c r="F13" s="15">
        <v>24.425128068037523</v>
      </c>
      <c r="G13" s="8">
        <f t="shared" si="0"/>
        <v>0.34542756351398296</v>
      </c>
      <c r="H13" s="72"/>
      <c r="K13" s="13"/>
      <c r="L13" s="3">
        <v>30</v>
      </c>
      <c r="M13" s="4">
        <v>100</v>
      </c>
      <c r="N13" s="133">
        <v>24.423917348618353</v>
      </c>
      <c r="O13" s="134">
        <v>26.150403240347103</v>
      </c>
      <c r="P13" s="5">
        <f>O13-N13</f>
        <v>1.7264858917287498</v>
      </c>
      <c r="Q13" s="132"/>
    </row>
    <row r="14" spans="1:17" ht="15.75">
      <c r="K14" s="95"/>
      <c r="L14" s="3">
        <v>40</v>
      </c>
      <c r="M14" s="4">
        <v>100</v>
      </c>
      <c r="N14" s="135">
        <v>24.59099662846306</v>
      </c>
      <c r="O14" s="136">
        <v>26.31031133593984</v>
      </c>
      <c r="P14" s="5">
        <f>O14-N14</f>
        <v>1.7193147074767801</v>
      </c>
      <c r="Q14" s="132"/>
    </row>
    <row r="15" spans="1:17" ht="15.75">
      <c r="K15" s="95"/>
      <c r="L15" s="3">
        <v>50</v>
      </c>
      <c r="M15" s="4">
        <v>100</v>
      </c>
      <c r="N15" s="138">
        <v>24.763756976351548</v>
      </c>
      <c r="O15" s="137">
        <v>26.38919436271156</v>
      </c>
      <c r="P15" s="5">
        <f>O15-N15</f>
        <v>1.6254373863600122</v>
      </c>
      <c r="Q15" s="132"/>
    </row>
    <row r="16" spans="1:17" ht="15.75">
      <c r="K16" s="95"/>
      <c r="L16" s="3">
        <v>15</v>
      </c>
      <c r="M16" s="18">
        <v>70</v>
      </c>
      <c r="N16" s="158">
        <v>24.775491641491154</v>
      </c>
      <c r="O16" s="157">
        <v>25.643484332769173</v>
      </c>
      <c r="P16" s="5">
        <f t="shared" ref="P16:P20" si="2">O16-N16</f>
        <v>0.86799269127801892</v>
      </c>
      <c r="Q16" s="132"/>
    </row>
    <row r="17" spans="1:17" ht="15.75">
      <c r="A17" s="1"/>
      <c r="B17" s="63"/>
      <c r="C17" s="63"/>
      <c r="D17" s="63"/>
      <c r="E17" s="63"/>
      <c r="F17" s="63"/>
      <c r="G17" s="63"/>
      <c r="K17" s="95"/>
      <c r="L17" s="3">
        <v>20</v>
      </c>
      <c r="M17" s="18">
        <v>70</v>
      </c>
      <c r="N17" s="152">
        <v>24.76440890219266</v>
      </c>
      <c r="O17" s="151">
        <v>25.630259551421382</v>
      </c>
      <c r="P17" s="5">
        <f t="shared" si="2"/>
        <v>0.86585064922872235</v>
      </c>
      <c r="Q17" s="132"/>
    </row>
    <row r="18" spans="1:17" ht="15.75">
      <c r="A18" s="1"/>
      <c r="B18" s="461" t="s">
        <v>302</v>
      </c>
      <c r="C18" s="16"/>
      <c r="D18" s="13"/>
      <c r="E18" s="13"/>
      <c r="F18" s="13"/>
      <c r="G18" s="13"/>
      <c r="K18" s="95"/>
      <c r="L18" s="3">
        <v>30</v>
      </c>
      <c r="M18" s="18">
        <v>70</v>
      </c>
      <c r="N18" s="156">
        <v>24.842546870860271</v>
      </c>
      <c r="O18" s="155">
        <v>25.941786971198738</v>
      </c>
      <c r="P18" s="5">
        <f t="shared" si="2"/>
        <v>1.0992401003384664</v>
      </c>
      <c r="Q18" s="132"/>
    </row>
    <row r="19" spans="1:17" ht="18.75">
      <c r="B19" s="13" t="s">
        <v>300</v>
      </c>
      <c r="C19" s="9" t="s">
        <v>0</v>
      </c>
      <c r="D19" s="10" t="s">
        <v>1</v>
      </c>
      <c r="E19" s="10" t="s">
        <v>8</v>
      </c>
      <c r="F19" s="10" t="s">
        <v>6</v>
      </c>
      <c r="G19" s="11" t="s">
        <v>7</v>
      </c>
      <c r="K19" s="95"/>
      <c r="L19" s="3">
        <v>40</v>
      </c>
      <c r="M19" s="18">
        <v>70</v>
      </c>
      <c r="N19" s="154">
        <v>24.770928160603546</v>
      </c>
      <c r="O19" s="153">
        <v>25.98155444750514</v>
      </c>
      <c r="P19" s="5">
        <f t="shared" si="2"/>
        <v>1.2106262869015936</v>
      </c>
      <c r="Q19" s="132"/>
    </row>
    <row r="20" spans="1:17" ht="15.75">
      <c r="B20" s="13">
        <f>0.144-0.0547</f>
        <v>8.929999999999999E-2</v>
      </c>
      <c r="C20" s="26">
        <v>15</v>
      </c>
      <c r="D20" s="27">
        <v>130</v>
      </c>
      <c r="E20" s="82">
        <v>24.771859483233673</v>
      </c>
      <c r="F20" s="81">
        <v>26.618579126511754</v>
      </c>
      <c r="G20" s="29">
        <f t="shared" ref="G20:G22" si="3">F20-E20</f>
        <v>1.8467196432780817</v>
      </c>
      <c r="H20" s="74"/>
      <c r="K20" s="95"/>
      <c r="L20" s="6">
        <v>50</v>
      </c>
      <c r="M20" s="25">
        <v>70</v>
      </c>
      <c r="N20" s="12">
        <v>24.873373649917475</v>
      </c>
      <c r="O20" s="12">
        <v>25.991240202858474</v>
      </c>
      <c r="P20" s="8">
        <f t="shared" si="2"/>
        <v>1.117866552940999</v>
      </c>
      <c r="Q20" s="132"/>
    </row>
    <row r="21" spans="1:17" ht="15.75">
      <c r="B21" s="13" t="s">
        <v>304</v>
      </c>
      <c r="C21" s="3">
        <v>20</v>
      </c>
      <c r="D21" s="4">
        <v>130</v>
      </c>
      <c r="E21" s="84">
        <v>25.109277672128528</v>
      </c>
      <c r="F21" s="83">
        <v>26.909524316163331</v>
      </c>
      <c r="G21" s="5">
        <f t="shared" si="3"/>
        <v>1.8002466440348037</v>
      </c>
      <c r="H21" s="74"/>
    </row>
    <row r="22" spans="1:17" ht="18.75">
      <c r="B22" s="13">
        <f>B20/20.0378*20.1</f>
        <v>8.9577199093712867E-2</v>
      </c>
      <c r="C22" s="3">
        <v>30</v>
      </c>
      <c r="D22" s="4">
        <v>130</v>
      </c>
      <c r="E22" s="86">
        <v>25.10471419124092</v>
      </c>
      <c r="F22" s="85">
        <v>27.31576724742456</v>
      </c>
      <c r="G22" s="5">
        <f t="shared" si="3"/>
        <v>2.2110530561836406</v>
      </c>
      <c r="H22" s="74"/>
      <c r="K22" s="13" t="s">
        <v>300</v>
      </c>
      <c r="L22" s="9" t="s">
        <v>0</v>
      </c>
      <c r="M22" s="10" t="s">
        <v>1</v>
      </c>
      <c r="N22" s="10" t="s">
        <v>8</v>
      </c>
      <c r="O22" s="10" t="s">
        <v>6</v>
      </c>
      <c r="P22" s="11" t="s">
        <v>7</v>
      </c>
      <c r="Q22" s="158"/>
    </row>
    <row r="23" spans="1:17" ht="15.75">
      <c r="B23" s="13"/>
      <c r="C23" s="19">
        <v>40</v>
      </c>
      <c r="D23" s="18">
        <v>130</v>
      </c>
      <c r="E23" s="89">
        <v>25.5039722027762</v>
      </c>
      <c r="F23" s="87">
        <v>27.497002631247213</v>
      </c>
      <c r="G23" s="5">
        <f t="shared" ref="G23" si="4">F23-E23</f>
        <v>1.9930304284710125</v>
      </c>
      <c r="H23" s="88"/>
      <c r="K23" s="13">
        <f>0.1149-0.0408</f>
        <v>7.4099999999999999E-2</v>
      </c>
      <c r="L23" s="26">
        <v>15</v>
      </c>
      <c r="M23" s="27">
        <v>130</v>
      </c>
      <c r="N23" s="158"/>
      <c r="O23" s="158"/>
      <c r="P23" s="29">
        <f t="shared" ref="P23:P27" si="5">O23-N23</f>
        <v>0</v>
      </c>
      <c r="Q23" s="158"/>
    </row>
    <row r="24" spans="1:17" ht="15.75">
      <c r="B24" s="13"/>
      <c r="C24" s="19">
        <v>50</v>
      </c>
      <c r="D24" s="18">
        <v>130</v>
      </c>
      <c r="E24" s="91">
        <v>25.620946325120116</v>
      </c>
      <c r="F24" s="90">
        <v>27.847645601489891</v>
      </c>
      <c r="G24" s="5">
        <f t="shared" ref="G24" si="6">F24-E24</f>
        <v>2.226699276369775</v>
      </c>
      <c r="H24" s="91"/>
      <c r="K24" s="13" t="s">
        <v>312</v>
      </c>
      <c r="L24" s="3">
        <v>20</v>
      </c>
      <c r="M24" s="4">
        <v>130</v>
      </c>
      <c r="N24" s="174">
        <v>24.772232012285713</v>
      </c>
      <c r="O24" s="173">
        <v>26.312825907041177</v>
      </c>
      <c r="P24" s="5">
        <f t="shared" si="5"/>
        <v>1.5405938947554638</v>
      </c>
      <c r="Q24" s="172"/>
    </row>
    <row r="25" spans="1:17" ht="15.75">
      <c r="B25" s="13"/>
      <c r="C25" s="3">
        <v>15</v>
      </c>
      <c r="D25" s="4">
        <v>100</v>
      </c>
      <c r="E25" s="80">
        <v>24.956261363998745</v>
      </c>
      <c r="F25" s="79">
        <v>26.301743167742682</v>
      </c>
      <c r="G25" s="5">
        <f>F25-E25</f>
        <v>1.3454818037439367</v>
      </c>
      <c r="H25" s="74"/>
      <c r="K25" s="13">
        <f>K23/20.1209*20.2</f>
        <v>7.4391304563911159E-2</v>
      </c>
      <c r="L25" s="3">
        <v>30</v>
      </c>
      <c r="M25" s="4">
        <v>130</v>
      </c>
      <c r="N25" s="158"/>
      <c r="O25" s="158"/>
      <c r="P25" s="5">
        <f t="shared" si="5"/>
        <v>0</v>
      </c>
      <c r="Q25" s="172"/>
    </row>
    <row r="26" spans="1:17" ht="15.75">
      <c r="B26" s="13"/>
      <c r="C26" s="3">
        <v>20</v>
      </c>
      <c r="D26" s="4">
        <v>100</v>
      </c>
      <c r="E26" s="17">
        <v>23.74898783856559</v>
      </c>
      <c r="F26" s="17">
        <v>25.453867045275381</v>
      </c>
      <c r="G26" s="5">
        <f>F26-E26</f>
        <v>1.7048792067097907</v>
      </c>
      <c r="H26" s="74"/>
      <c r="K26" s="13"/>
      <c r="L26" s="19">
        <v>40</v>
      </c>
      <c r="M26" s="18">
        <v>130</v>
      </c>
      <c r="N26" s="158"/>
      <c r="O26" s="158"/>
      <c r="P26" s="5">
        <f t="shared" si="5"/>
        <v>0</v>
      </c>
      <c r="Q26" s="172"/>
    </row>
    <row r="27" spans="1:17" ht="15.75">
      <c r="B27" s="13"/>
      <c r="C27" s="3">
        <v>30</v>
      </c>
      <c r="D27" s="4">
        <v>100</v>
      </c>
      <c r="E27" s="74">
        <v>23.818464506773019</v>
      </c>
      <c r="F27" s="73">
        <v>25.811588067507031</v>
      </c>
      <c r="G27" s="5">
        <f>F27-E27</f>
        <v>1.9931235607340128</v>
      </c>
      <c r="H27" s="74"/>
      <c r="K27" s="13"/>
      <c r="L27" s="19">
        <v>50</v>
      </c>
      <c r="M27" s="18">
        <v>130</v>
      </c>
      <c r="N27" s="178">
        <v>25.105831778397064</v>
      </c>
      <c r="O27" s="177">
        <v>26.987103491252856</v>
      </c>
      <c r="P27" s="5">
        <f t="shared" si="5"/>
        <v>1.8812717128557921</v>
      </c>
      <c r="Q27" s="172"/>
    </row>
    <row r="28" spans="1:17" ht="15.75">
      <c r="C28" s="3">
        <v>40</v>
      </c>
      <c r="D28" s="4">
        <v>100</v>
      </c>
      <c r="E28" s="76">
        <v>24.314114410526432</v>
      </c>
      <c r="F28" s="75">
        <v>26.309752542361782</v>
      </c>
      <c r="G28" s="5">
        <f>F28-E28</f>
        <v>1.9956381318353493</v>
      </c>
      <c r="H28" s="74"/>
      <c r="K28" s="13"/>
      <c r="L28" s="3">
        <v>15</v>
      </c>
      <c r="M28" s="4">
        <v>100</v>
      </c>
      <c r="N28" s="170">
        <v>25.116355724117501</v>
      </c>
      <c r="O28" s="169">
        <v>25.969726650102537</v>
      </c>
      <c r="P28" s="5">
        <f>O28-N28</f>
        <v>0.85337092598503617</v>
      </c>
      <c r="Q28" s="172"/>
    </row>
    <row r="29" spans="1:17" ht="15.75">
      <c r="C29" s="3">
        <v>50</v>
      </c>
      <c r="D29" s="4">
        <v>100</v>
      </c>
      <c r="E29" s="78">
        <v>24.76440890219266</v>
      </c>
      <c r="F29" s="77">
        <v>26.586355363509391</v>
      </c>
      <c r="G29" s="5">
        <f>F29-E29</f>
        <v>1.8219464613167311</v>
      </c>
      <c r="H29" s="74"/>
      <c r="K29" s="13"/>
      <c r="L29" s="3">
        <v>20</v>
      </c>
      <c r="M29" s="4">
        <v>100</v>
      </c>
      <c r="N29" s="172">
        <v>24.501682788233925</v>
      </c>
      <c r="O29" s="171">
        <v>25.747326806028294</v>
      </c>
      <c r="P29" s="5">
        <f>O29-N29</f>
        <v>1.2456440177943691</v>
      </c>
      <c r="Q29" s="176"/>
    </row>
    <row r="30" spans="1:17" ht="15.75">
      <c r="C30" s="3">
        <v>15</v>
      </c>
      <c r="D30" s="18">
        <v>70</v>
      </c>
      <c r="E30" s="99">
        <v>24.420564587149887</v>
      </c>
      <c r="F30" s="98">
        <v>25.623367763958427</v>
      </c>
      <c r="G30" s="5">
        <f t="shared" ref="G30:G34" si="7">F30-E30</f>
        <v>1.2028031768085405</v>
      </c>
      <c r="H30" s="92"/>
      <c r="K30" s="13"/>
      <c r="L30" s="3">
        <v>30</v>
      </c>
      <c r="M30" s="4">
        <v>100</v>
      </c>
      <c r="N30" s="176">
        <v>24.769251779869311</v>
      </c>
      <c r="O30" s="175">
        <v>26.314595420038433</v>
      </c>
      <c r="P30" s="5">
        <f>O30-N30</f>
        <v>1.5453436401691221</v>
      </c>
      <c r="Q30" s="176"/>
    </row>
    <row r="31" spans="1:17" ht="15.75">
      <c r="C31" s="3">
        <v>20</v>
      </c>
      <c r="D31" s="18">
        <v>70</v>
      </c>
      <c r="E31" s="101">
        <v>24.557375881515505</v>
      </c>
      <c r="F31" s="100">
        <v>25.629328228791255</v>
      </c>
      <c r="G31" s="5">
        <f t="shared" si="7"/>
        <v>1.0719523472757508</v>
      </c>
      <c r="H31" s="92"/>
      <c r="K31" s="158"/>
      <c r="L31" s="3">
        <v>40</v>
      </c>
      <c r="M31" s="4">
        <v>100</v>
      </c>
      <c r="N31" s="158"/>
      <c r="O31" s="158"/>
      <c r="P31" s="5">
        <f>O31-N31</f>
        <v>0</v>
      </c>
      <c r="Q31" s="176"/>
    </row>
    <row r="32" spans="1:17" ht="15.75">
      <c r="C32" s="3">
        <v>30</v>
      </c>
      <c r="D32" s="18">
        <v>70</v>
      </c>
      <c r="E32" s="97">
        <v>25.061341165895019</v>
      </c>
      <c r="F32" s="96">
        <v>26.239623948313241</v>
      </c>
      <c r="G32" s="5">
        <f t="shared" si="7"/>
        <v>1.178282782418222</v>
      </c>
      <c r="H32" s="92"/>
      <c r="K32" s="158"/>
      <c r="L32" s="3">
        <v>50</v>
      </c>
      <c r="M32" s="4">
        <v>100</v>
      </c>
      <c r="N32" s="168">
        <v>24.770928160603546</v>
      </c>
      <c r="O32" s="167">
        <v>26.316364933035665</v>
      </c>
      <c r="P32" s="5">
        <f>O32-N32</f>
        <v>1.5454367724321187</v>
      </c>
      <c r="Q32" s="176"/>
    </row>
    <row r="33" spans="2:17" ht="15.75">
      <c r="C33" s="3">
        <v>40</v>
      </c>
      <c r="D33" s="18">
        <v>70</v>
      </c>
      <c r="E33" s="95">
        <v>24.76599215066387</v>
      </c>
      <c r="F33" s="94">
        <v>26.293454396334564</v>
      </c>
      <c r="G33" s="5">
        <f t="shared" si="7"/>
        <v>1.5274622456706943</v>
      </c>
      <c r="H33" s="92"/>
      <c r="K33" s="158"/>
      <c r="L33" s="3">
        <v>15</v>
      </c>
      <c r="M33" s="18">
        <v>70</v>
      </c>
      <c r="N33" s="160">
        <v>24.096743708654863</v>
      </c>
      <c r="O33" s="159">
        <v>24.783407883847232</v>
      </c>
      <c r="P33" s="5">
        <f t="shared" ref="P33:P37" si="8">O33-N33</f>
        <v>0.68666417519236944</v>
      </c>
      <c r="Q33" s="172"/>
    </row>
    <row r="34" spans="2:17" ht="15.75">
      <c r="C34" s="6">
        <v>50</v>
      </c>
      <c r="D34" s="25">
        <v>70</v>
      </c>
      <c r="E34" s="12">
        <v>24.776888625436346</v>
      </c>
      <c r="F34" s="12">
        <v>26.305189061474145</v>
      </c>
      <c r="G34" s="8">
        <f t="shared" si="7"/>
        <v>1.5283004360377994</v>
      </c>
      <c r="H34" s="92"/>
      <c r="K34" s="158"/>
      <c r="L34" s="3">
        <v>20</v>
      </c>
      <c r="M34" s="18">
        <v>70</v>
      </c>
      <c r="N34" s="162">
        <v>24.127756752238085</v>
      </c>
      <c r="O34" s="161">
        <v>25.117193914484606</v>
      </c>
      <c r="P34" s="5">
        <f t="shared" si="8"/>
        <v>0.98943716224652078</v>
      </c>
      <c r="Q34" s="172"/>
    </row>
    <row r="35" spans="2:17" ht="15.75">
      <c r="B35" s="461" t="s">
        <v>303</v>
      </c>
      <c r="K35" s="158"/>
      <c r="L35" s="3">
        <v>30</v>
      </c>
      <c r="M35" s="18">
        <v>70</v>
      </c>
      <c r="N35" s="164">
        <v>24.428480829505961</v>
      </c>
      <c r="O35" s="163">
        <v>25.414751494810062</v>
      </c>
      <c r="P35" s="5">
        <f t="shared" si="8"/>
        <v>0.9862706653041009</v>
      </c>
      <c r="Q35" s="172"/>
    </row>
    <row r="36" spans="2:17" ht="18.75">
      <c r="B36" s="13" t="s">
        <v>300</v>
      </c>
      <c r="C36" s="9" t="s">
        <v>0</v>
      </c>
      <c r="D36" s="10" t="s">
        <v>1</v>
      </c>
      <c r="E36" s="10" t="s">
        <v>8</v>
      </c>
      <c r="F36" s="10" t="s">
        <v>6</v>
      </c>
      <c r="G36" s="11" t="s">
        <v>7</v>
      </c>
      <c r="H36" s="99"/>
      <c r="K36" s="158"/>
      <c r="L36" s="3">
        <v>40</v>
      </c>
      <c r="M36" s="18">
        <v>70</v>
      </c>
      <c r="N36" s="166">
        <v>24.423172290514245</v>
      </c>
      <c r="O36" s="165">
        <v>25.571679357986401</v>
      </c>
      <c r="P36" s="5">
        <f t="shared" si="8"/>
        <v>1.1485070674721563</v>
      </c>
      <c r="Q36" s="172"/>
    </row>
    <row r="37" spans="2:17" ht="15.75">
      <c r="B37" s="13">
        <f>0.0874-0.0093</f>
        <v>7.8100000000000003E-2</v>
      </c>
      <c r="C37" s="26">
        <v>15</v>
      </c>
      <c r="D37" s="27">
        <v>130</v>
      </c>
      <c r="E37" s="111">
        <v>24.772325144548734</v>
      </c>
      <c r="F37" s="110">
        <v>26.31152205535901</v>
      </c>
      <c r="G37" s="29">
        <f t="shared" ref="G37:G40" si="9">F37-E37</f>
        <v>1.5391969108102757</v>
      </c>
      <c r="H37" s="105"/>
      <c r="K37" s="158"/>
      <c r="L37" s="6">
        <v>50</v>
      </c>
      <c r="M37" s="25">
        <v>70</v>
      </c>
      <c r="N37" s="12">
        <v>24.464874563507699</v>
      </c>
      <c r="O37" s="12">
        <v>25.638548322829497</v>
      </c>
      <c r="P37" s="8">
        <f t="shared" si="8"/>
        <v>1.1736737593217974</v>
      </c>
      <c r="Q37" s="172"/>
    </row>
    <row r="38" spans="2:17" ht="15.75">
      <c r="B38" s="13" t="s">
        <v>304</v>
      </c>
      <c r="C38" s="3">
        <v>20</v>
      </c>
      <c r="D38" s="4">
        <v>130</v>
      </c>
      <c r="E38" s="113">
        <v>24.903455370870542</v>
      </c>
      <c r="F38" s="112">
        <v>26.651175418566186</v>
      </c>
      <c r="G38" s="5">
        <f t="shared" si="9"/>
        <v>1.747720047695644</v>
      </c>
      <c r="H38" s="105"/>
    </row>
    <row r="39" spans="2:17" ht="15.75">
      <c r="B39" s="13">
        <f>B37/20.0378*20.1</f>
        <v>7.8342432802004217E-2</v>
      </c>
      <c r="C39" s="3">
        <v>30</v>
      </c>
      <c r="D39" s="4">
        <v>130</v>
      </c>
      <c r="E39" s="115">
        <v>25.464018461943777</v>
      </c>
      <c r="F39" s="114">
        <v>27.325266738251848</v>
      </c>
      <c r="G39" s="5">
        <f t="shared" si="9"/>
        <v>1.8612482763080713</v>
      </c>
      <c r="H39" s="105"/>
    </row>
    <row r="40" spans="2:17" ht="15.75">
      <c r="B40" s="13"/>
      <c r="C40" s="19">
        <v>40</v>
      </c>
      <c r="D40" s="18">
        <v>130</v>
      </c>
      <c r="E40" s="117">
        <v>25.626254864111832</v>
      </c>
      <c r="F40" s="116">
        <v>27.511158735225134</v>
      </c>
      <c r="G40" s="5">
        <f t="shared" si="9"/>
        <v>1.8849038711133019</v>
      </c>
      <c r="H40" s="105"/>
    </row>
    <row r="41" spans="2:17" ht="15.75">
      <c r="B41" s="13"/>
      <c r="C41" s="19">
        <v>50</v>
      </c>
      <c r="D41" s="18">
        <v>130</v>
      </c>
      <c r="E41" s="129">
        <v>25.602319872517583</v>
      </c>
      <c r="F41" s="130">
        <v>27.850160172591227</v>
      </c>
      <c r="G41" s="5">
        <f t="shared" ref="G41" si="10">F41-E41</f>
        <v>2.2478403000736442</v>
      </c>
      <c r="H41" s="118"/>
    </row>
    <row r="42" spans="2:17" ht="15.75">
      <c r="B42" s="13"/>
      <c r="C42" s="3">
        <v>15</v>
      </c>
      <c r="D42" s="4">
        <v>100</v>
      </c>
      <c r="E42" s="109">
        <v>25.126972802100934</v>
      </c>
      <c r="F42" s="108">
        <v>26.30556159052621</v>
      </c>
      <c r="G42" s="5">
        <f>F42-E42</f>
        <v>1.1785887884252766</v>
      </c>
      <c r="H42" s="105"/>
    </row>
    <row r="43" spans="2:17" ht="15.75">
      <c r="B43" s="13"/>
      <c r="C43" s="3">
        <v>20</v>
      </c>
      <c r="D43" s="4">
        <v>100</v>
      </c>
      <c r="E43" s="103">
        <v>23.760722503705168</v>
      </c>
      <c r="F43" s="102">
        <v>25.245343908390041</v>
      </c>
      <c r="G43" s="5">
        <f>F43-E43</f>
        <v>1.4846214046848729</v>
      </c>
      <c r="H43" s="105"/>
    </row>
    <row r="44" spans="2:17" ht="15.75">
      <c r="B44" s="13"/>
      <c r="C44" s="3">
        <v>30</v>
      </c>
      <c r="D44" s="4">
        <v>100</v>
      </c>
      <c r="E44" s="105">
        <v>24.100003337860304</v>
      </c>
      <c r="F44" s="104">
        <v>25.877991371035066</v>
      </c>
      <c r="G44" s="5">
        <f>F44-E44</f>
        <v>1.7779880331747613</v>
      </c>
      <c r="H44" s="105"/>
    </row>
    <row r="45" spans="2:17" ht="15.75">
      <c r="B45" s="99"/>
      <c r="C45" s="3">
        <v>40</v>
      </c>
      <c r="D45" s="4">
        <v>100</v>
      </c>
      <c r="E45" s="106">
        <v>24.75919349546394</v>
      </c>
      <c r="F45" s="107">
        <v>26.305654722789207</v>
      </c>
      <c r="G45" s="5">
        <f>F45-E45</f>
        <v>1.5464612273252669</v>
      </c>
      <c r="H45" s="105"/>
    </row>
    <row r="46" spans="2:17" ht="15.75">
      <c r="B46" s="99"/>
      <c r="C46" s="3">
        <v>50</v>
      </c>
      <c r="D46" s="4">
        <v>100</v>
      </c>
      <c r="E46" s="128">
        <v>25.116169459591482</v>
      </c>
      <c r="F46" s="127">
        <v>27.331692864399738</v>
      </c>
      <c r="G46" s="5">
        <f>F46-E46</f>
        <v>2.2155234048082555</v>
      </c>
      <c r="H46" s="105"/>
    </row>
    <row r="47" spans="2:17" ht="15.75">
      <c r="B47" s="99"/>
      <c r="C47" s="3">
        <v>15</v>
      </c>
      <c r="D47" s="18">
        <v>70</v>
      </c>
      <c r="E47" s="126">
        <v>25.198032718779601</v>
      </c>
      <c r="F47" s="125">
        <v>26.194734197541141</v>
      </c>
      <c r="G47" s="5">
        <f t="shared" ref="G47:G50" si="11">F47-E47</f>
        <v>0.99670147876154047</v>
      </c>
      <c r="H47" s="105"/>
    </row>
    <row r="48" spans="2:17" ht="15.75">
      <c r="B48" s="99"/>
      <c r="C48" s="3">
        <v>20</v>
      </c>
      <c r="D48" s="18">
        <v>70</v>
      </c>
      <c r="E48" s="124">
        <v>25.118032104851736</v>
      </c>
      <c r="F48" s="123">
        <v>26.305468458263189</v>
      </c>
      <c r="G48" s="5">
        <f t="shared" si="11"/>
        <v>1.1874363534114529</v>
      </c>
      <c r="H48" s="105"/>
    </row>
    <row r="49" spans="1:8" ht="15.75">
      <c r="B49" s="99"/>
      <c r="C49" s="3">
        <v>30</v>
      </c>
      <c r="D49" s="18">
        <v>70</v>
      </c>
      <c r="E49" s="122">
        <v>25.110674656073719</v>
      </c>
      <c r="F49" s="121">
        <v>26.273710356575858</v>
      </c>
      <c r="G49" s="5">
        <f t="shared" si="11"/>
        <v>1.1630357005021388</v>
      </c>
      <c r="H49" s="105"/>
    </row>
    <row r="50" spans="1:8" ht="15.75">
      <c r="B50" s="99"/>
      <c r="C50" s="3">
        <v>40</v>
      </c>
      <c r="D50" s="18">
        <v>70</v>
      </c>
      <c r="E50" s="120">
        <v>25.629048832002212</v>
      </c>
      <c r="F50" s="119">
        <v>26.661140570708536</v>
      </c>
      <c r="G50" s="5">
        <f t="shared" si="11"/>
        <v>1.032091738706324</v>
      </c>
      <c r="H50" s="105"/>
    </row>
    <row r="51" spans="1:8" ht="15.75">
      <c r="B51" s="99"/>
      <c r="C51" s="6">
        <v>50</v>
      </c>
      <c r="D51" s="25">
        <v>70</v>
      </c>
      <c r="E51" s="12">
        <v>25.933963861105685</v>
      </c>
      <c r="F51" s="12">
        <v>26.998838156392463</v>
      </c>
      <c r="G51" s="8">
        <f>F41-E51</f>
        <v>1.9161963114855425</v>
      </c>
      <c r="H51" s="105"/>
    </row>
    <row r="53" spans="1:8">
      <c r="A53" s="1"/>
      <c r="B53" s="461"/>
    </row>
    <row r="54" spans="1:8">
      <c r="B54" s="62" t="s">
        <v>320</v>
      </c>
      <c r="C54" s="62"/>
      <c r="D54" s="62"/>
      <c r="E54" s="62"/>
      <c r="F54" s="62"/>
      <c r="G54" s="62"/>
      <c r="H54" s="178"/>
    </row>
    <row r="55" spans="1:8">
      <c r="B55" s="461" t="s">
        <v>297</v>
      </c>
      <c r="C55" s="461"/>
      <c r="D55" s="461"/>
      <c r="E55" s="461"/>
      <c r="F55" s="461"/>
      <c r="G55" s="461"/>
      <c r="H55" s="181"/>
    </row>
    <row r="56" spans="1:8">
      <c r="B56" s="240"/>
      <c r="C56" s="16"/>
      <c r="D56" s="13"/>
      <c r="H56" s="181"/>
    </row>
    <row r="57" spans="1:8">
      <c r="B57" s="240" t="s">
        <v>5</v>
      </c>
      <c r="C57" s="16" t="s">
        <v>298</v>
      </c>
      <c r="D57" s="13" t="s">
        <v>299</v>
      </c>
      <c r="H57" s="181"/>
    </row>
    <row r="58" spans="1:8" ht="18.75">
      <c r="B58" s="13" t="s">
        <v>300</v>
      </c>
      <c r="C58" s="9" t="s">
        <v>0</v>
      </c>
      <c r="D58" s="10" t="s">
        <v>1</v>
      </c>
      <c r="E58" s="10" t="s">
        <v>8</v>
      </c>
      <c r="F58" s="10" t="s">
        <v>6</v>
      </c>
      <c r="G58" s="11"/>
      <c r="H58" s="181"/>
    </row>
    <row r="59" spans="1:8" ht="15.75">
      <c r="B59" s="13">
        <f>0.1066-0.0287</f>
        <v>7.7899999999999997E-2</v>
      </c>
      <c r="C59" s="3">
        <v>20</v>
      </c>
      <c r="D59" s="4">
        <v>130</v>
      </c>
      <c r="E59" s="183">
        <v>21.34366088173752</v>
      </c>
      <c r="F59" s="182">
        <v>23.357739201649402</v>
      </c>
      <c r="G59" s="5">
        <f>F59-E59</f>
        <v>2.0140783199118815</v>
      </c>
      <c r="H59" s="181"/>
    </row>
    <row r="60" spans="1:8" ht="15.75">
      <c r="B60" s="13" t="s">
        <v>312</v>
      </c>
      <c r="C60" s="3">
        <v>30</v>
      </c>
      <c r="D60" s="4">
        <v>130</v>
      </c>
      <c r="E60" s="187">
        <v>20.675995688199752</v>
      </c>
      <c r="F60" s="186">
        <v>23.355783424126106</v>
      </c>
      <c r="G60" s="5">
        <f t="shared" ref="G60:G64" si="12">F60-E60</f>
        <v>2.6797877359263538</v>
      </c>
      <c r="H60" s="181"/>
    </row>
    <row r="61" spans="1:8" ht="15.75">
      <c r="B61" s="13">
        <f>B59/20.1209*20.2</f>
        <v>7.820624325949635E-2</v>
      </c>
      <c r="C61" s="3">
        <v>20</v>
      </c>
      <c r="D61" s="4">
        <v>100</v>
      </c>
      <c r="E61" s="180">
        <v>20.247680410604499</v>
      </c>
      <c r="F61" s="179">
        <v>22.202526611240295</v>
      </c>
      <c r="G61" s="5">
        <f t="shared" si="12"/>
        <v>1.9548462006357958</v>
      </c>
    </row>
    <row r="62" spans="1:8" ht="15.75">
      <c r="B62" s="13"/>
      <c r="C62" s="3">
        <v>30</v>
      </c>
      <c r="D62" s="4">
        <v>100</v>
      </c>
      <c r="E62" s="189">
        <v>21.344685336630672</v>
      </c>
      <c r="F62" s="188">
        <v>23.218040807130386</v>
      </c>
      <c r="G62" s="5">
        <f t="shared" si="12"/>
        <v>1.873355470499714</v>
      </c>
    </row>
    <row r="63" spans="1:8" ht="15.75">
      <c r="B63" s="13"/>
      <c r="C63" s="3">
        <v>20</v>
      </c>
      <c r="D63" s="18">
        <v>70</v>
      </c>
      <c r="E63" s="185">
        <v>21.251553073618009</v>
      </c>
      <c r="F63" s="184">
        <v>22.217986566900407</v>
      </c>
      <c r="G63" s="5">
        <f t="shared" si="12"/>
        <v>0.96643349328239836</v>
      </c>
    </row>
    <row r="64" spans="1:8" ht="15.75">
      <c r="B64" s="13"/>
      <c r="C64" s="6">
        <v>30</v>
      </c>
      <c r="D64" s="25">
        <v>70</v>
      </c>
      <c r="E64" s="12">
        <v>21.743757083639931</v>
      </c>
      <c r="F64" s="12">
        <v>22.888073199276516</v>
      </c>
      <c r="G64" s="8">
        <f t="shared" si="12"/>
        <v>1.1443161156365846</v>
      </c>
    </row>
    <row r="65" spans="2:2">
      <c r="B65" s="178"/>
    </row>
    <row r="66" spans="2:2">
      <c r="B66" s="178"/>
    </row>
    <row r="67" spans="2:2">
      <c r="B67" s="178"/>
    </row>
    <row r="68" spans="2:2">
      <c r="B68" s="178"/>
    </row>
    <row r="69" spans="2:2">
      <c r="B69" s="178"/>
    </row>
  </sheetData>
  <phoneticPr fontId="1" type="noConversion"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6"/>
  <sheetViews>
    <sheetView zoomScaleNormal="100" workbookViewId="0">
      <selection activeCell="L23" sqref="L23"/>
    </sheetView>
  </sheetViews>
  <sheetFormatPr defaultColWidth="9" defaultRowHeight="15"/>
  <cols>
    <col min="1" max="1" width="9.42578125" style="13" customWidth="1"/>
    <col min="2" max="2" width="12.85546875" style="13" customWidth="1"/>
    <col min="3" max="4" width="9" style="13"/>
    <col min="5" max="5" width="12.42578125" style="13" bestFit="1" customWidth="1"/>
    <col min="6" max="6" width="10" style="13" bestFit="1" customWidth="1"/>
    <col min="7" max="8" width="9" style="13"/>
    <col min="9" max="9" width="11.140625" style="13" customWidth="1"/>
    <col min="10" max="11" width="9" style="13"/>
    <col min="12" max="13" width="15.5703125" style="13" customWidth="1"/>
    <col min="14" max="17" width="9" style="13"/>
    <col min="18" max="18" width="10" style="13" bestFit="1" customWidth="1"/>
    <col min="19" max="23" width="9" style="13"/>
    <col min="24" max="24" width="12.42578125" style="13" customWidth="1"/>
    <col min="25" max="16384" width="9" style="13"/>
  </cols>
  <sheetData>
    <row r="1" spans="1:23">
      <c r="A1" s="471">
        <v>42423</v>
      </c>
      <c r="B1" s="438" t="s">
        <v>254</v>
      </c>
      <c r="C1" s="438"/>
      <c r="D1" s="438"/>
      <c r="E1" s="438"/>
      <c r="F1" s="438"/>
      <c r="G1" s="438"/>
    </row>
    <row r="2" spans="1:23">
      <c r="A2" s="13" t="s">
        <v>216</v>
      </c>
    </row>
    <row r="3" spans="1:23" ht="15.75">
      <c r="A3" s="21" t="s">
        <v>214</v>
      </c>
    </row>
    <row r="4" spans="1:23" ht="15.75">
      <c r="A4" s="21" t="s">
        <v>215</v>
      </c>
    </row>
    <row r="5" spans="1:23">
      <c r="A5" s="14" t="s">
        <v>211</v>
      </c>
    </row>
    <row r="6" spans="1:23">
      <c r="A6" s="14" t="s">
        <v>212</v>
      </c>
    </row>
    <row r="7" spans="1:23">
      <c r="A7" s="14" t="s">
        <v>213</v>
      </c>
    </row>
    <row r="9" spans="1:23">
      <c r="A9" s="14"/>
      <c r="B9" s="320" t="s">
        <v>217</v>
      </c>
    </row>
    <row r="10" spans="1:23" ht="18.75">
      <c r="A10" s="320"/>
      <c r="B10" s="320"/>
      <c r="C10" s="323" t="s">
        <v>0</v>
      </c>
      <c r="D10" s="324" t="s">
        <v>1</v>
      </c>
      <c r="E10" s="324" t="s">
        <v>49</v>
      </c>
      <c r="F10" s="324" t="s">
        <v>6</v>
      </c>
      <c r="G10" s="325" t="s">
        <v>7</v>
      </c>
      <c r="H10" s="241"/>
    </row>
    <row r="11" spans="1:23">
      <c r="B11" s="320">
        <v>9.8400000000000001E-2</v>
      </c>
      <c r="C11" s="462">
        <v>15</v>
      </c>
      <c r="D11" s="463">
        <v>133</v>
      </c>
      <c r="E11" s="330">
        <v>23.72719489</v>
      </c>
      <c r="F11" s="320">
        <v>25.098399109999999</v>
      </c>
      <c r="G11" s="328">
        <f t="shared" ref="G11:G12" si="0">F11-E11</f>
        <v>1.3712042199999992</v>
      </c>
      <c r="H11" s="320"/>
    </row>
    <row r="12" spans="1:23">
      <c r="A12" s="320"/>
      <c r="B12" s="320"/>
      <c r="C12" s="332">
        <v>15</v>
      </c>
      <c r="D12" s="333">
        <v>133</v>
      </c>
      <c r="E12" s="333">
        <v>23.205561079999999</v>
      </c>
      <c r="F12" s="411">
        <v>24.580109109289001</v>
      </c>
      <c r="G12" s="334">
        <f t="shared" si="0"/>
        <v>1.3745480292890022</v>
      </c>
      <c r="H12" s="320"/>
    </row>
    <row r="13" spans="1:23">
      <c r="A13" s="320"/>
      <c r="B13" s="320">
        <v>0.10050000000000001</v>
      </c>
      <c r="C13" s="462">
        <v>15</v>
      </c>
      <c r="D13" s="463">
        <v>133</v>
      </c>
      <c r="E13" s="330">
        <v>23.556576580000002</v>
      </c>
      <c r="F13" s="320">
        <v>24.90510463</v>
      </c>
      <c r="G13" s="328">
        <f t="shared" ref="G13:G14" si="1">F13-E13</f>
        <v>1.3485280499999988</v>
      </c>
      <c r="H13" s="320"/>
    </row>
    <row r="14" spans="1:23">
      <c r="A14" s="320"/>
      <c r="B14" s="320"/>
      <c r="C14" s="332">
        <v>15</v>
      </c>
      <c r="D14" s="333">
        <v>133</v>
      </c>
      <c r="E14" s="333">
        <v>23.60342211</v>
      </c>
      <c r="F14" s="411">
        <v>24.951556650000001</v>
      </c>
      <c r="G14" s="334">
        <f t="shared" si="1"/>
        <v>1.3481345400000002</v>
      </c>
      <c r="H14" s="320"/>
    </row>
    <row r="15" spans="1:23">
      <c r="A15" s="68" t="s">
        <v>219</v>
      </c>
      <c r="B15" s="68" t="s">
        <v>107</v>
      </c>
      <c r="K15" s="68" t="s">
        <v>110</v>
      </c>
      <c r="L15" s="68" t="s">
        <v>225</v>
      </c>
      <c r="V15" s="68" t="s">
        <v>111</v>
      </c>
      <c r="W15" s="68" t="s">
        <v>231</v>
      </c>
    </row>
    <row r="16" spans="1:23">
      <c r="B16" s="68" t="s">
        <v>220</v>
      </c>
      <c r="L16" s="68" t="s">
        <v>227</v>
      </c>
      <c r="W16" s="68" t="s">
        <v>232</v>
      </c>
    </row>
    <row r="17" spans="2:30" ht="18.75">
      <c r="B17" s="320" t="s">
        <v>218</v>
      </c>
      <c r="C17" s="323" t="s">
        <v>0</v>
      </c>
      <c r="D17" s="324" t="s">
        <v>1</v>
      </c>
      <c r="E17" s="324" t="s">
        <v>49</v>
      </c>
      <c r="F17" s="324" t="s">
        <v>6</v>
      </c>
      <c r="G17" s="325" t="s">
        <v>7</v>
      </c>
      <c r="M17" s="320" t="s">
        <v>218</v>
      </c>
      <c r="N17" s="323" t="s">
        <v>0</v>
      </c>
      <c r="O17" s="324" t="s">
        <v>1</v>
      </c>
      <c r="P17" s="324" t="s">
        <v>49</v>
      </c>
      <c r="Q17" s="324" t="s">
        <v>6</v>
      </c>
      <c r="R17" s="325" t="s">
        <v>7</v>
      </c>
      <c r="X17" s="320" t="s">
        <v>218</v>
      </c>
      <c r="Y17" s="323" t="s">
        <v>0</v>
      </c>
      <c r="Z17" s="324" t="s">
        <v>1</v>
      </c>
      <c r="AA17" s="324" t="s">
        <v>49</v>
      </c>
      <c r="AB17" s="324" t="s">
        <v>6</v>
      </c>
      <c r="AC17" s="325" t="s">
        <v>7</v>
      </c>
    </row>
    <row r="18" spans="2:30">
      <c r="B18" s="320">
        <v>9.3899999999999997E-2</v>
      </c>
      <c r="C18" s="462">
        <v>15</v>
      </c>
      <c r="D18" s="463">
        <v>133</v>
      </c>
      <c r="E18" s="330">
        <v>24.068710899999999</v>
      </c>
      <c r="F18" s="320">
        <v>27.647640899999999</v>
      </c>
      <c r="G18" s="328">
        <f t="shared" ref="G18:G19" si="2">F18-E18</f>
        <v>3.5789299999999997</v>
      </c>
      <c r="H18" s="320"/>
      <c r="M18" s="320">
        <v>9.0399999999999994E-2</v>
      </c>
      <c r="N18" s="462">
        <v>15</v>
      </c>
      <c r="O18" s="463">
        <v>133</v>
      </c>
      <c r="P18" s="330">
        <v>23.734459210000001</v>
      </c>
      <c r="Q18" s="320">
        <v>27.14804921</v>
      </c>
      <c r="R18" s="328">
        <f t="shared" ref="R18:R21" si="3">Q18-P18</f>
        <v>3.4135899999999992</v>
      </c>
      <c r="S18" s="320"/>
      <c r="X18" s="320">
        <v>9.7900000000000001E-2</v>
      </c>
      <c r="Y18" s="462">
        <v>15</v>
      </c>
      <c r="Z18" s="463">
        <v>133</v>
      </c>
      <c r="AA18" s="330">
        <v>24.36179813</v>
      </c>
      <c r="AB18" s="320">
        <v>28.11505713</v>
      </c>
      <c r="AC18" s="328">
        <f t="shared" ref="AC18:AC21" si="4">AB18-AA18</f>
        <v>3.7532589999999999</v>
      </c>
      <c r="AD18" s="320"/>
    </row>
    <row r="19" spans="2:30">
      <c r="B19" s="320"/>
      <c r="C19" s="332">
        <v>15</v>
      </c>
      <c r="D19" s="333">
        <v>133</v>
      </c>
      <c r="E19" s="333">
        <v>23.82312112</v>
      </c>
      <c r="F19" s="411">
        <v>27.28552895</v>
      </c>
      <c r="G19" s="334">
        <f t="shared" si="2"/>
        <v>3.4624078300000001</v>
      </c>
      <c r="H19" s="320"/>
      <c r="M19" s="320"/>
      <c r="N19" s="332">
        <v>15</v>
      </c>
      <c r="O19" s="333">
        <v>133</v>
      </c>
      <c r="P19" s="333">
        <v>23.739581479999998</v>
      </c>
      <c r="Q19" s="411">
        <v>27.130490850000001</v>
      </c>
      <c r="R19" s="334">
        <f t="shared" si="3"/>
        <v>3.3909093700000028</v>
      </c>
      <c r="X19" s="320"/>
      <c r="Y19" s="332">
        <v>15</v>
      </c>
      <c r="Z19" s="333">
        <v>133</v>
      </c>
      <c r="AA19" s="333">
        <v>23.730361389999999</v>
      </c>
      <c r="AB19" s="411">
        <v>27.422854000000001</v>
      </c>
      <c r="AC19" s="334">
        <f t="shared" si="4"/>
        <v>3.6924926100000022</v>
      </c>
    </row>
    <row r="20" spans="2:30">
      <c r="B20" s="320">
        <v>9.01E-2</v>
      </c>
      <c r="C20" s="462">
        <v>15</v>
      </c>
      <c r="D20" s="463">
        <v>133</v>
      </c>
      <c r="E20" s="330">
        <v>24.069549089999999</v>
      </c>
      <c r="F20" s="320">
        <v>27.762119089999999</v>
      </c>
      <c r="G20" s="328">
        <f t="shared" ref="G20:G21" si="5">F20-E20</f>
        <v>3.6925699999999999</v>
      </c>
      <c r="H20" s="320"/>
      <c r="M20" s="320">
        <v>9.0800000000000006E-2</v>
      </c>
      <c r="N20" s="462">
        <v>15</v>
      </c>
      <c r="O20" s="463">
        <v>133</v>
      </c>
      <c r="P20" s="330">
        <v>24.368317390000001</v>
      </c>
      <c r="Q20" s="320">
        <v>27.963491390000002</v>
      </c>
      <c r="R20" s="328">
        <f t="shared" si="3"/>
        <v>3.5951740000000001</v>
      </c>
      <c r="S20" s="320"/>
      <c r="X20" s="320">
        <v>9.8299999999999998E-2</v>
      </c>
      <c r="Y20" s="462">
        <v>15</v>
      </c>
      <c r="Z20" s="463">
        <v>133</v>
      </c>
      <c r="AA20" s="330">
        <v>24.732930199999998</v>
      </c>
      <c r="AB20" s="320">
        <v>28.414403199999999</v>
      </c>
      <c r="AC20" s="328">
        <f t="shared" si="4"/>
        <v>3.6814730000000004</v>
      </c>
      <c r="AD20" s="320"/>
    </row>
    <row r="21" spans="2:30">
      <c r="B21" s="320"/>
      <c r="C21" s="332">
        <v>15</v>
      </c>
      <c r="D21" s="333">
        <v>133</v>
      </c>
      <c r="E21" s="333">
        <v>24.073553780000001</v>
      </c>
      <c r="F21" s="411">
        <v>27.685435810000001</v>
      </c>
      <c r="G21" s="334">
        <f t="shared" si="5"/>
        <v>3.6118820300000003</v>
      </c>
      <c r="H21" s="320"/>
      <c r="L21" s="320"/>
      <c r="M21" s="320"/>
      <c r="N21" s="332">
        <v>15</v>
      </c>
      <c r="O21" s="333">
        <v>133</v>
      </c>
      <c r="P21" s="333">
        <v>24.064240550000001</v>
      </c>
      <c r="Q21" s="411">
        <v>27.524157850000002</v>
      </c>
      <c r="R21" s="334">
        <f t="shared" si="3"/>
        <v>3.4599173000000008</v>
      </c>
      <c r="X21" s="320"/>
      <c r="Y21" s="332">
        <v>15</v>
      </c>
      <c r="Z21" s="333">
        <v>133</v>
      </c>
      <c r="AA21" s="333">
        <v>24.40631535</v>
      </c>
      <c r="AB21" s="411">
        <v>27.990422989999999</v>
      </c>
      <c r="AC21" s="334">
        <f t="shared" si="4"/>
        <v>3.5841076399999992</v>
      </c>
    </row>
    <row r="23" spans="2:30">
      <c r="B23" s="68" t="s">
        <v>221</v>
      </c>
      <c r="L23" s="68" t="s">
        <v>228</v>
      </c>
      <c r="W23" s="68" t="s">
        <v>234</v>
      </c>
    </row>
    <row r="24" spans="2:30" ht="18.75">
      <c r="B24" s="320" t="s">
        <v>218</v>
      </c>
      <c r="C24" s="323" t="s">
        <v>0</v>
      </c>
      <c r="D24" s="324" t="s">
        <v>1</v>
      </c>
      <c r="E24" s="324" t="s">
        <v>49</v>
      </c>
      <c r="F24" s="324" t="s">
        <v>6</v>
      </c>
      <c r="G24" s="325" t="s">
        <v>7</v>
      </c>
      <c r="M24" s="320" t="s">
        <v>218</v>
      </c>
      <c r="N24" s="323" t="s">
        <v>0</v>
      </c>
      <c r="O24" s="324" t="s">
        <v>1</v>
      </c>
      <c r="P24" s="324" t="s">
        <v>49</v>
      </c>
      <c r="Q24" s="324" t="s">
        <v>6</v>
      </c>
      <c r="R24" s="325" t="s">
        <v>7</v>
      </c>
      <c r="X24" s="320" t="s">
        <v>218</v>
      </c>
      <c r="Y24" s="323" t="s">
        <v>0</v>
      </c>
      <c r="Z24" s="324" t="s">
        <v>1</v>
      </c>
      <c r="AA24" s="324" t="s">
        <v>49</v>
      </c>
      <c r="AB24" s="324" t="s">
        <v>6</v>
      </c>
      <c r="AC24" s="325" t="s">
        <v>7</v>
      </c>
    </row>
    <row r="25" spans="2:30">
      <c r="B25" s="320">
        <v>9.4500000000000001E-2</v>
      </c>
      <c r="C25" s="462">
        <v>15</v>
      </c>
      <c r="D25" s="463">
        <v>133</v>
      </c>
      <c r="E25" s="330">
        <v>24.39644333</v>
      </c>
      <c r="F25" s="320">
        <v>26.94728177</v>
      </c>
      <c r="G25" s="328">
        <f t="shared" ref="G25:G28" si="6">F25-E25</f>
        <v>2.5508384399999997</v>
      </c>
      <c r="L25" s="241"/>
      <c r="M25" s="320">
        <v>9.7100000000000006E-2</v>
      </c>
      <c r="N25" s="462">
        <v>15</v>
      </c>
      <c r="O25" s="463">
        <v>133</v>
      </c>
      <c r="P25" s="330">
        <v>24.408829919999999</v>
      </c>
      <c r="Q25" s="320">
        <v>27.619882919999998</v>
      </c>
      <c r="R25" s="328">
        <f t="shared" ref="R25:R28" si="7">Q25-P25</f>
        <v>3.2110529999999997</v>
      </c>
      <c r="X25" s="320">
        <v>9.6299999999999997E-2</v>
      </c>
      <c r="Y25" s="462">
        <v>15</v>
      </c>
      <c r="Z25" s="463">
        <v>133</v>
      </c>
      <c r="AA25" s="330">
        <v>24.351646710000001</v>
      </c>
      <c r="AB25" s="320">
        <v>27.37129371</v>
      </c>
      <c r="AC25" s="328">
        <f t="shared" ref="AC25:AC28" si="8">AB25-AA25</f>
        <v>3.0196469999999991</v>
      </c>
    </row>
    <row r="26" spans="2:30">
      <c r="B26" s="320"/>
      <c r="C26" s="332">
        <v>15</v>
      </c>
      <c r="D26" s="333">
        <v>133</v>
      </c>
      <c r="E26" s="333">
        <v>23.724773450000001</v>
      </c>
      <c r="F26" s="411">
        <v>26.143503450000001</v>
      </c>
      <c r="G26" s="334">
        <f t="shared" si="6"/>
        <v>2.41873</v>
      </c>
      <c r="L26" s="320"/>
      <c r="M26" s="320"/>
      <c r="N26" s="332">
        <v>15</v>
      </c>
      <c r="O26" s="333">
        <v>133</v>
      </c>
      <c r="P26" s="333">
        <v>24.408271129999999</v>
      </c>
      <c r="Q26" s="411">
        <v>27.584168290000001</v>
      </c>
      <c r="R26" s="334">
        <f t="shared" si="7"/>
        <v>3.1758971600000017</v>
      </c>
      <c r="X26" s="320"/>
      <c r="Y26" s="332">
        <v>15</v>
      </c>
      <c r="Z26" s="333">
        <v>133</v>
      </c>
      <c r="AA26" s="333">
        <v>24.401565609999999</v>
      </c>
      <c r="AB26" s="411">
        <v>27.371391259999999</v>
      </c>
      <c r="AC26" s="334">
        <f t="shared" si="8"/>
        <v>2.9698256500000006</v>
      </c>
    </row>
    <row r="27" spans="2:30">
      <c r="B27" s="320">
        <v>8.9499999999999996E-2</v>
      </c>
      <c r="C27" s="462">
        <v>15</v>
      </c>
      <c r="D27" s="463">
        <v>133</v>
      </c>
      <c r="E27" s="330">
        <v>24.068431499999999</v>
      </c>
      <c r="F27" s="320">
        <v>26.75607106</v>
      </c>
      <c r="G27" s="328">
        <f t="shared" si="6"/>
        <v>2.6876395600000009</v>
      </c>
      <c r="L27" s="241"/>
      <c r="M27" s="320">
        <v>9.6100000000000005E-2</v>
      </c>
      <c r="N27" s="462">
        <v>15</v>
      </c>
      <c r="O27" s="463">
        <v>133</v>
      </c>
      <c r="P27" s="330">
        <v>24.404080180000001</v>
      </c>
      <c r="Q27" s="320">
        <v>27.624446460000001</v>
      </c>
      <c r="R27" s="328">
        <f t="shared" si="7"/>
        <v>3.2203662800000004</v>
      </c>
      <c r="X27" s="320">
        <v>9.5699999999999993E-2</v>
      </c>
      <c r="Y27" s="462">
        <v>15</v>
      </c>
      <c r="Z27" s="463">
        <v>133</v>
      </c>
      <c r="AA27" s="330">
        <v>24.40640848</v>
      </c>
      <c r="AB27" s="320">
        <v>27.34608068</v>
      </c>
      <c r="AC27" s="328">
        <f t="shared" si="8"/>
        <v>2.9396722000000004</v>
      </c>
      <c r="AD27" s="320"/>
    </row>
    <row r="28" spans="2:30">
      <c r="B28" s="320"/>
      <c r="C28" s="332">
        <v>15</v>
      </c>
      <c r="D28" s="333">
        <v>133</v>
      </c>
      <c r="E28" s="333">
        <v>24.060049599999999</v>
      </c>
      <c r="F28" s="411">
        <v>26.768681600000001</v>
      </c>
      <c r="G28" s="334">
        <f t="shared" si="6"/>
        <v>2.7086320000000015</v>
      </c>
      <c r="L28" s="320"/>
      <c r="M28" s="320"/>
      <c r="N28" s="332">
        <v>15</v>
      </c>
      <c r="O28" s="333">
        <v>133</v>
      </c>
      <c r="P28" s="333">
        <v>24.07383317</v>
      </c>
      <c r="Q28" s="411">
        <v>27.351659170000001</v>
      </c>
      <c r="R28" s="334">
        <f t="shared" si="7"/>
        <v>3.277826000000001</v>
      </c>
      <c r="X28" s="320"/>
      <c r="Y28" s="332">
        <v>15</v>
      </c>
      <c r="Z28" s="333">
        <v>133</v>
      </c>
      <c r="AA28" s="333">
        <v>24.412182680000001</v>
      </c>
      <c r="AB28" s="411">
        <v>27.37607268</v>
      </c>
      <c r="AC28" s="334">
        <f t="shared" si="8"/>
        <v>2.9638899999999992</v>
      </c>
    </row>
    <row r="29" spans="2:30">
      <c r="W29" s="68" t="s">
        <v>233</v>
      </c>
    </row>
    <row r="30" spans="2:30" ht="18.75">
      <c r="B30" s="68" t="s">
        <v>222</v>
      </c>
      <c r="L30" s="68" t="s">
        <v>229</v>
      </c>
      <c r="X30" s="320" t="s">
        <v>218</v>
      </c>
      <c r="Y30" s="323" t="s">
        <v>0</v>
      </c>
      <c r="Z30" s="324" t="s">
        <v>1</v>
      </c>
      <c r="AA30" s="324" t="s">
        <v>49</v>
      </c>
      <c r="AB30" s="324" t="s">
        <v>6</v>
      </c>
      <c r="AC30" s="325" t="s">
        <v>7</v>
      </c>
    </row>
    <row r="31" spans="2:30" ht="18.75">
      <c r="B31" s="320" t="s">
        <v>218</v>
      </c>
      <c r="C31" s="323" t="s">
        <v>0</v>
      </c>
      <c r="D31" s="324" t="s">
        <v>1</v>
      </c>
      <c r="E31" s="324" t="s">
        <v>49</v>
      </c>
      <c r="F31" s="324" t="s">
        <v>6</v>
      </c>
      <c r="G31" s="325" t="s">
        <v>7</v>
      </c>
      <c r="M31" s="320" t="s">
        <v>218</v>
      </c>
      <c r="N31" s="323" t="s">
        <v>0</v>
      </c>
      <c r="O31" s="324" t="s">
        <v>1</v>
      </c>
      <c r="P31" s="324" t="s">
        <v>49</v>
      </c>
      <c r="Q31" s="324" t="s">
        <v>6</v>
      </c>
      <c r="R31" s="325" t="s">
        <v>7</v>
      </c>
      <c r="X31" s="320">
        <v>9.3100000000000002E-2</v>
      </c>
      <c r="Y31" s="462">
        <v>15</v>
      </c>
      <c r="Z31" s="463">
        <v>133</v>
      </c>
      <c r="AA31" s="330">
        <v>23.436694379999999</v>
      </c>
      <c r="AB31" s="320">
        <v>25.950532200000001</v>
      </c>
      <c r="AC31" s="328">
        <f t="shared" ref="AC31:AC34" si="9">AB31-AA31</f>
        <v>2.5138378200000027</v>
      </c>
    </row>
    <row r="32" spans="2:30">
      <c r="B32" s="320">
        <v>9.4E-2</v>
      </c>
      <c r="C32" s="462">
        <v>15</v>
      </c>
      <c r="D32" s="463">
        <v>133</v>
      </c>
      <c r="E32" s="330">
        <v>23.9347867</v>
      </c>
      <c r="F32" s="320">
        <v>26.268687709999998</v>
      </c>
      <c r="G32" s="328">
        <f t="shared" ref="G32:G35" si="10">F32-E32</f>
        <v>2.3339010099999982</v>
      </c>
      <c r="L32" s="241"/>
      <c r="M32" s="320">
        <v>9.3799999999999994E-2</v>
      </c>
      <c r="N32" s="462">
        <v>15</v>
      </c>
      <c r="O32" s="463">
        <v>133</v>
      </c>
      <c r="P32" s="330">
        <v>24.403055720000001</v>
      </c>
      <c r="Q32" s="320">
        <v>26.89883202</v>
      </c>
      <c r="R32" s="328">
        <f t="shared" ref="R32:R35" si="11">Q32-P32</f>
        <v>2.4957762999999993</v>
      </c>
      <c r="X32" s="320"/>
      <c r="Y32" s="332">
        <v>15</v>
      </c>
      <c r="Z32" s="333">
        <v>133</v>
      </c>
      <c r="AA32" s="333">
        <v>23.212546</v>
      </c>
      <c r="AB32" s="411">
        <v>25.785662899999998</v>
      </c>
      <c r="AC32" s="334">
        <f t="shared" si="9"/>
        <v>2.5731168999999987</v>
      </c>
    </row>
    <row r="33" spans="1:30">
      <c r="B33" s="320"/>
      <c r="C33" s="332">
        <v>15</v>
      </c>
      <c r="D33" s="333">
        <v>133</v>
      </c>
      <c r="E33" s="333">
        <v>23.724587190000001</v>
      </c>
      <c r="F33" s="411">
        <v>26.06213219</v>
      </c>
      <c r="G33" s="334">
        <f t="shared" si="10"/>
        <v>2.3375449999999987</v>
      </c>
      <c r="L33" s="320"/>
      <c r="M33" s="320"/>
      <c r="N33" s="332">
        <v>15</v>
      </c>
      <c r="O33" s="333">
        <v>133</v>
      </c>
      <c r="P33" s="333">
        <v>24.062657300000001</v>
      </c>
      <c r="Q33" s="411">
        <v>26.637329300000001</v>
      </c>
      <c r="R33" s="334">
        <f t="shared" si="11"/>
        <v>2.5746719999999996</v>
      </c>
      <c r="X33" s="320">
        <v>9.5200000000000007E-2</v>
      </c>
      <c r="Y33" s="462">
        <v>15</v>
      </c>
      <c r="Z33" s="463">
        <v>133</v>
      </c>
      <c r="AA33" s="330">
        <v>23.232010649999999</v>
      </c>
      <c r="AB33" s="320">
        <v>25.96068361</v>
      </c>
      <c r="AC33" s="328">
        <f t="shared" si="9"/>
        <v>2.7286729600000008</v>
      </c>
    </row>
    <row r="34" spans="1:30">
      <c r="B34" s="320">
        <v>9.01E-2</v>
      </c>
      <c r="C34" s="462">
        <v>15</v>
      </c>
      <c r="D34" s="463">
        <v>133</v>
      </c>
      <c r="E34" s="330">
        <v>24.06703452</v>
      </c>
      <c r="F34" s="320">
        <v>26.848958159999999</v>
      </c>
      <c r="G34" s="328">
        <f t="shared" si="10"/>
        <v>2.7819236399999987</v>
      </c>
      <c r="L34" s="241"/>
      <c r="M34" s="320">
        <v>9.7299999999999998E-2</v>
      </c>
      <c r="N34" s="462">
        <v>15</v>
      </c>
      <c r="O34" s="463">
        <v>133</v>
      </c>
      <c r="P34" s="330">
        <v>24.077185929999999</v>
      </c>
      <c r="Q34" s="320">
        <v>26.601481679999999</v>
      </c>
      <c r="R34" s="328">
        <f t="shared" si="11"/>
        <v>2.5242957500000003</v>
      </c>
      <c r="X34" s="320"/>
      <c r="Y34" s="332">
        <v>15</v>
      </c>
      <c r="Z34" s="333">
        <v>133</v>
      </c>
      <c r="AA34" s="333">
        <v>23.739022689999999</v>
      </c>
      <c r="AB34" s="411">
        <v>26.478234690000001</v>
      </c>
      <c r="AC34" s="334">
        <f t="shared" si="9"/>
        <v>2.739212000000002</v>
      </c>
      <c r="AD34" s="320"/>
    </row>
    <row r="35" spans="1:30">
      <c r="B35" s="320"/>
      <c r="C35" s="332">
        <v>15</v>
      </c>
      <c r="D35" s="333">
        <v>133</v>
      </c>
      <c r="E35" s="333">
        <v>24.07616148</v>
      </c>
      <c r="F35" s="411">
        <v>26.866081479999998</v>
      </c>
      <c r="G35" s="334">
        <f t="shared" si="10"/>
        <v>2.7899199999999986</v>
      </c>
      <c r="L35" s="320"/>
      <c r="M35" s="320"/>
      <c r="N35" s="332">
        <v>15</v>
      </c>
      <c r="O35" s="333">
        <v>133</v>
      </c>
      <c r="P35" s="333">
        <v>24.064240550000001</v>
      </c>
      <c r="Q35" s="411">
        <v>26.662370550000002</v>
      </c>
      <c r="R35" s="334">
        <f t="shared" si="11"/>
        <v>2.5981300000000012</v>
      </c>
    </row>
    <row r="36" spans="1:30">
      <c r="A36" s="68" t="s">
        <v>219</v>
      </c>
      <c r="B36" s="68" t="s">
        <v>223</v>
      </c>
      <c r="K36" s="68" t="s">
        <v>110</v>
      </c>
      <c r="L36" s="68" t="s">
        <v>226</v>
      </c>
      <c r="V36" s="68" t="s">
        <v>111</v>
      </c>
      <c r="W36" s="68" t="s">
        <v>235</v>
      </c>
    </row>
    <row r="37" spans="1:30">
      <c r="B37" s="68" t="s">
        <v>220</v>
      </c>
      <c r="L37" s="68" t="s">
        <v>227</v>
      </c>
      <c r="W37" s="68" t="s">
        <v>232</v>
      </c>
    </row>
    <row r="38" spans="1:30" ht="18.75">
      <c r="B38" s="320" t="s">
        <v>218</v>
      </c>
      <c r="C38" s="323" t="s">
        <v>0</v>
      </c>
      <c r="D38" s="324" t="s">
        <v>1</v>
      </c>
      <c r="E38" s="324" t="s">
        <v>49</v>
      </c>
      <c r="F38" s="324" t="s">
        <v>6</v>
      </c>
      <c r="G38" s="325" t="s">
        <v>7</v>
      </c>
      <c r="M38" s="320" t="s">
        <v>218</v>
      </c>
      <c r="N38" s="323" t="s">
        <v>0</v>
      </c>
      <c r="O38" s="324" t="s">
        <v>1</v>
      </c>
      <c r="P38" s="324" t="s">
        <v>49</v>
      </c>
      <c r="Q38" s="324" t="s">
        <v>6</v>
      </c>
      <c r="R38" s="325" t="s">
        <v>7</v>
      </c>
      <c r="W38" s="320"/>
      <c r="X38" s="320" t="s">
        <v>218</v>
      </c>
      <c r="Y38" s="323" t="s">
        <v>0</v>
      </c>
      <c r="Z38" s="324" t="s">
        <v>1</v>
      </c>
      <c r="AA38" s="324" t="s">
        <v>49</v>
      </c>
      <c r="AB38" s="324" t="s">
        <v>6</v>
      </c>
      <c r="AC38" s="325" t="s">
        <v>7</v>
      </c>
    </row>
    <row r="39" spans="1:30">
      <c r="B39" s="320">
        <v>9.5699999999999993E-2</v>
      </c>
      <c r="C39" s="462">
        <v>15</v>
      </c>
      <c r="D39" s="463">
        <v>133</v>
      </c>
      <c r="E39" s="330">
        <v>24.087057949999998</v>
      </c>
      <c r="F39" s="320">
        <v>27.80566395</v>
      </c>
      <c r="G39" s="328">
        <f t="shared" ref="G39:G42" si="12">F39-E39</f>
        <v>3.7186060000000012</v>
      </c>
      <c r="L39" s="241"/>
      <c r="M39" s="320">
        <v>9.7100000000000006E-2</v>
      </c>
      <c r="N39" s="462">
        <v>15</v>
      </c>
      <c r="O39" s="463">
        <v>133</v>
      </c>
      <c r="P39" s="330">
        <v>24.06824524</v>
      </c>
      <c r="Q39" s="320">
        <v>27.689238239999998</v>
      </c>
      <c r="R39" s="328">
        <f t="shared" ref="R39:R40" si="13">Q39-P39</f>
        <v>3.6209929999999986</v>
      </c>
      <c r="W39" s="320"/>
      <c r="X39" s="320">
        <v>0.1007</v>
      </c>
      <c r="Y39" s="462">
        <v>15</v>
      </c>
      <c r="Z39" s="463">
        <v>133</v>
      </c>
      <c r="AA39" s="330">
        <v>24.088361800000001</v>
      </c>
      <c r="AB39" s="320">
        <v>27.810048800000001</v>
      </c>
      <c r="AC39" s="328">
        <f t="shared" ref="AC39:AC42" si="14">AB39-AA39</f>
        <v>3.7216869999999993</v>
      </c>
    </row>
    <row r="40" spans="1:30">
      <c r="B40" s="320"/>
      <c r="C40" s="332">
        <v>15</v>
      </c>
      <c r="D40" s="333">
        <v>133</v>
      </c>
      <c r="E40" s="333">
        <v>23.731851500000001</v>
      </c>
      <c r="F40" s="411">
        <v>27.435985649999999</v>
      </c>
      <c r="G40" s="334">
        <f t="shared" si="12"/>
        <v>3.704134149999998</v>
      </c>
      <c r="L40" s="320"/>
      <c r="M40" s="320"/>
      <c r="N40" s="332">
        <v>15</v>
      </c>
      <c r="O40" s="333">
        <v>133</v>
      </c>
      <c r="P40" s="333">
        <v>24.000444949999999</v>
      </c>
      <c r="Q40" s="411">
        <v>27.61896711</v>
      </c>
      <c r="R40" s="334">
        <f t="shared" si="13"/>
        <v>3.6185221600000013</v>
      </c>
      <c r="W40" s="320"/>
      <c r="X40" s="320"/>
      <c r="Y40" s="332">
        <v>15</v>
      </c>
      <c r="Z40" s="333">
        <v>133</v>
      </c>
      <c r="AA40" s="333">
        <v>24.087057949999998</v>
      </c>
      <c r="AB40" s="411">
        <v>27.747822660000001</v>
      </c>
      <c r="AC40" s="334">
        <f t="shared" si="14"/>
        <v>3.6607647100000023</v>
      </c>
    </row>
    <row r="41" spans="1:30">
      <c r="B41" s="320">
        <v>9.6799999999999997E-2</v>
      </c>
      <c r="C41" s="462">
        <v>15</v>
      </c>
      <c r="D41" s="463">
        <v>133</v>
      </c>
      <c r="E41" s="330">
        <v>24.06684825</v>
      </c>
      <c r="F41" s="320">
        <v>27.75468025</v>
      </c>
      <c r="G41" s="328">
        <f t="shared" si="12"/>
        <v>3.6878320000000002</v>
      </c>
      <c r="L41" s="241"/>
      <c r="M41" s="320">
        <v>9.8699999999999996E-2</v>
      </c>
      <c r="N41" s="462">
        <v>15</v>
      </c>
      <c r="O41" s="463">
        <v>133</v>
      </c>
      <c r="P41" s="330">
        <v>24.06479934</v>
      </c>
      <c r="Q41" s="320">
        <v>27.520270350000001</v>
      </c>
      <c r="R41" s="328">
        <f>Q41-P41</f>
        <v>3.4554710100000001</v>
      </c>
      <c r="W41" s="320"/>
      <c r="X41" s="320">
        <v>9.7299999999999998E-2</v>
      </c>
      <c r="Y41" s="462">
        <v>15</v>
      </c>
      <c r="Z41" s="463">
        <v>133</v>
      </c>
      <c r="AA41" s="330">
        <v>24.067779569999999</v>
      </c>
      <c r="AB41" s="320">
        <v>27.819258569999999</v>
      </c>
      <c r="AC41" s="328">
        <f t="shared" si="14"/>
        <v>3.7514789999999998</v>
      </c>
      <c r="AD41" s="320"/>
    </row>
    <row r="42" spans="1:30">
      <c r="B42" s="320"/>
      <c r="C42" s="332">
        <v>15</v>
      </c>
      <c r="D42" s="333">
        <v>133</v>
      </c>
      <c r="E42" s="333">
        <v>24.07513702</v>
      </c>
      <c r="F42" s="411">
        <v>27.715265259999999</v>
      </c>
      <c r="G42" s="334">
        <f t="shared" si="12"/>
        <v>3.6401282399999992</v>
      </c>
      <c r="L42" s="320"/>
      <c r="M42" s="320"/>
      <c r="N42" s="332">
        <v>15</v>
      </c>
      <c r="O42" s="333">
        <v>133</v>
      </c>
      <c r="P42" s="333">
        <v>24.072622450000001</v>
      </c>
      <c r="Q42" s="411">
        <v>27.60931145</v>
      </c>
      <c r="R42" s="334">
        <f>Q42-P42</f>
        <v>3.5366889999999991</v>
      </c>
      <c r="W42" s="320"/>
      <c r="X42" s="320"/>
      <c r="Y42" s="332">
        <v>15</v>
      </c>
      <c r="Z42" s="333">
        <v>133</v>
      </c>
      <c r="AA42" s="333">
        <v>24.093949739999999</v>
      </c>
      <c r="AB42" s="411">
        <v>27.839721990000001</v>
      </c>
      <c r="AC42" s="334">
        <f t="shared" si="14"/>
        <v>3.7457722500000017</v>
      </c>
    </row>
    <row r="43" spans="1:30">
      <c r="B43" s="68" t="s">
        <v>221</v>
      </c>
      <c r="W43" s="68" t="s">
        <v>234</v>
      </c>
    </row>
    <row r="44" spans="1:30" ht="18.75">
      <c r="B44" s="320" t="s">
        <v>218</v>
      </c>
      <c r="C44" s="323" t="s">
        <v>0</v>
      </c>
      <c r="D44" s="324" t="s">
        <v>1</v>
      </c>
      <c r="E44" s="324" t="s">
        <v>49</v>
      </c>
      <c r="F44" s="324" t="s">
        <v>6</v>
      </c>
      <c r="G44" s="325" t="s">
        <v>7</v>
      </c>
      <c r="L44" s="68" t="s">
        <v>228</v>
      </c>
      <c r="X44" s="320" t="s">
        <v>218</v>
      </c>
      <c r="Y44" s="323" t="s">
        <v>0</v>
      </c>
      <c r="Z44" s="324" t="s">
        <v>1</v>
      </c>
      <c r="AA44" s="324" t="s">
        <v>49</v>
      </c>
      <c r="AB44" s="324" t="s">
        <v>6</v>
      </c>
      <c r="AC44" s="325" t="s">
        <v>7</v>
      </c>
    </row>
    <row r="45" spans="1:30" ht="18.75">
      <c r="B45" s="320">
        <v>9.4E-2</v>
      </c>
      <c r="C45" s="462">
        <v>15</v>
      </c>
      <c r="D45" s="463">
        <v>133</v>
      </c>
      <c r="E45" s="330">
        <v>24.069362819999998</v>
      </c>
      <c r="F45" s="320">
        <v>26.748509179999999</v>
      </c>
      <c r="G45" s="328">
        <f t="shared" ref="G45:G48" si="15">F45-E45</f>
        <v>2.6791463600000007</v>
      </c>
      <c r="M45" s="320" t="s">
        <v>218</v>
      </c>
      <c r="N45" s="323" t="s">
        <v>0</v>
      </c>
      <c r="O45" s="324" t="s">
        <v>1</v>
      </c>
      <c r="P45" s="324" t="s">
        <v>49</v>
      </c>
      <c r="Q45" s="324" t="s">
        <v>6</v>
      </c>
      <c r="R45" s="325" t="s">
        <v>7</v>
      </c>
      <c r="X45" s="320">
        <v>0.1003</v>
      </c>
      <c r="Y45" s="462">
        <v>15</v>
      </c>
      <c r="Z45" s="463">
        <v>133</v>
      </c>
      <c r="AA45" s="330">
        <v>24.089665660000001</v>
      </c>
      <c r="AB45" s="320">
        <v>27.207494660000002</v>
      </c>
      <c r="AC45" s="328">
        <f t="shared" ref="AC45:AC46" si="16">AB45-AA45</f>
        <v>3.1178290000000004</v>
      </c>
    </row>
    <row r="46" spans="1:30">
      <c r="B46" s="320"/>
      <c r="C46" s="332">
        <v>15</v>
      </c>
      <c r="D46" s="333">
        <v>133</v>
      </c>
      <c r="E46" s="333">
        <v>23.746380139999999</v>
      </c>
      <c r="F46" s="411">
        <v>26.450514139999999</v>
      </c>
      <c r="G46" s="334">
        <f t="shared" si="15"/>
        <v>2.7041339999999998</v>
      </c>
      <c r="L46" s="241"/>
      <c r="M46" s="13">
        <v>9.7299999999999998E-2</v>
      </c>
      <c r="N46" s="462">
        <v>15</v>
      </c>
      <c r="O46" s="463">
        <v>133</v>
      </c>
      <c r="P46" s="330">
        <v>23.750105430000001</v>
      </c>
      <c r="Q46" s="320">
        <v>26.925568430000002</v>
      </c>
      <c r="R46" s="328">
        <f t="shared" ref="R46:R47" si="17">Q46-P46</f>
        <v>3.1754630000000006</v>
      </c>
      <c r="S46" s="320"/>
      <c r="X46" s="320"/>
      <c r="Y46" s="332">
        <v>15</v>
      </c>
      <c r="Z46" s="333">
        <v>133</v>
      </c>
      <c r="AA46" s="333">
        <v>23.236108470000001</v>
      </c>
      <c r="AB46" s="411">
        <v>26.350979949999999</v>
      </c>
      <c r="AC46" s="334">
        <f t="shared" si="16"/>
        <v>3.1148714799999979</v>
      </c>
    </row>
    <row r="47" spans="1:30">
      <c r="B47" s="320">
        <v>9.5799999999999996E-2</v>
      </c>
      <c r="C47" s="462">
        <v>15</v>
      </c>
      <c r="D47" s="463">
        <v>133</v>
      </c>
      <c r="E47" s="330">
        <v>24.069642219999999</v>
      </c>
      <c r="F47" s="320">
        <v>26.735054330000001</v>
      </c>
      <c r="G47" s="328">
        <f t="shared" si="15"/>
        <v>2.6654121100000019</v>
      </c>
      <c r="L47" s="320"/>
      <c r="N47" s="332">
        <v>15</v>
      </c>
      <c r="O47" s="333">
        <v>133</v>
      </c>
      <c r="P47" s="333">
        <v>23.722120719999999</v>
      </c>
      <c r="Q47" s="411">
        <v>26.876113879999998</v>
      </c>
      <c r="R47" s="334">
        <f t="shared" si="17"/>
        <v>3.1539931599999989</v>
      </c>
      <c r="X47" s="320">
        <v>9.74E-2</v>
      </c>
      <c r="Y47" s="462">
        <v>15</v>
      </c>
      <c r="Z47" s="463">
        <v>133</v>
      </c>
      <c r="AA47" s="330">
        <v>24.089665660000001</v>
      </c>
      <c r="AB47" s="320">
        <v>27.083838660000001</v>
      </c>
      <c r="AC47" s="328">
        <f t="shared" ref="AC47:AC48" si="18">AB47-AA47</f>
        <v>2.994173</v>
      </c>
      <c r="AD47" s="320"/>
    </row>
    <row r="48" spans="1:30">
      <c r="B48" s="320"/>
      <c r="C48" s="332">
        <v>15</v>
      </c>
      <c r="D48" s="333">
        <v>133</v>
      </c>
      <c r="E48" s="333">
        <v>24.069642219999999</v>
      </c>
      <c r="F48" s="411">
        <v>26.809770219999997</v>
      </c>
      <c r="G48" s="334">
        <f t="shared" si="15"/>
        <v>2.7401279999999986</v>
      </c>
      <c r="M48" s="13">
        <v>9.6699999999999994E-2</v>
      </c>
      <c r="N48" s="462">
        <v>15</v>
      </c>
      <c r="O48" s="463">
        <v>133</v>
      </c>
      <c r="P48" s="330">
        <v>23.750105430000001</v>
      </c>
      <c r="Q48" s="320">
        <v>26.95760143</v>
      </c>
      <c r="R48" s="328">
        <f t="shared" ref="R48:R49" si="19">Q48-P48</f>
        <v>3.207495999999999</v>
      </c>
      <c r="X48" s="320"/>
      <c r="Y48" s="332">
        <v>15</v>
      </c>
      <c r="Z48" s="333">
        <v>133</v>
      </c>
      <c r="AA48" s="333">
        <v>23.236108470000001</v>
      </c>
      <c r="AB48" s="411">
        <v>26.15097995</v>
      </c>
      <c r="AC48" s="334">
        <f t="shared" si="18"/>
        <v>2.9148714799999986</v>
      </c>
    </row>
    <row r="49" spans="1:48">
      <c r="B49" s="68" t="s">
        <v>222</v>
      </c>
      <c r="N49" s="332">
        <v>15</v>
      </c>
      <c r="O49" s="333">
        <v>133</v>
      </c>
      <c r="P49" s="333">
        <v>23.71207222</v>
      </c>
      <c r="Q49" s="411">
        <v>26.88976113</v>
      </c>
      <c r="R49" s="334">
        <f t="shared" si="19"/>
        <v>3.1776889100000005</v>
      </c>
      <c r="W49" s="68" t="s">
        <v>233</v>
      </c>
    </row>
    <row r="50" spans="1:48" ht="18.75">
      <c r="B50" s="320" t="s">
        <v>218</v>
      </c>
      <c r="C50" s="323" t="s">
        <v>0</v>
      </c>
      <c r="D50" s="324" t="s">
        <v>1</v>
      </c>
      <c r="E50" s="324" t="s">
        <v>49</v>
      </c>
      <c r="F50" s="324" t="s">
        <v>6</v>
      </c>
      <c r="G50" s="325" t="s">
        <v>7</v>
      </c>
      <c r="L50" s="241"/>
      <c r="X50" s="320" t="s">
        <v>218</v>
      </c>
      <c r="Y50" s="479" t="s">
        <v>0</v>
      </c>
      <c r="Z50" s="480" t="s">
        <v>1</v>
      </c>
      <c r="AA50" s="480" t="s">
        <v>11</v>
      </c>
      <c r="AB50" s="480" t="s">
        <v>6</v>
      </c>
      <c r="AC50" s="481" t="s">
        <v>7</v>
      </c>
    </row>
    <row r="51" spans="1:48">
      <c r="B51" s="320">
        <v>9.7600000000000006E-2</v>
      </c>
      <c r="C51" s="462">
        <v>15</v>
      </c>
      <c r="D51" s="463">
        <v>133</v>
      </c>
      <c r="E51" s="330">
        <v>23.7433999</v>
      </c>
      <c r="F51" s="320">
        <v>26.436777899999999</v>
      </c>
      <c r="G51" s="328">
        <f t="shared" ref="G51:G52" si="20">F51-E51</f>
        <v>2.6933779999999992</v>
      </c>
      <c r="L51" s="68" t="s">
        <v>229</v>
      </c>
      <c r="X51" s="320">
        <v>9.7100000000000006E-2</v>
      </c>
      <c r="Y51" s="462">
        <v>15</v>
      </c>
      <c r="Z51" s="463">
        <v>133</v>
      </c>
      <c r="AA51" s="330">
        <v>23.088676934999999</v>
      </c>
      <c r="AB51" s="320">
        <v>25.827131934999997</v>
      </c>
      <c r="AC51" s="328">
        <f>AB51-AA51</f>
        <v>2.7384549999999983</v>
      </c>
    </row>
    <row r="52" spans="1:48" ht="18.75">
      <c r="B52" s="320"/>
      <c r="C52" s="332">
        <v>15</v>
      </c>
      <c r="D52" s="333">
        <v>133</v>
      </c>
      <c r="E52" s="333">
        <v>24.074019440000001</v>
      </c>
      <c r="F52" s="411">
        <v>26.758602310000001</v>
      </c>
      <c r="G52" s="334">
        <f t="shared" si="20"/>
        <v>2.6845828699999998</v>
      </c>
      <c r="M52" s="320" t="s">
        <v>218</v>
      </c>
      <c r="N52" s="323" t="s">
        <v>0</v>
      </c>
      <c r="O52" s="324" t="s">
        <v>1</v>
      </c>
      <c r="P52" s="324" t="s">
        <v>49</v>
      </c>
      <c r="Q52" s="324" t="s">
        <v>6</v>
      </c>
      <c r="R52" s="325" t="s">
        <v>7</v>
      </c>
      <c r="X52" s="320"/>
      <c r="Y52" s="332">
        <v>15</v>
      </c>
      <c r="Z52" s="333">
        <v>133</v>
      </c>
      <c r="AA52" s="333">
        <v>23.236294730000001</v>
      </c>
      <c r="AB52" s="411">
        <v>25.974019689999999</v>
      </c>
      <c r="AC52" s="334">
        <f t="shared" ref="AC52:AC53" si="21">AB52-AA52</f>
        <v>2.7377249599999978</v>
      </c>
      <c r="AK52" s="13" t="s">
        <v>115</v>
      </c>
    </row>
    <row r="53" spans="1:48">
      <c r="B53" s="320">
        <v>9.3700000000000006E-2</v>
      </c>
      <c r="C53" s="462">
        <v>15</v>
      </c>
      <c r="D53" s="463">
        <v>133</v>
      </c>
      <c r="E53" s="330">
        <v>23.7994339</v>
      </c>
      <c r="F53" s="320">
        <v>26.514032499999999</v>
      </c>
      <c r="G53" s="328">
        <f t="shared" ref="G53:G54" si="22">F53-E53</f>
        <v>2.7145985999999986</v>
      </c>
      <c r="L53" s="241"/>
      <c r="M53" s="320">
        <v>9.01E-2</v>
      </c>
      <c r="N53" s="462">
        <v>15</v>
      </c>
      <c r="O53" s="463">
        <v>133</v>
      </c>
      <c r="P53" s="330">
        <v>23.74201523</v>
      </c>
      <c r="Q53" s="320">
        <v>25.878829799999998</v>
      </c>
      <c r="R53" s="328">
        <f t="shared" ref="R53:R56" si="23">Q53-P53</f>
        <v>2.1368145699999985</v>
      </c>
      <c r="X53" s="320">
        <v>9.3799999999999994E-2</v>
      </c>
      <c r="Y53" s="462">
        <v>15</v>
      </c>
      <c r="Z53" s="463">
        <v>133</v>
      </c>
      <c r="AA53" s="330">
        <v>23.231358719999999</v>
      </c>
      <c r="AB53" s="320">
        <v>25.89121922</v>
      </c>
      <c r="AC53" s="328">
        <f t="shared" si="21"/>
        <v>2.6598605000000006</v>
      </c>
    </row>
    <row r="54" spans="1:48">
      <c r="B54" s="320"/>
      <c r="C54" s="332">
        <v>15</v>
      </c>
      <c r="D54" s="333">
        <v>133</v>
      </c>
      <c r="E54" s="333">
        <v>23.7494014</v>
      </c>
      <c r="F54" s="411">
        <v>26.390238602309999</v>
      </c>
      <c r="G54" s="334">
        <f t="shared" si="22"/>
        <v>2.6408372023099993</v>
      </c>
      <c r="L54" s="320"/>
      <c r="N54" s="332">
        <v>15</v>
      </c>
      <c r="O54" s="333">
        <v>133</v>
      </c>
      <c r="P54" s="333">
        <v>23.720722210000002</v>
      </c>
      <c r="Q54" s="411">
        <v>26.247942210000001</v>
      </c>
      <c r="R54" s="334">
        <f t="shared" si="23"/>
        <v>2.5272199999999998</v>
      </c>
      <c r="X54" s="320"/>
      <c r="Y54" s="332">
        <v>15</v>
      </c>
      <c r="Z54" s="333">
        <v>133</v>
      </c>
      <c r="AA54" s="333">
        <v>23.237784156899998</v>
      </c>
      <c r="AB54" s="411">
        <v>25.973744156899997</v>
      </c>
      <c r="AC54" s="334">
        <f>AB54-AA54</f>
        <v>2.7359599999999986</v>
      </c>
      <c r="AK54" s="13" t="s">
        <v>161</v>
      </c>
      <c r="AL54" s="13" t="s">
        <v>97</v>
      </c>
      <c r="AN54" s="13" t="s">
        <v>5</v>
      </c>
      <c r="AP54" s="13" t="s">
        <v>157</v>
      </c>
      <c r="AQ54" s="13" t="s">
        <v>9</v>
      </c>
      <c r="AS54" s="13" t="s">
        <v>157</v>
      </c>
      <c r="AT54" s="13" t="s">
        <v>122</v>
      </c>
    </row>
    <row r="55" spans="1:48">
      <c r="L55" s="241"/>
      <c r="M55" s="320">
        <v>9.7100000000000006E-2</v>
      </c>
      <c r="N55" s="462">
        <v>15</v>
      </c>
      <c r="O55" s="463">
        <v>133</v>
      </c>
      <c r="P55" s="330">
        <v>23.732015663999999</v>
      </c>
      <c r="Q55" s="320">
        <v>26.29801788</v>
      </c>
      <c r="R55" s="328">
        <f t="shared" si="23"/>
        <v>2.5660022160000011</v>
      </c>
      <c r="AK55" s="13">
        <v>1.2940814149018907</v>
      </c>
      <c r="AL55" s="39">
        <v>7.1589739999999999E-2</v>
      </c>
      <c r="AM55" s="13">
        <v>0</v>
      </c>
      <c r="AN55" s="35">
        <v>3.6152905749999995</v>
      </c>
      <c r="AO55" s="13">
        <f>AN55-J62</f>
        <v>3.6152905749999995</v>
      </c>
      <c r="AP55" s="13">
        <v>2.3049064771607248E-3</v>
      </c>
      <c r="AQ55" s="35">
        <v>3.1221311949999997</v>
      </c>
      <c r="AR55" s="13">
        <v>1.8254974280981096</v>
      </c>
      <c r="AS55" s="458">
        <v>0.11596969111566824</v>
      </c>
      <c r="AT55" s="35">
        <v>2.642710036155</v>
      </c>
      <c r="AU55" s="13">
        <v>1.3620014550981094</v>
      </c>
    </row>
    <row r="56" spans="1:48">
      <c r="A56" s="68" t="s">
        <v>219</v>
      </c>
      <c r="B56" s="68" t="s">
        <v>224</v>
      </c>
      <c r="L56" s="320"/>
      <c r="M56" s="320"/>
      <c r="N56" s="332">
        <v>15</v>
      </c>
      <c r="O56" s="333">
        <v>133</v>
      </c>
      <c r="P56" s="333">
        <v>23.735420569999999</v>
      </c>
      <c r="Q56" s="411">
        <v>26.407195569999999</v>
      </c>
      <c r="R56" s="334">
        <f t="shared" si="23"/>
        <v>2.6717750000000002</v>
      </c>
      <c r="V56" s="68" t="s">
        <v>111</v>
      </c>
      <c r="W56" s="68" t="s">
        <v>236</v>
      </c>
      <c r="AK56" s="13">
        <v>1.2664877248942528</v>
      </c>
      <c r="AL56" s="39">
        <v>1.0368545999999999E-2</v>
      </c>
      <c r="AM56" s="13">
        <v>33</v>
      </c>
      <c r="AN56" s="35">
        <v>3.739218665500001</v>
      </c>
      <c r="AO56" s="13">
        <f>AN56-J63</f>
        <v>3.739218665500001</v>
      </c>
      <c r="AP56" s="13">
        <v>1.9756563466362867E-4</v>
      </c>
      <c r="AQ56" s="35">
        <v>3.0748713500000004</v>
      </c>
      <c r="AR56" s="13">
        <f>AQ56-J63</f>
        <v>3.0748713500000004</v>
      </c>
      <c r="AS56" s="459">
        <v>0.10420464342932279</v>
      </c>
      <c r="AT56" s="38">
        <v>2.660382968048749</v>
      </c>
      <c r="AU56" s="13">
        <v>1.202161305</v>
      </c>
      <c r="AV56" s="230">
        <v>0.10221403884533231</v>
      </c>
    </row>
    <row r="57" spans="1:48">
      <c r="B57" s="68" t="s">
        <v>220</v>
      </c>
      <c r="W57" s="68" t="s">
        <v>232</v>
      </c>
      <c r="AK57" s="13">
        <v>1.2899449010814099</v>
      </c>
      <c r="AL57" s="39">
        <v>4.8751000000000003E-2</v>
      </c>
      <c r="AM57" s="13">
        <v>67</v>
      </c>
      <c r="AN57" s="35">
        <v>3.6176766849999993</v>
      </c>
      <c r="AO57" s="13">
        <f>AN57-J63</f>
        <v>3.6176766849999993</v>
      </c>
      <c r="AP57" s="13">
        <v>7.428013E-2</v>
      </c>
      <c r="AQ57" s="35">
        <v>3.0960743549999989</v>
      </c>
      <c r="AR57" s="13">
        <f>AQ57-J63</f>
        <v>3.0960743549999989</v>
      </c>
      <c r="AS57" s="459">
        <v>0.18930172720926833</v>
      </c>
      <c r="AT57" s="35">
        <v>2.6251302199999991</v>
      </c>
      <c r="AU57" s="13">
        <f>AT57-J63</f>
        <v>2.6251302199999991</v>
      </c>
      <c r="AV57" s="13">
        <v>3.099920773382563E-2</v>
      </c>
    </row>
    <row r="58" spans="1:48" ht="18.75">
      <c r="B58" s="320" t="s">
        <v>218</v>
      </c>
      <c r="C58" s="323" t="s">
        <v>0</v>
      </c>
      <c r="D58" s="324" t="s">
        <v>1</v>
      </c>
      <c r="E58" s="324" t="s">
        <v>49</v>
      </c>
      <c r="F58" s="324" t="s">
        <v>6</v>
      </c>
      <c r="G58" s="325" t="s">
        <v>7</v>
      </c>
      <c r="K58" s="68" t="s">
        <v>110</v>
      </c>
      <c r="L58" s="68" t="s">
        <v>230</v>
      </c>
      <c r="X58" s="320" t="s">
        <v>218</v>
      </c>
      <c r="Y58" s="479" t="s">
        <v>0</v>
      </c>
      <c r="Z58" s="480" t="s">
        <v>1</v>
      </c>
      <c r="AA58" s="480" t="s">
        <v>11</v>
      </c>
      <c r="AB58" s="480" t="s">
        <v>6</v>
      </c>
      <c r="AC58" s="481" t="s">
        <v>7</v>
      </c>
      <c r="AK58" s="13">
        <v>1.27248942566487</v>
      </c>
      <c r="AL58" s="39">
        <v>8.4893999999999997E-2</v>
      </c>
      <c r="AM58" s="13">
        <v>100</v>
      </c>
      <c r="AN58" s="35">
        <v>3.7004517450000005</v>
      </c>
      <c r="AO58" s="13">
        <f>AN58-J63</f>
        <v>3.7004517450000005</v>
      </c>
      <c r="AP58" s="13">
        <v>0.13329679124535829</v>
      </c>
      <c r="AQ58" s="35">
        <v>3.0642230000000001</v>
      </c>
      <c r="AR58" s="13">
        <f>AQ58-J63</f>
        <v>3.0642230000000001</v>
      </c>
      <c r="AS58" s="460">
        <v>8.70845275966248E-2</v>
      </c>
      <c r="AT58" s="38">
        <v>2.6110316649999987</v>
      </c>
      <c r="AU58" s="13">
        <f>AT58-J63</f>
        <v>2.6110316649999987</v>
      </c>
      <c r="AV58" s="230">
        <v>1.1335098479115671E-2</v>
      </c>
    </row>
    <row r="59" spans="1:48">
      <c r="B59" s="320">
        <v>9.7299999999999998E-2</v>
      </c>
      <c r="C59" s="462">
        <v>15</v>
      </c>
      <c r="D59" s="463">
        <v>133</v>
      </c>
      <c r="E59" s="330">
        <v>24.07485763</v>
      </c>
      <c r="F59" s="320">
        <v>27.68943763</v>
      </c>
      <c r="G59" s="328">
        <f t="shared" ref="G59:G60" si="24">F59-E59</f>
        <v>3.6145800000000001</v>
      </c>
      <c r="L59" s="68" t="s">
        <v>227</v>
      </c>
      <c r="X59" s="320">
        <v>0.1012</v>
      </c>
      <c r="Y59" s="462">
        <v>15</v>
      </c>
      <c r="Z59" s="463">
        <v>133</v>
      </c>
      <c r="AA59" s="330">
        <v>22.749826030000001</v>
      </c>
      <c r="AB59" s="320">
        <v>26.468795329999999</v>
      </c>
      <c r="AC59" s="328">
        <f>AB59-AA59</f>
        <v>3.7189692999999977</v>
      </c>
      <c r="AO59" s="13">
        <f>_xlfn.STDEV.S(AO55:AO58)</f>
        <v>6.1740942465675151E-2</v>
      </c>
      <c r="AR59" s="13">
        <f>_xlfn.STDEV.S(AR55:AR58)</f>
        <v>0.62658594980934268</v>
      </c>
      <c r="AU59" s="13">
        <f>_xlfn.STDEV.S(AU55:AU58)</f>
        <v>0.77411641077367455</v>
      </c>
    </row>
    <row r="60" spans="1:48" ht="18.75">
      <c r="B60" s="320"/>
      <c r="C60" s="332">
        <v>15</v>
      </c>
      <c r="D60" s="333">
        <v>133</v>
      </c>
      <c r="E60" s="333">
        <v>24.073367510000001</v>
      </c>
      <c r="F60" s="411">
        <v>27.682912286097501</v>
      </c>
      <c r="G60" s="334">
        <f t="shared" si="24"/>
        <v>3.6095447760975006</v>
      </c>
      <c r="M60" s="320" t="s">
        <v>218</v>
      </c>
      <c r="N60" s="323" t="s">
        <v>0</v>
      </c>
      <c r="O60" s="324" t="s">
        <v>1</v>
      </c>
      <c r="P60" s="324" t="s">
        <v>49</v>
      </c>
      <c r="Q60" s="324" t="s">
        <v>6</v>
      </c>
      <c r="R60" s="325" t="s">
        <v>7</v>
      </c>
      <c r="X60" s="320"/>
      <c r="Y60" s="332">
        <v>15</v>
      </c>
      <c r="Z60" s="333">
        <v>133</v>
      </c>
      <c r="AA60" s="333">
        <v>22.578303519999999</v>
      </c>
      <c r="AB60" s="411">
        <v>26.318960519999997</v>
      </c>
      <c r="AC60" s="334">
        <f t="shared" ref="AC60" si="25">AB60-AA60</f>
        <v>3.7406569999999988</v>
      </c>
      <c r="AD60" s="320"/>
      <c r="AK60" s="13">
        <f>9/0.09</f>
        <v>100</v>
      </c>
    </row>
    <row r="61" spans="1:48">
      <c r="B61" s="320">
        <v>9.6199999999999994E-2</v>
      </c>
      <c r="C61" s="462">
        <v>15</v>
      </c>
      <c r="D61" s="463">
        <v>133</v>
      </c>
      <c r="E61" s="330">
        <v>23.725797910000001</v>
      </c>
      <c r="F61" s="320">
        <v>27.507957910000002</v>
      </c>
      <c r="G61" s="328">
        <f t="shared" ref="G61:G62" si="26">F61-E61</f>
        <v>3.7821600000000011</v>
      </c>
      <c r="L61" s="241"/>
      <c r="M61" s="320">
        <v>9.6799999999999997E-2</v>
      </c>
      <c r="N61" s="462">
        <v>15</v>
      </c>
      <c r="O61" s="463">
        <v>133</v>
      </c>
      <c r="P61" s="330">
        <v>24.06824524</v>
      </c>
      <c r="Q61" s="320">
        <v>27.74039324</v>
      </c>
      <c r="R61" s="328">
        <f t="shared" ref="R61:R62" si="27">Q61-P61</f>
        <v>3.672148</v>
      </c>
      <c r="X61" s="320">
        <v>9.3399999999999997E-2</v>
      </c>
      <c r="Y61" s="462">
        <v>15</v>
      </c>
      <c r="Z61" s="463">
        <v>133</v>
      </c>
      <c r="AA61" s="330">
        <v>22.21081538</v>
      </c>
      <c r="AB61" s="320">
        <v>25.82457848</v>
      </c>
      <c r="AC61" s="328">
        <f>AB61-AA61</f>
        <v>3.6137630999999999</v>
      </c>
    </row>
    <row r="62" spans="1:48">
      <c r="B62" s="320"/>
      <c r="C62" s="332">
        <v>15</v>
      </c>
      <c r="D62" s="333">
        <v>133</v>
      </c>
      <c r="E62" s="333">
        <v>23.732596560000001</v>
      </c>
      <c r="F62" s="411">
        <v>27.493817719999999</v>
      </c>
      <c r="G62" s="334">
        <f t="shared" si="26"/>
        <v>3.7612211599999981</v>
      </c>
      <c r="L62" s="320"/>
      <c r="M62" s="320"/>
      <c r="N62" s="332">
        <v>15</v>
      </c>
      <c r="O62" s="333">
        <v>133</v>
      </c>
      <c r="P62" s="333">
        <v>24.000444949999999</v>
      </c>
      <c r="Q62" s="411">
        <v>27.61154187</v>
      </c>
      <c r="R62" s="334">
        <f t="shared" si="27"/>
        <v>3.6110969200000014</v>
      </c>
      <c r="X62" s="320"/>
      <c r="Y62" s="332">
        <v>15</v>
      </c>
      <c r="Z62" s="333">
        <v>133</v>
      </c>
      <c r="AA62" s="333">
        <v>22.288818259999999</v>
      </c>
      <c r="AB62" s="411">
        <v>25.965983259999998</v>
      </c>
      <c r="AC62" s="334">
        <f>AB62-AA62</f>
        <v>3.6771649999999987</v>
      </c>
    </row>
    <row r="63" spans="1:48">
      <c r="B63" s="68" t="s">
        <v>221</v>
      </c>
      <c r="L63" s="241"/>
      <c r="M63" s="320">
        <v>9.7100000000000006E-2</v>
      </c>
      <c r="N63" s="462">
        <v>15</v>
      </c>
      <c r="O63" s="463">
        <v>133</v>
      </c>
      <c r="P63" s="330">
        <v>24.06479934</v>
      </c>
      <c r="Q63" s="320">
        <v>27.682249339999998</v>
      </c>
      <c r="R63" s="328">
        <f>Q63-P63</f>
        <v>3.6174499999999981</v>
      </c>
    </row>
    <row r="64" spans="1:48" ht="18.75">
      <c r="A64" s="14"/>
      <c r="B64" s="320" t="s">
        <v>218</v>
      </c>
      <c r="C64" s="323" t="s">
        <v>0</v>
      </c>
      <c r="D64" s="324" t="s">
        <v>1</v>
      </c>
      <c r="E64" s="324" t="s">
        <v>49</v>
      </c>
      <c r="F64" s="324" t="s">
        <v>6</v>
      </c>
      <c r="G64" s="325" t="s">
        <v>7</v>
      </c>
      <c r="L64" s="320"/>
      <c r="M64" s="320"/>
      <c r="N64" s="332">
        <v>15</v>
      </c>
      <c r="O64" s="333">
        <v>133</v>
      </c>
      <c r="P64" s="333">
        <v>24.072622450000001</v>
      </c>
      <c r="Q64" s="411">
        <v>27.614509309999999</v>
      </c>
      <c r="R64" s="334">
        <f>Q64-P64</f>
        <v>3.5418868599999982</v>
      </c>
      <c r="W64" s="68" t="s">
        <v>234</v>
      </c>
      <c r="Y64" s="398"/>
      <c r="Z64" s="206"/>
      <c r="AA64" s="206"/>
      <c r="AB64" s="206"/>
      <c r="AC64" s="399"/>
      <c r="AK64" s="13" t="s">
        <v>116</v>
      </c>
    </row>
    <row r="65" spans="2:48">
      <c r="B65" s="320">
        <v>9.5699999999999993E-2</v>
      </c>
      <c r="C65" s="462">
        <v>15</v>
      </c>
      <c r="D65" s="463">
        <v>133</v>
      </c>
      <c r="E65" s="330">
        <v>23.069774240000001</v>
      </c>
      <c r="F65" s="320">
        <v>25.762785239999999</v>
      </c>
      <c r="G65" s="328">
        <f>F65-E65</f>
        <v>2.6930109999999985</v>
      </c>
      <c r="X65" s="320" t="s">
        <v>218</v>
      </c>
      <c r="Y65" s="479" t="s">
        <v>0</v>
      </c>
      <c r="Z65" s="480" t="s">
        <v>1</v>
      </c>
      <c r="AA65" s="480" t="s">
        <v>11</v>
      </c>
      <c r="AB65" s="480" t="s">
        <v>6</v>
      </c>
      <c r="AC65" s="481" t="s">
        <v>7</v>
      </c>
      <c r="AK65" s="13" t="s">
        <v>97</v>
      </c>
      <c r="AN65" s="13" t="s">
        <v>5</v>
      </c>
      <c r="AP65" s="13" t="s">
        <v>157</v>
      </c>
      <c r="AQ65" s="13" t="s">
        <v>9</v>
      </c>
      <c r="AS65" s="13" t="s">
        <v>157</v>
      </c>
      <c r="AT65" s="13" t="s">
        <v>122</v>
      </c>
      <c r="AV65" s="13" t="s">
        <v>157</v>
      </c>
    </row>
    <row r="66" spans="2:48">
      <c r="B66" s="320"/>
      <c r="C66" s="332">
        <v>15</v>
      </c>
      <c r="D66" s="333">
        <v>133</v>
      </c>
      <c r="E66" s="333">
        <v>22.815931160000002</v>
      </c>
      <c r="F66" s="411">
        <v>25.457683986883399</v>
      </c>
      <c r="G66" s="334">
        <f>F66-E66</f>
        <v>2.6417528268833976</v>
      </c>
      <c r="L66" s="68" t="s">
        <v>228</v>
      </c>
      <c r="X66" s="320">
        <v>9.7299999999999998E-2</v>
      </c>
      <c r="Y66" s="462">
        <v>15</v>
      </c>
      <c r="Z66" s="463">
        <v>133</v>
      </c>
      <c r="AA66" s="330">
        <v>22.826037490000001</v>
      </c>
      <c r="AB66" s="320">
        <v>25.88353549</v>
      </c>
      <c r="AC66" s="328">
        <f>AB66-AA66</f>
        <v>3.0574979999999989</v>
      </c>
      <c r="AK66" s="296">
        <v>8.9747149999999998E-2</v>
      </c>
      <c r="AL66" s="13">
        <v>1.2940814149018907</v>
      </c>
      <c r="AM66" s="13">
        <v>0</v>
      </c>
      <c r="AN66" s="35">
        <v>3.6368040575</v>
      </c>
      <c r="AO66" s="13">
        <v>2.7427226425981095</v>
      </c>
      <c r="AP66" s="230">
        <v>3.8191999999999997E-2</v>
      </c>
      <c r="AQ66" s="35">
        <v>3.1195788430000002</v>
      </c>
      <c r="AR66" s="13">
        <v>1.82549742809811</v>
      </c>
      <c r="AS66" s="230">
        <v>1.3873E-2</v>
      </c>
      <c r="AT66" s="35">
        <v>2.6560828700000001</v>
      </c>
      <c r="AU66" s="13">
        <v>1.3620014550981101</v>
      </c>
      <c r="AV66" s="230">
        <v>3.2813000000000002E-2</v>
      </c>
    </row>
    <row r="67" spans="2:48" ht="18.75">
      <c r="B67" s="320">
        <v>9.6199999999999994E-2</v>
      </c>
      <c r="C67" s="462">
        <v>15</v>
      </c>
      <c r="D67" s="463">
        <v>133</v>
      </c>
      <c r="E67" s="330">
        <v>23.748987840000002</v>
      </c>
      <c r="F67" s="320">
        <v>26.452579840000002</v>
      </c>
      <c r="G67" s="328">
        <f>F67-E67</f>
        <v>2.7035920000000004</v>
      </c>
      <c r="M67" s="320" t="s">
        <v>218</v>
      </c>
      <c r="N67" s="323" t="s">
        <v>0</v>
      </c>
      <c r="O67" s="324" t="s">
        <v>1</v>
      </c>
      <c r="P67" s="324" t="s">
        <v>49</v>
      </c>
      <c r="Q67" s="324" t="s">
        <v>6</v>
      </c>
      <c r="R67" s="325" t="s">
        <v>7</v>
      </c>
      <c r="X67" s="320"/>
      <c r="Y67" s="332">
        <v>15</v>
      </c>
      <c r="Z67" s="333">
        <v>133</v>
      </c>
      <c r="AA67" s="333">
        <v>22.303557820000002</v>
      </c>
      <c r="AB67" s="411">
        <v>25.331066509999999</v>
      </c>
      <c r="AC67" s="334">
        <f t="shared" ref="AC67:AC68" si="28">AB67-AA67</f>
        <v>3.0275086899999977</v>
      </c>
      <c r="AK67" s="297">
        <v>6.0368546000000002E-2</v>
      </c>
      <c r="AL67" s="13">
        <v>1.3268343700000003</v>
      </c>
      <c r="AM67" s="13">
        <v>11</v>
      </c>
      <c r="AN67" s="35">
        <v>3.6280357250000002</v>
      </c>
      <c r="AO67" s="13">
        <f>AN67-J74</f>
        <v>3.6280357250000002</v>
      </c>
      <c r="AP67" s="13">
        <v>0.22123322694981734</v>
      </c>
      <c r="AQ67" s="35">
        <v>3.1516969550000002</v>
      </c>
      <c r="AR67" s="13">
        <v>2.7151436686525365E-2</v>
      </c>
      <c r="AS67" s="230">
        <v>5.6407859549968853E-2</v>
      </c>
      <c r="AT67" s="38">
        <v>2.733601675000001</v>
      </c>
      <c r="AU67" s="13">
        <f>AT67-J74</f>
        <v>2.733601675000001</v>
      </c>
      <c r="AV67" s="230">
        <v>0.16520760104149118</v>
      </c>
    </row>
    <row r="68" spans="2:48">
      <c r="B68" s="320"/>
      <c r="C68" s="332">
        <v>15</v>
      </c>
      <c r="D68" s="333">
        <v>133</v>
      </c>
      <c r="E68" s="333">
        <v>23.747125189999998</v>
      </c>
      <c r="F68" s="411">
        <v>26.44226686</v>
      </c>
      <c r="G68" s="334">
        <f>F68-E68</f>
        <v>2.6951416700000017</v>
      </c>
      <c r="L68" s="241"/>
      <c r="M68" s="13">
        <v>9.5299999999999996E-2</v>
      </c>
      <c r="N68" s="462">
        <v>15</v>
      </c>
      <c r="O68" s="463">
        <v>133</v>
      </c>
      <c r="P68" s="330">
        <v>23.750105430000001</v>
      </c>
      <c r="Q68" s="320">
        <v>26.821905430000001</v>
      </c>
      <c r="R68" s="328">
        <f t="shared" ref="R68:R71" si="29">Q68-P68</f>
        <v>3.0717999999999996</v>
      </c>
      <c r="X68" s="320">
        <v>9.2499999999999999E-2</v>
      </c>
      <c r="Y68" s="462">
        <v>15</v>
      </c>
      <c r="Z68" s="463">
        <v>133</v>
      </c>
      <c r="AA68" s="330">
        <v>22.746473269999999</v>
      </c>
      <c r="AB68" s="320">
        <v>25.75806927</v>
      </c>
      <c r="AC68" s="328">
        <f t="shared" si="28"/>
        <v>3.0115960000000008</v>
      </c>
      <c r="AK68" s="297">
        <v>5.5487509999999997E-2</v>
      </c>
      <c r="AL68" s="13">
        <v>1.3696133350000004</v>
      </c>
      <c r="AM68" s="13">
        <v>33</v>
      </c>
      <c r="AN68" s="35">
        <v>3.6043857099999994</v>
      </c>
      <c r="AO68" s="13">
        <f>AN68-J74</f>
        <v>3.6043857099999994</v>
      </c>
      <c r="AP68" s="13">
        <v>1.3026957519122917E-2</v>
      </c>
      <c r="AQ68" s="35">
        <v>3.244439439999999</v>
      </c>
      <c r="AR68" s="13">
        <f>AQ68-J74</f>
        <v>3.244439439999999</v>
      </c>
      <c r="AS68" s="230">
        <v>5.6407859549968853E-2</v>
      </c>
      <c r="AT68" s="35">
        <v>2.5994983999999999</v>
      </c>
      <c r="AU68" s="13">
        <v>0.10015454791871965</v>
      </c>
      <c r="AV68" s="230">
        <v>0.10221403884533231</v>
      </c>
    </row>
    <row r="69" spans="2:48">
      <c r="B69" s="68" t="s">
        <v>222</v>
      </c>
      <c r="L69" s="320"/>
      <c r="N69" s="332">
        <v>15</v>
      </c>
      <c r="O69" s="333">
        <v>133</v>
      </c>
      <c r="P69" s="333">
        <v>23.722120719999999</v>
      </c>
      <c r="Q69" s="411">
        <v>26.721500639999999</v>
      </c>
      <c r="R69" s="334">
        <f t="shared" si="29"/>
        <v>2.9993799199999991</v>
      </c>
      <c r="X69" s="320"/>
      <c r="Y69" s="332">
        <v>15</v>
      </c>
      <c r="Z69" s="333">
        <v>133</v>
      </c>
      <c r="AA69" s="333">
        <v>22.15382108</v>
      </c>
      <c r="AB69" s="411">
        <v>25.157862479999999</v>
      </c>
      <c r="AC69" s="334">
        <f>AB69-AA69</f>
        <v>3.0040413999999984</v>
      </c>
      <c r="AK69" s="298">
        <v>8.7954000000000004E-2</v>
      </c>
      <c r="AL69" s="13">
        <v>1.2464679899999993</v>
      </c>
      <c r="AM69" s="13">
        <v>67</v>
      </c>
      <c r="AN69" s="35">
        <v>3.5788410350000004</v>
      </c>
      <c r="AO69" s="13">
        <f>AN69-J74</f>
        <v>3.5788410350000004</v>
      </c>
      <c r="AP69" s="13">
        <v>7.0710678118655765E-2</v>
      </c>
      <c r="AQ69" s="35">
        <v>3.0837022100000002</v>
      </c>
      <c r="AR69" s="13">
        <f>AQ69-J74</f>
        <v>3.0837022100000002</v>
      </c>
      <c r="AS69" s="230">
        <v>2.348887104735083E-2</v>
      </c>
      <c r="AT69" s="38">
        <v>2.7070190599999986</v>
      </c>
      <c r="AU69" s="13">
        <f>AT69-J74</f>
        <v>2.7070190599999986</v>
      </c>
      <c r="AV69" s="230">
        <v>0.10015454791871965</v>
      </c>
    </row>
    <row r="70" spans="2:48" ht="18.75">
      <c r="B70" s="320" t="s">
        <v>218</v>
      </c>
      <c r="C70" s="323" t="s">
        <v>0</v>
      </c>
      <c r="D70" s="324" t="s">
        <v>1</v>
      </c>
      <c r="E70" s="324" t="s">
        <v>49</v>
      </c>
      <c r="F70" s="324" t="s">
        <v>6</v>
      </c>
      <c r="G70" s="325" t="s">
        <v>7</v>
      </c>
      <c r="M70" s="13">
        <v>9.7199999999999995E-2</v>
      </c>
      <c r="N70" s="462">
        <v>15</v>
      </c>
      <c r="O70" s="463">
        <v>133</v>
      </c>
      <c r="P70" s="330">
        <v>23.750105430000001</v>
      </c>
      <c r="Q70" s="320">
        <v>26.864703430000002</v>
      </c>
      <c r="R70" s="328">
        <f t="shared" si="29"/>
        <v>3.1145980000000009</v>
      </c>
      <c r="W70" s="68" t="s">
        <v>233</v>
      </c>
      <c r="AO70" s="13">
        <f>_xlfn.STDEV.S(AO66:AO69)</f>
        <v>0.43098418695505009</v>
      </c>
      <c r="AR70" s="13">
        <f>_xlfn.STDEV.S(AR66:AR69)</f>
        <v>1.4874420211216961</v>
      </c>
      <c r="AU70" s="13">
        <f>_xlfn.STDEV.S(AU66:AU69)</f>
        <v>1.2587728855513338</v>
      </c>
    </row>
    <row r="71" spans="2:48">
      <c r="B71" s="320">
        <v>9.5699999999999993E-2</v>
      </c>
      <c r="C71" s="462">
        <v>15</v>
      </c>
      <c r="D71" s="463">
        <v>133</v>
      </c>
      <c r="E71" s="330">
        <v>23.069774240000001</v>
      </c>
      <c r="F71" s="320">
        <v>25.724754240000003</v>
      </c>
      <c r="G71" s="328">
        <f t="shared" ref="G71:G72" si="30">F71-E71</f>
        <v>2.6549800000000019</v>
      </c>
      <c r="N71" s="332">
        <v>15</v>
      </c>
      <c r="O71" s="333">
        <v>133</v>
      </c>
      <c r="P71" s="333">
        <v>23.71207222</v>
      </c>
      <c r="Q71" s="411">
        <v>26.82113897</v>
      </c>
      <c r="R71" s="334">
        <f t="shared" si="29"/>
        <v>3.1090667500000002</v>
      </c>
      <c r="X71" s="320" t="s">
        <v>218</v>
      </c>
      <c r="Y71" s="389" t="s">
        <v>0</v>
      </c>
      <c r="Z71" s="390" t="s">
        <v>1</v>
      </c>
      <c r="AA71" s="390" t="s">
        <v>11</v>
      </c>
      <c r="AB71" s="390" t="s">
        <v>6</v>
      </c>
      <c r="AC71" s="391" t="s">
        <v>7</v>
      </c>
      <c r="AK71" s="13">
        <f>6/0.09</f>
        <v>66.666666666666671</v>
      </c>
    </row>
    <row r="72" spans="2:48">
      <c r="B72" s="320"/>
      <c r="C72" s="332">
        <v>15</v>
      </c>
      <c r="D72" s="333">
        <v>133</v>
      </c>
      <c r="E72" s="333">
        <v>22.815931160000002</v>
      </c>
      <c r="F72" s="411">
        <v>25.457683986883399</v>
      </c>
      <c r="G72" s="334">
        <f t="shared" si="30"/>
        <v>2.6417528268833976</v>
      </c>
      <c r="L72" s="241"/>
      <c r="X72" s="13">
        <v>9.35E-2</v>
      </c>
      <c r="Y72" s="462">
        <v>15</v>
      </c>
      <c r="Z72" s="463">
        <v>133</v>
      </c>
      <c r="AA72" s="330">
        <v>22.803237490000001</v>
      </c>
      <c r="AB72" s="320">
        <v>25.542200489999999</v>
      </c>
      <c r="AC72" s="328">
        <f>AB72-AA72</f>
        <v>2.7389629999999983</v>
      </c>
      <c r="AE72" s="320"/>
    </row>
    <row r="73" spans="2:48">
      <c r="B73" s="320">
        <v>9.3799999999999994E-2</v>
      </c>
      <c r="C73" s="462">
        <v>15</v>
      </c>
      <c r="D73" s="463">
        <v>133</v>
      </c>
      <c r="E73" s="330">
        <v>23.748987840000002</v>
      </c>
      <c r="F73" s="320">
        <v>26.347348840000002</v>
      </c>
      <c r="G73" s="328">
        <f t="shared" ref="G73:G74" si="31">F73-E73</f>
        <v>2.5983610000000006</v>
      </c>
      <c r="L73" s="68" t="s">
        <v>229</v>
      </c>
      <c r="Y73" s="332">
        <v>15</v>
      </c>
      <c r="Z73" s="333">
        <v>133</v>
      </c>
      <c r="AA73" s="333">
        <v>22.40355782</v>
      </c>
      <c r="AB73" s="411">
        <v>25.083266510000001</v>
      </c>
      <c r="AC73" s="334">
        <f t="shared" ref="AC73" si="32">AB73-AA73</f>
        <v>2.6797086900000018</v>
      </c>
    </row>
    <row r="74" spans="2:48" ht="18.75">
      <c r="B74" s="320"/>
      <c r="C74" s="332">
        <v>15</v>
      </c>
      <c r="D74" s="333">
        <v>133</v>
      </c>
      <c r="E74" s="333">
        <v>23.747125189999998</v>
      </c>
      <c r="F74" s="411">
        <v>26.26226686</v>
      </c>
      <c r="G74" s="334">
        <f t="shared" si="31"/>
        <v>2.515141670000002</v>
      </c>
      <c r="M74" s="320" t="s">
        <v>218</v>
      </c>
      <c r="N74" s="323" t="s">
        <v>0</v>
      </c>
      <c r="O74" s="324" t="s">
        <v>1</v>
      </c>
      <c r="P74" s="324" t="s">
        <v>49</v>
      </c>
      <c r="Q74" s="324" t="s">
        <v>6</v>
      </c>
      <c r="R74" s="325" t="s">
        <v>7</v>
      </c>
      <c r="X74" s="13">
        <v>9.2600000000000002E-2</v>
      </c>
      <c r="Y74" s="462">
        <v>15</v>
      </c>
      <c r="Z74" s="463">
        <v>133</v>
      </c>
      <c r="AA74" s="330">
        <v>22.19822108</v>
      </c>
      <c r="AB74" s="320">
        <v>24.892349079999999</v>
      </c>
      <c r="AC74" s="328">
        <f>AB74-AA74</f>
        <v>2.6941279999999992</v>
      </c>
    </row>
    <row r="75" spans="2:48">
      <c r="L75" s="241"/>
      <c r="M75" s="320">
        <v>9.1800000000000007E-2</v>
      </c>
      <c r="N75" s="462">
        <v>15</v>
      </c>
      <c r="O75" s="463">
        <v>133</v>
      </c>
      <c r="P75" s="330">
        <v>23.74201523</v>
      </c>
      <c r="Q75" s="320">
        <v>25.878829799999998</v>
      </c>
      <c r="R75" s="328">
        <f t="shared" ref="R75:R77" si="33">Q75-P75</f>
        <v>2.1368145699999985</v>
      </c>
      <c r="Y75" s="332">
        <v>15</v>
      </c>
      <c r="Z75" s="333">
        <v>133</v>
      </c>
      <c r="AA75" s="333">
        <v>22.21091826</v>
      </c>
      <c r="AB75" s="411">
        <v>24.89032542</v>
      </c>
      <c r="AC75" s="334">
        <f>AB75-AA75</f>
        <v>2.6794071600000002</v>
      </c>
    </row>
    <row r="76" spans="2:48">
      <c r="L76" s="320"/>
      <c r="M76" s="320"/>
      <c r="N76" s="332">
        <v>15</v>
      </c>
      <c r="O76" s="333">
        <v>133</v>
      </c>
      <c r="P76" s="333">
        <v>23.720722210000002</v>
      </c>
      <c r="Q76" s="411">
        <v>26.247942210000001</v>
      </c>
      <c r="R76" s="334">
        <f t="shared" si="33"/>
        <v>2.5272199999999998</v>
      </c>
      <c r="AK76" s="13" t="s">
        <v>161</v>
      </c>
      <c r="AL76" s="13" t="s">
        <v>97</v>
      </c>
      <c r="AN76" s="13" t="s">
        <v>5</v>
      </c>
      <c r="AP76" s="230" t="s">
        <v>97</v>
      </c>
      <c r="AQ76" s="13" t="s">
        <v>9</v>
      </c>
      <c r="AS76" s="13" t="s">
        <v>97</v>
      </c>
      <c r="AT76" s="13" t="s">
        <v>122</v>
      </c>
      <c r="AV76" s="13" t="s">
        <v>97</v>
      </c>
    </row>
    <row r="77" spans="2:48">
      <c r="L77" s="241"/>
      <c r="M77" s="320">
        <v>9.5899999999999999E-2</v>
      </c>
      <c r="N77" s="462">
        <v>15</v>
      </c>
      <c r="O77" s="463">
        <v>133</v>
      </c>
      <c r="P77" s="330">
        <v>23.732015663999999</v>
      </c>
      <c r="Q77" s="320">
        <v>26.29801788</v>
      </c>
      <c r="R77" s="328">
        <f t="shared" si="33"/>
        <v>2.5660022160000011</v>
      </c>
      <c r="AK77" s="13">
        <v>1.2940814149018907</v>
      </c>
      <c r="AL77" s="39">
        <v>7.1589739999999999E-2</v>
      </c>
      <c r="AM77" s="13">
        <v>0</v>
      </c>
      <c r="AN77" s="35">
        <v>3.6351805750000001</v>
      </c>
      <c r="AO77" s="13">
        <v>2.7427226425981095</v>
      </c>
      <c r="AP77" s="230">
        <v>2.7183200000000001E-2</v>
      </c>
      <c r="AQ77" s="35">
        <v>3.1205488429999999</v>
      </c>
      <c r="AR77" s="13">
        <f>AQ77-J85</f>
        <v>3.1205488429999999</v>
      </c>
      <c r="AS77" s="230">
        <v>2.7182999999999999E-2</v>
      </c>
      <c r="AT77" s="35">
        <v>2.6632428699999999</v>
      </c>
      <c r="AU77" s="13">
        <v>1.3620014550981101</v>
      </c>
      <c r="AV77" s="230">
        <v>9.3812900000000005E-2</v>
      </c>
    </row>
    <row r="78" spans="2:48">
      <c r="L78" s="320"/>
      <c r="M78" s="320"/>
      <c r="N78" s="332"/>
      <c r="O78" s="333"/>
      <c r="P78" s="333"/>
      <c r="Q78" s="411"/>
      <c r="R78" s="334"/>
      <c r="AK78" s="13">
        <v>1.3198960150000012</v>
      </c>
      <c r="AL78" s="39">
        <v>1.6495450631129869E-2</v>
      </c>
      <c r="AM78" s="13">
        <v>1</v>
      </c>
      <c r="AN78" s="35">
        <v>3.66996535</v>
      </c>
      <c r="AO78" s="13">
        <f>AN78-J86</f>
        <v>3.66996535</v>
      </c>
      <c r="AP78" s="13">
        <v>1.9756563466362867E-4</v>
      </c>
      <c r="AQ78" s="35">
        <v>3.1423634050000011</v>
      </c>
      <c r="AR78" s="13">
        <f>AQ78-J86</f>
        <v>3.1423634050000011</v>
      </c>
      <c r="AS78" s="230">
        <v>6.3420004153756149E-2</v>
      </c>
      <c r="AT78" s="38">
        <v>2.5795579250000014</v>
      </c>
      <c r="AU78" s="13">
        <f>AT78-J86</f>
        <v>2.5795579250000014</v>
      </c>
      <c r="AV78" s="230">
        <v>0.14163457014504127</v>
      </c>
    </row>
    <row r="79" spans="2:48">
      <c r="AK79" s="13">
        <v>1.3386846850000023</v>
      </c>
      <c r="AL79" s="39">
        <v>1.1524532385796087E-2</v>
      </c>
      <c r="AM79" s="13">
        <v>2</v>
      </c>
      <c r="AN79" s="35">
        <v>3.6732684800000008</v>
      </c>
      <c r="AO79" s="13">
        <f>AN79-J86</f>
        <v>3.6732684800000008</v>
      </c>
      <c r="AP79" s="230">
        <v>0.15910435735210335</v>
      </c>
      <c r="AQ79" s="35">
        <v>3.0757756250000003</v>
      </c>
      <c r="AR79" s="13">
        <f>AQ79-J86</f>
        <v>3.0757756250000003</v>
      </c>
      <c r="AS79" s="230">
        <v>1.4893599213301743E-2</v>
      </c>
      <c r="AT79" s="35">
        <v>2.490426394</v>
      </c>
      <c r="AU79" s="13">
        <f>AT79-J86</f>
        <v>2.490426394</v>
      </c>
      <c r="AV79" s="230">
        <v>0.10430437942659537</v>
      </c>
    </row>
    <row r="80" spans="2:48">
      <c r="AK80" s="13">
        <v>1.3532028250000003</v>
      </c>
      <c r="AL80" s="39">
        <v>3.3768499518465431E-2</v>
      </c>
      <c r="AM80" s="13">
        <v>3</v>
      </c>
      <c r="AN80" s="35">
        <v>3.4648714799999993</v>
      </c>
      <c r="AO80" s="13">
        <f>AN80-J86</f>
        <v>3.4648714799999993</v>
      </c>
      <c r="AP80" s="13">
        <v>7.0710678118655765E-2</v>
      </c>
      <c r="AQ80" s="35">
        <v>3.0550579249999981</v>
      </c>
      <c r="AR80" s="13">
        <f>AQ80-J86</f>
        <v>3.0550579249999981</v>
      </c>
      <c r="AS80" s="230">
        <v>0.14488726133849683</v>
      </c>
      <c r="AT80" s="38">
        <v>2.590337980000001</v>
      </c>
      <c r="AU80" s="13">
        <f>AT80-J86</f>
        <v>2.590337980000001</v>
      </c>
      <c r="AV80" s="230">
        <v>0.12717643557186672</v>
      </c>
    </row>
    <row r="81" spans="13:49">
      <c r="AL81" s="39"/>
      <c r="AO81" s="13">
        <f>_xlfn.STDEV.S(AO77:AO80)</f>
        <v>0.44089844381343052</v>
      </c>
      <c r="AR81" s="13">
        <f>_xlfn.STDEV.S(AR77:AR80)</f>
        <v>4.0057228730134627E-2</v>
      </c>
      <c r="AU81" s="13">
        <f>_xlfn.STDEV.S(AU77:AU80)</f>
        <v>0.59739993464491581</v>
      </c>
    </row>
    <row r="89" spans="13:49">
      <c r="AO89" s="13" t="s">
        <v>173</v>
      </c>
      <c r="AQ89" s="389" t="s">
        <v>0</v>
      </c>
      <c r="AR89" s="390" t="s">
        <v>1</v>
      </c>
      <c r="AS89" s="390" t="s">
        <v>11</v>
      </c>
      <c r="AT89" s="390" t="s">
        <v>6</v>
      </c>
      <c r="AU89" s="391" t="s">
        <v>7</v>
      </c>
    </row>
    <row r="90" spans="13:49">
      <c r="AP90" s="13">
        <v>9.5299999999999996E-2</v>
      </c>
      <c r="AQ90" s="309">
        <v>20</v>
      </c>
      <c r="AR90" s="247">
        <v>100</v>
      </c>
      <c r="AS90" s="247">
        <v>22.803237490000001</v>
      </c>
      <c r="AT90" s="247">
        <v>24.8659687</v>
      </c>
      <c r="AU90" s="392">
        <f>AT90-AS90</f>
        <v>2.062731209999999</v>
      </c>
    </row>
    <row r="91" spans="13:49">
      <c r="AQ91" s="309">
        <v>15</v>
      </c>
      <c r="AR91" s="247">
        <v>133</v>
      </c>
      <c r="AS91" s="247">
        <v>22.40355782</v>
      </c>
      <c r="AT91" s="247">
        <v>25.083266510000001</v>
      </c>
      <c r="AU91" s="392">
        <f t="shared" ref="AU91:AU92" si="34">AT91-AS91</f>
        <v>2.6797086900000018</v>
      </c>
      <c r="AV91" s="13" t="s">
        <v>171</v>
      </c>
      <c r="AW91" s="13">
        <f>AVERAGE(AU91,AU94)</f>
        <v>2.5795579250000014</v>
      </c>
    </row>
    <row r="92" spans="13:49">
      <c r="AQ92" s="393">
        <v>30</v>
      </c>
      <c r="AR92" s="250">
        <v>130</v>
      </c>
      <c r="AS92" s="250">
        <v>22.746473269999999</v>
      </c>
      <c r="AT92" s="250">
        <v>26.298102419999999</v>
      </c>
      <c r="AU92" s="392">
        <f t="shared" si="34"/>
        <v>3.5516291500000001</v>
      </c>
      <c r="AV92" s="320" t="s">
        <v>172</v>
      </c>
      <c r="AW92" s="13">
        <f>_xlfn.STDEV.S(AU91,AU94)</f>
        <v>0.14163457014504127</v>
      </c>
    </row>
    <row r="93" spans="13:49">
      <c r="AP93" s="13">
        <v>9.5899999999999999E-2</v>
      </c>
      <c r="AQ93" s="394">
        <v>20</v>
      </c>
      <c r="AR93" s="274">
        <v>100</v>
      </c>
      <c r="AS93" s="274">
        <v>22.19822108</v>
      </c>
      <c r="AT93" s="274">
        <v>24.19826248</v>
      </c>
      <c r="AU93" s="395">
        <f>AT93-AS93</f>
        <v>2.0000414000000006</v>
      </c>
    </row>
    <row r="94" spans="13:49">
      <c r="AQ94" s="396">
        <v>15</v>
      </c>
      <c r="AR94" s="205">
        <v>133</v>
      </c>
      <c r="AS94" s="205">
        <v>22.21091826</v>
      </c>
      <c r="AT94" s="205">
        <v>24.690325420000001</v>
      </c>
      <c r="AU94" s="397">
        <f t="shared" ref="AU94:AU95" si="35">AT94-AS94</f>
        <v>2.4794071600000009</v>
      </c>
    </row>
    <row r="95" spans="13:49">
      <c r="AQ95" s="398">
        <v>30</v>
      </c>
      <c r="AR95" s="206">
        <v>130</v>
      </c>
      <c r="AS95" s="206">
        <v>23.024325699999999</v>
      </c>
      <c r="AT95" s="206">
        <v>26.823497230000001</v>
      </c>
      <c r="AU95" s="399">
        <f t="shared" si="35"/>
        <v>3.7991715300000024</v>
      </c>
    </row>
    <row r="96" spans="13:49">
      <c r="M96" s="241"/>
    </row>
    <row r="97" spans="13:49">
      <c r="M97" s="320"/>
      <c r="AO97" s="13" t="s">
        <v>174</v>
      </c>
      <c r="AQ97" s="389" t="s">
        <v>0</v>
      </c>
      <c r="AR97" s="390" t="s">
        <v>1</v>
      </c>
      <c r="AS97" s="390" t="s">
        <v>11</v>
      </c>
      <c r="AT97" s="390" t="s">
        <v>6</v>
      </c>
      <c r="AU97" s="391" t="s">
        <v>7</v>
      </c>
    </row>
    <row r="98" spans="13:49">
      <c r="M98" s="241"/>
      <c r="AP98" s="13">
        <v>9.5299999999999996E-2</v>
      </c>
      <c r="AQ98" s="309">
        <v>20</v>
      </c>
      <c r="AR98" s="247">
        <v>100</v>
      </c>
      <c r="AS98" s="247">
        <v>22.819237489999999</v>
      </c>
      <c r="AT98" s="247">
        <v>24.936878650000001</v>
      </c>
      <c r="AU98" s="392">
        <f>AT98-AS98</f>
        <v>2.1176411600000016</v>
      </c>
    </row>
    <row r="99" spans="13:49">
      <c r="M99" s="320"/>
      <c r="AQ99" s="309">
        <v>15</v>
      </c>
      <c r="AR99" s="247">
        <v>133</v>
      </c>
      <c r="AS99" s="247">
        <v>22.267885782</v>
      </c>
      <c r="AT99" s="247">
        <v>24.832066510000001</v>
      </c>
      <c r="AU99" s="392">
        <f>AT99-AS99</f>
        <v>2.5641807280000002</v>
      </c>
      <c r="AV99" s="13" t="s">
        <v>171</v>
      </c>
      <c r="AW99" s="13">
        <f>AVERAGE(AU99,AU102)</f>
        <v>2.490426394</v>
      </c>
    </row>
    <row r="100" spans="13:49">
      <c r="AQ100" s="393">
        <v>30</v>
      </c>
      <c r="AR100" s="250">
        <v>130</v>
      </c>
      <c r="AS100" s="250">
        <v>22.768373270000001</v>
      </c>
      <c r="AT100" s="250">
        <v>26.102428339999999</v>
      </c>
      <c r="AU100" s="392">
        <f t="shared" ref="AU100" si="36">AT100-AS100</f>
        <v>3.334055069999998</v>
      </c>
      <c r="AV100" s="320" t="s">
        <v>172</v>
      </c>
      <c r="AW100" s="13">
        <f>_xlfn.STDEV.S(AU99,AU102)</f>
        <v>0.10430437942659537</v>
      </c>
    </row>
    <row r="101" spans="13:49">
      <c r="AP101" s="13">
        <v>9.5899999999999999E-2</v>
      </c>
      <c r="AQ101" s="394">
        <v>20</v>
      </c>
      <c r="AR101" s="274">
        <v>100</v>
      </c>
      <c r="AS101" s="274">
        <v>22.223121079999999</v>
      </c>
      <c r="AT101" s="274">
        <v>24.210862479999999</v>
      </c>
      <c r="AU101" s="395">
        <f>AT101-AS101</f>
        <v>1.9877414000000009</v>
      </c>
    </row>
    <row r="102" spans="13:49">
      <c r="AQ102" s="396">
        <v>15</v>
      </c>
      <c r="AR102" s="205">
        <v>133</v>
      </c>
      <c r="AS102" s="205">
        <v>22.237618260000001</v>
      </c>
      <c r="AT102" s="205">
        <v>24.654290320000001</v>
      </c>
      <c r="AU102" s="397">
        <f t="shared" ref="AU102:AU103" si="37">AT102-AS102</f>
        <v>2.4166720599999998</v>
      </c>
    </row>
    <row r="103" spans="13:49">
      <c r="AQ103" s="398">
        <v>30</v>
      </c>
      <c r="AR103" s="206">
        <v>130</v>
      </c>
      <c r="AS103" s="206">
        <v>23.210325699999999</v>
      </c>
      <c r="AT103" s="206">
        <v>26.497097230000001</v>
      </c>
      <c r="AU103" s="399">
        <f t="shared" si="37"/>
        <v>3.2867715300000029</v>
      </c>
    </row>
    <row r="104" spans="13:49">
      <c r="M104" s="241"/>
    </row>
    <row r="105" spans="13:49">
      <c r="M105" s="320"/>
      <c r="AO105" s="13" t="s">
        <v>175</v>
      </c>
      <c r="AQ105" s="389" t="s">
        <v>0</v>
      </c>
      <c r="AR105" s="390" t="s">
        <v>1</v>
      </c>
      <c r="AS105" s="390" t="s">
        <v>11</v>
      </c>
      <c r="AT105" s="390" t="s">
        <v>6</v>
      </c>
      <c r="AU105" s="391" t="s">
        <v>7</v>
      </c>
    </row>
    <row r="106" spans="13:49">
      <c r="M106" s="241"/>
      <c r="AP106" s="13">
        <v>9.5299999999999996E-2</v>
      </c>
      <c r="AQ106" s="309">
        <v>20</v>
      </c>
      <c r="AR106" s="247">
        <v>100</v>
      </c>
      <c r="AS106" s="247">
        <v>22.78993749</v>
      </c>
      <c r="AT106" s="247">
        <v>24.9687865</v>
      </c>
      <c r="AU106" s="392">
        <f>AT106-AS106</f>
        <v>2.1788490100000004</v>
      </c>
    </row>
    <row r="107" spans="13:49">
      <c r="M107" s="320"/>
      <c r="AQ107" s="309">
        <v>15</v>
      </c>
      <c r="AR107" s="247">
        <v>133</v>
      </c>
      <c r="AS107" s="247">
        <v>22.422190319999999</v>
      </c>
      <c r="AT107" s="247">
        <v>25.102455620000001</v>
      </c>
      <c r="AU107" s="392">
        <f t="shared" ref="AU107:AU108" si="38">AT107-AS107</f>
        <v>2.6802653000000021</v>
      </c>
      <c r="AV107" s="13" t="s">
        <v>171</v>
      </c>
      <c r="AW107" s="13">
        <f>AVERAGE(AU107,AU110)</f>
        <v>2.590337980000001</v>
      </c>
    </row>
    <row r="108" spans="13:49">
      <c r="AQ108" s="393">
        <v>30</v>
      </c>
      <c r="AR108" s="250">
        <v>130</v>
      </c>
      <c r="AS108" s="250">
        <v>22.75387327</v>
      </c>
      <c r="AT108" s="250">
        <v>26.27650242</v>
      </c>
      <c r="AU108" s="392">
        <f t="shared" si="38"/>
        <v>3.5226291500000002</v>
      </c>
      <c r="AV108" s="320" t="s">
        <v>172</v>
      </c>
      <c r="AW108" s="13">
        <f>_xlfn.STDEV.S(AU107,AU110)</f>
        <v>0.12717643557186672</v>
      </c>
    </row>
    <row r="109" spans="13:49">
      <c r="AP109" s="13">
        <v>9.5899999999999999E-2</v>
      </c>
      <c r="AQ109" s="394">
        <v>20</v>
      </c>
      <c r="AR109" s="274">
        <v>100</v>
      </c>
      <c r="AS109" s="274">
        <v>22.22036108</v>
      </c>
      <c r="AT109" s="274">
        <v>24.212239480000001</v>
      </c>
      <c r="AU109" s="395">
        <f>AT109-AS109</f>
        <v>1.9918784000000009</v>
      </c>
    </row>
    <row r="110" spans="13:49">
      <c r="AQ110" s="396">
        <v>15</v>
      </c>
      <c r="AR110" s="205">
        <v>133</v>
      </c>
      <c r="AS110" s="205">
        <v>22.223490210000001</v>
      </c>
      <c r="AT110" s="205">
        <v>24.723900870000001</v>
      </c>
      <c r="AU110" s="397">
        <f t="shared" ref="AU110:AU111" si="39">AT110-AS110</f>
        <v>2.50041066</v>
      </c>
    </row>
    <row r="111" spans="13:49">
      <c r="M111" s="241"/>
      <c r="AQ111" s="398">
        <v>30</v>
      </c>
      <c r="AR111" s="206">
        <v>130</v>
      </c>
      <c r="AS111" s="206">
        <v>23.223725699999999</v>
      </c>
      <c r="AT111" s="206">
        <v>26.728323490000001</v>
      </c>
      <c r="AU111" s="399">
        <f t="shared" si="39"/>
        <v>3.5045977900000018</v>
      </c>
    </row>
    <row r="112" spans="13:49">
      <c r="M112" s="320"/>
    </row>
    <row r="113" spans="13:13">
      <c r="M113" s="241"/>
    </row>
    <row r="114" spans="13:13">
      <c r="M114" s="320"/>
    </row>
    <row r="118" spans="13:13">
      <c r="M118" s="241"/>
    </row>
    <row r="119" spans="13:13">
      <c r="M119" s="320"/>
    </row>
    <row r="120" spans="13:13">
      <c r="M120" s="241"/>
    </row>
    <row r="121" spans="13:13">
      <c r="M121" s="320"/>
    </row>
    <row r="125" spans="13:13">
      <c r="M125" s="241"/>
    </row>
    <row r="126" spans="13:13">
      <c r="M126" s="320"/>
    </row>
  </sheetData>
  <phoneticPr fontId="1" type="noConversion"/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5"/>
  <sheetViews>
    <sheetView topLeftCell="W4" workbookViewId="0">
      <selection activeCell="AA34" sqref="AA34"/>
    </sheetView>
  </sheetViews>
  <sheetFormatPr defaultRowHeight="15"/>
  <cols>
    <col min="1" max="1" width="26.28515625" customWidth="1"/>
    <col min="3" max="3" width="13.42578125" customWidth="1"/>
    <col min="9" max="9" width="29.140625" customWidth="1"/>
    <col min="12" max="12" width="13.5703125" customWidth="1"/>
    <col min="18" max="18" width="20.7109375" customWidth="1"/>
    <col min="21" max="21" width="12.5703125" customWidth="1"/>
    <col min="28" max="29" width="9.140625" style="437"/>
    <col min="31" max="31" width="13.140625" customWidth="1"/>
  </cols>
  <sheetData>
    <row r="1" spans="1:32" s="461" customFormat="1">
      <c r="A1" s="470">
        <v>42422</v>
      </c>
      <c r="B1" s="62" t="s">
        <v>195</v>
      </c>
      <c r="C1" s="62"/>
      <c r="D1" s="62"/>
    </row>
    <row r="2" spans="1:32" s="461" customFormat="1">
      <c r="A2" s="14" t="s">
        <v>191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32" s="461" customFormat="1">
      <c r="A3" s="14" t="s">
        <v>192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32" s="461" customFormat="1">
      <c r="A4" s="14" t="s">
        <v>193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32" s="461" customFormat="1">
      <c r="A5" s="14" t="s">
        <v>194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V5" s="320"/>
      <c r="W5" s="320"/>
      <c r="X5" s="514" t="s">
        <v>208</v>
      </c>
      <c r="Y5" s="515"/>
      <c r="Z5" s="515"/>
      <c r="AA5" s="515"/>
      <c r="AB5" s="515"/>
      <c r="AC5" s="515"/>
      <c r="AD5" s="515"/>
      <c r="AE5" s="516"/>
    </row>
    <row r="6" spans="1:32" s="461" customFormat="1" ht="15.75">
      <c r="A6" s="14" t="s">
        <v>199</v>
      </c>
      <c r="V6" s="320"/>
      <c r="W6" s="66" t="s">
        <v>206</v>
      </c>
      <c r="X6" s="66" t="s">
        <v>116</v>
      </c>
      <c r="Y6" s="320" t="s">
        <v>207</v>
      </c>
      <c r="Z6" s="320" t="s">
        <v>158</v>
      </c>
      <c r="AA6" s="320" t="s">
        <v>207</v>
      </c>
      <c r="AB6" s="320" t="s">
        <v>159</v>
      </c>
      <c r="AC6" s="320" t="s">
        <v>207</v>
      </c>
      <c r="AD6" s="320" t="s">
        <v>160</v>
      </c>
      <c r="AE6" s="320" t="s">
        <v>207</v>
      </c>
      <c r="AF6" s="439"/>
    </row>
    <row r="7" spans="1:32" s="439" customFormat="1" ht="18.75">
      <c r="A7" s="476" t="s">
        <v>210</v>
      </c>
      <c r="B7" s="473" t="s">
        <v>198</v>
      </c>
      <c r="C7" s="320"/>
      <c r="D7" s="323" t="s">
        <v>0</v>
      </c>
      <c r="E7" s="324" t="s">
        <v>1</v>
      </c>
      <c r="F7" s="324" t="s">
        <v>49</v>
      </c>
      <c r="G7" s="324" t="s">
        <v>6</v>
      </c>
      <c r="H7" s="325" t="s">
        <v>7</v>
      </c>
      <c r="V7" s="320" t="s">
        <v>209</v>
      </c>
      <c r="W7" s="477">
        <v>0</v>
      </c>
      <c r="X7" s="413">
        <v>1.2940814149018907</v>
      </c>
      <c r="Y7" s="413">
        <v>8.4759139999999997E-2</v>
      </c>
      <c r="Z7" s="328">
        <v>3.7036804057500001</v>
      </c>
      <c r="AA7" s="478">
        <v>0.108745861</v>
      </c>
      <c r="AB7" s="328">
        <v>3.1195788430000002</v>
      </c>
      <c r="AC7" s="413">
        <v>2.1393809457122701E-2</v>
      </c>
      <c r="AD7" s="328">
        <v>2.6560828700000001</v>
      </c>
      <c r="AE7" s="414">
        <v>0.102139380945712</v>
      </c>
    </row>
    <row r="8" spans="1:32" s="439" customFormat="1">
      <c r="B8" s="474">
        <v>6.2300000000000001E-2</v>
      </c>
      <c r="C8" s="320"/>
      <c r="D8" s="462">
        <v>15</v>
      </c>
      <c r="E8" s="463">
        <v>133</v>
      </c>
      <c r="F8" s="330">
        <v>23.54400373</v>
      </c>
      <c r="G8" s="320">
        <v>23.591687449999998</v>
      </c>
      <c r="H8" s="328">
        <f t="shared" ref="H8:H9" si="0">G8-F8</f>
        <v>4.7683719999998431E-2</v>
      </c>
      <c r="V8" s="320">
        <f>W8/0.09</f>
        <v>7.5471698113207548</v>
      </c>
      <c r="W8" s="407">
        <v>0.67924528301886788</v>
      </c>
      <c r="X8" s="408">
        <v>1.2807083145574367</v>
      </c>
      <c r="Y8" s="408">
        <v>0.10543297920624285</v>
      </c>
      <c r="Z8" s="331">
        <v>3.7618756891148841</v>
      </c>
      <c r="AA8" s="408">
        <v>9.355022715118174E-3</v>
      </c>
      <c r="AB8" s="331">
        <v>3.0262137806035998</v>
      </c>
      <c r="AC8" s="408">
        <v>7.7283177932335453E-2</v>
      </c>
      <c r="AD8" s="331">
        <v>2.7258920699999987</v>
      </c>
      <c r="AE8" s="409">
        <v>1.7204332250339203E-2</v>
      </c>
    </row>
    <row r="9" spans="1:32" s="439" customFormat="1">
      <c r="A9" s="472"/>
      <c r="B9" s="474"/>
      <c r="C9" s="320"/>
      <c r="D9" s="332">
        <v>15</v>
      </c>
      <c r="E9" s="333">
        <v>133</v>
      </c>
      <c r="F9" s="333">
        <v>23.231079319999999</v>
      </c>
      <c r="G9" s="411">
        <v>23.273526660000002</v>
      </c>
      <c r="H9" s="334">
        <f t="shared" si="0"/>
        <v>4.2447340000002498E-2</v>
      </c>
      <c r="V9" s="320">
        <f t="shared" ref="V9:V11" si="1">W9/0.09</f>
        <v>22.641509433962266</v>
      </c>
      <c r="W9" s="407">
        <v>2.0377358490566038</v>
      </c>
      <c r="X9" s="408">
        <v>1.3225307149999992</v>
      </c>
      <c r="Y9" s="408">
        <v>3.0613813324877056E-2</v>
      </c>
      <c r="Z9" s="331">
        <v>3.710838390000001</v>
      </c>
      <c r="AA9" s="408">
        <v>0.11417244488099849</v>
      </c>
      <c r="AB9" s="331">
        <v>3.1326726469999997</v>
      </c>
      <c r="AC9" s="408">
        <v>0.10900272073570223</v>
      </c>
      <c r="AD9" s="331">
        <v>2.5321654250000005</v>
      </c>
      <c r="AE9" s="409">
        <v>1.7780694987674674E-3</v>
      </c>
    </row>
    <row r="10" spans="1:32" s="439" customFormat="1">
      <c r="A10" s="472"/>
      <c r="B10" s="474">
        <v>6.4799999999999996E-2</v>
      </c>
      <c r="C10" s="320"/>
      <c r="D10" s="462">
        <v>15</v>
      </c>
      <c r="E10" s="463">
        <v>133</v>
      </c>
      <c r="F10" s="330">
        <v>24.080538690000001</v>
      </c>
      <c r="G10" s="320">
        <v>24.082867</v>
      </c>
      <c r="H10" s="328">
        <f t="shared" ref="H10:H13" si="2">G10-F10</f>
        <v>2.328309999999334E-3</v>
      </c>
      <c r="V10" s="320">
        <f t="shared" si="1"/>
        <v>45.283018867924532</v>
      </c>
      <c r="W10" s="407">
        <v>4.0754716981132075</v>
      </c>
      <c r="X10" s="408">
        <v>1.3214746550000012</v>
      </c>
      <c r="Y10" s="408">
        <v>5.8712497326549339E-2</v>
      </c>
      <c r="Z10" s="331">
        <v>3.7317093133333352</v>
      </c>
      <c r="AA10" s="408">
        <v>0.11933538554304808</v>
      </c>
      <c r="AB10" s="331">
        <v>3.1828639150000004</v>
      </c>
      <c r="AC10" s="408">
        <v>7.5320484001906302E-2</v>
      </c>
      <c r="AD10" s="331">
        <v>2.61494246</v>
      </c>
      <c r="AE10" s="409">
        <v>8.9972889092142808E-2</v>
      </c>
    </row>
    <row r="11" spans="1:32" s="439" customFormat="1">
      <c r="A11" s="472"/>
      <c r="B11" s="474"/>
      <c r="C11" s="320"/>
      <c r="D11" s="332">
        <v>15</v>
      </c>
      <c r="E11" s="333">
        <v>133</v>
      </c>
      <c r="F11" s="333">
        <v>24.081842550000001</v>
      </c>
      <c r="G11" s="411">
        <v>24.098978880000001</v>
      </c>
      <c r="H11" s="334">
        <f t="shared" si="2"/>
        <v>1.7136329999999589E-2</v>
      </c>
      <c r="V11" s="320">
        <f t="shared" si="1"/>
        <v>75.471698113207552</v>
      </c>
      <c r="W11" s="410">
        <v>6.7924528301886795</v>
      </c>
      <c r="X11" s="411">
        <v>1.2821310649999997</v>
      </c>
      <c r="Y11" s="411">
        <v>1.1106504998893735E-2</v>
      </c>
      <c r="Z11" s="334">
        <v>3.7022175162941533</v>
      </c>
      <c r="AA11" s="411">
        <v>0.12286740645926789</v>
      </c>
      <c r="AB11" s="334">
        <v>3.149459499999999</v>
      </c>
      <c r="AC11" s="411">
        <v>1.0434859622782729E-2</v>
      </c>
      <c r="AD11" s="334">
        <v>2.69466596</v>
      </c>
      <c r="AE11" s="412">
        <v>0.1724547737972103</v>
      </c>
    </row>
    <row r="12" spans="1:32" s="439" customFormat="1">
      <c r="A12" s="472"/>
      <c r="B12" s="474">
        <v>6.1800000000000001E-2</v>
      </c>
      <c r="C12" s="320"/>
      <c r="D12" s="462">
        <v>15</v>
      </c>
      <c r="E12" s="463">
        <v>133</v>
      </c>
      <c r="F12" s="330">
        <v>23.748522179999998</v>
      </c>
      <c r="G12" s="320">
        <v>23.755227699999999</v>
      </c>
      <c r="H12" s="328">
        <f t="shared" si="2"/>
        <v>6.7055200000005755E-3</v>
      </c>
    </row>
    <row r="13" spans="1:32" s="439" customFormat="1">
      <c r="A13" s="472"/>
      <c r="B13" s="474"/>
      <c r="C13" s="320"/>
      <c r="D13" s="332">
        <v>15</v>
      </c>
      <c r="E13" s="333">
        <v>133</v>
      </c>
      <c r="F13" s="333">
        <v>23.576879420000001</v>
      </c>
      <c r="G13" s="411">
        <v>23.57864893</v>
      </c>
      <c r="H13" s="334">
        <f t="shared" si="2"/>
        <v>1.7695099999990305E-3</v>
      </c>
      <c r="O13" s="440"/>
      <c r="Q13" s="440"/>
    </row>
    <row r="14" spans="1:32" s="461" customFormat="1">
      <c r="A14" s="472"/>
      <c r="B14" s="475"/>
    </row>
    <row r="15" spans="1:32" s="461" customFormat="1"/>
    <row r="16" spans="1:32" s="461" customFormat="1">
      <c r="D16" s="246"/>
      <c r="E16" s="246"/>
      <c r="F16" s="246"/>
      <c r="G16" s="247"/>
      <c r="H16" s="246"/>
    </row>
    <row r="17" spans="1:36">
      <c r="O17" s="440"/>
      <c r="Q17" s="440"/>
    </row>
    <row r="18" spans="1:36" s="13" customFormat="1">
      <c r="A18" s="476" t="s">
        <v>197</v>
      </c>
      <c r="B18" s="476" t="s">
        <v>99</v>
      </c>
      <c r="C18" s="16"/>
      <c r="D18" s="16"/>
      <c r="E18" s="16"/>
      <c r="F18" s="16"/>
      <c r="G18" s="16"/>
      <c r="H18" s="16"/>
      <c r="I18" s="476" t="s">
        <v>197</v>
      </c>
      <c r="J18" s="476" t="s">
        <v>101</v>
      </c>
      <c r="L18" s="16"/>
      <c r="M18" s="16"/>
      <c r="N18" s="16"/>
      <c r="O18" s="16"/>
      <c r="P18" s="16"/>
      <c r="Q18" s="16"/>
      <c r="R18" s="476" t="s">
        <v>197</v>
      </c>
      <c r="S18" s="476" t="s">
        <v>112</v>
      </c>
      <c r="U18" s="16"/>
      <c r="V18" s="16"/>
      <c r="W18" s="16"/>
      <c r="X18" s="16"/>
      <c r="Y18" s="16"/>
      <c r="Z18" s="16"/>
      <c r="AA18" s="16"/>
      <c r="AB18" s="476" t="s">
        <v>197</v>
      </c>
      <c r="AC18" s="476" t="s">
        <v>113</v>
      </c>
    </row>
    <row r="19" spans="1:36" s="13" customFormat="1">
      <c r="A19" s="476" t="s">
        <v>200</v>
      </c>
      <c r="B19" s="476">
        <f>6/100*0.1*1000</f>
        <v>6</v>
      </c>
      <c r="C19" s="16"/>
      <c r="D19" s="16"/>
      <c r="E19" s="16"/>
      <c r="F19" s="16"/>
      <c r="G19" s="16"/>
      <c r="H19" s="16"/>
      <c r="I19" s="476" t="s">
        <v>200</v>
      </c>
      <c r="J19" s="476">
        <f>6/100*0.3*1000</f>
        <v>18</v>
      </c>
      <c r="L19" s="16"/>
      <c r="M19" s="16"/>
      <c r="N19" s="16"/>
      <c r="O19" s="16"/>
      <c r="P19" s="16"/>
      <c r="Q19" s="16"/>
      <c r="R19" s="476" t="s">
        <v>200</v>
      </c>
      <c r="S19" s="476">
        <f>6/100*0.6*1000</f>
        <v>36</v>
      </c>
      <c r="U19" s="16"/>
      <c r="V19" s="16"/>
      <c r="W19" s="16"/>
      <c r="X19" s="16"/>
      <c r="Y19" s="16"/>
      <c r="Z19" s="16"/>
      <c r="AA19" s="16"/>
      <c r="AB19" s="476" t="s">
        <v>200</v>
      </c>
      <c r="AC19" s="476">
        <f>6/100*1*1000</f>
        <v>60</v>
      </c>
    </row>
    <row r="20" spans="1:36" s="13" customFormat="1">
      <c r="A20" s="476" t="s">
        <v>114</v>
      </c>
      <c r="B20" s="476">
        <f>B19*12/106</f>
        <v>0.67924528301886788</v>
      </c>
      <c r="C20" s="16"/>
      <c r="D20" s="16" t="s">
        <v>204</v>
      </c>
      <c r="E20" s="16"/>
      <c r="F20" s="16"/>
      <c r="G20" s="16"/>
      <c r="H20" s="16"/>
      <c r="I20" s="476" t="s">
        <v>114</v>
      </c>
      <c r="J20" s="476">
        <f>J19*12/106</f>
        <v>2.0377358490566038</v>
      </c>
      <c r="L20" s="16"/>
      <c r="M20" s="16"/>
      <c r="N20" s="16"/>
      <c r="O20" s="16"/>
      <c r="P20" s="16"/>
      <c r="Q20" s="16"/>
      <c r="R20" s="476" t="s">
        <v>114</v>
      </c>
      <c r="S20" s="476">
        <f>S19*12/106</f>
        <v>4.0754716981132075</v>
      </c>
      <c r="U20" s="16" t="s">
        <v>204</v>
      </c>
      <c r="V20" s="16"/>
      <c r="W20" s="16"/>
      <c r="X20" s="16"/>
      <c r="Y20" s="16"/>
      <c r="Z20" s="16"/>
      <c r="AA20" s="16"/>
      <c r="AB20" s="476" t="s">
        <v>114</v>
      </c>
      <c r="AC20" s="476">
        <f>AC19*12/106</f>
        <v>6.7924528301886795</v>
      </c>
      <c r="AE20" s="16" t="s">
        <v>204</v>
      </c>
    </row>
    <row r="21" spans="1:36" s="47" customFormat="1" ht="18.75">
      <c r="A21" s="465"/>
      <c r="C21" s="466" t="s">
        <v>196</v>
      </c>
      <c r="D21" s="323" t="s">
        <v>0</v>
      </c>
      <c r="E21" s="324" t="s">
        <v>1</v>
      </c>
      <c r="F21" s="324" t="s">
        <v>49</v>
      </c>
      <c r="G21" s="324" t="s">
        <v>6</v>
      </c>
      <c r="H21" s="325" t="s">
        <v>7</v>
      </c>
      <c r="I21" s="465"/>
      <c r="J21" s="465"/>
      <c r="K21" s="466" t="s">
        <v>204</v>
      </c>
      <c r="L21" s="466" t="s">
        <v>196</v>
      </c>
      <c r="M21" s="323" t="s">
        <v>0</v>
      </c>
      <c r="N21" s="324" t="s">
        <v>1</v>
      </c>
      <c r="O21" s="324" t="s">
        <v>49</v>
      </c>
      <c r="P21" s="324" t="s">
        <v>6</v>
      </c>
      <c r="Q21" s="325" t="s">
        <v>7</v>
      </c>
      <c r="R21" s="465"/>
      <c r="S21" s="465"/>
      <c r="U21" s="466" t="s">
        <v>196</v>
      </c>
      <c r="V21" s="323" t="s">
        <v>0</v>
      </c>
      <c r="W21" s="324" t="s">
        <v>1</v>
      </c>
      <c r="X21" s="324" t="s">
        <v>49</v>
      </c>
      <c r="Y21" s="324" t="s">
        <v>6</v>
      </c>
      <c r="Z21" s="325" t="s">
        <v>7</v>
      </c>
      <c r="AA21" s="465"/>
      <c r="AB21" s="465"/>
      <c r="AE21" s="466" t="s">
        <v>196</v>
      </c>
      <c r="AF21" s="323" t="s">
        <v>0</v>
      </c>
      <c r="AG21" s="324" t="s">
        <v>1</v>
      </c>
      <c r="AH21" s="324" t="s">
        <v>49</v>
      </c>
      <c r="AI21" s="324" t="s">
        <v>6</v>
      </c>
      <c r="AJ21" s="325" t="s">
        <v>7</v>
      </c>
    </row>
    <row r="22" spans="1:36" s="47" customFormat="1">
      <c r="A22" s="465"/>
      <c r="B22" s="465"/>
      <c r="C22" s="466">
        <f>0.102</f>
        <v>0.10199999999999999</v>
      </c>
      <c r="D22" s="462">
        <v>15</v>
      </c>
      <c r="E22" s="463">
        <v>133</v>
      </c>
      <c r="F22" s="330">
        <v>24.734513450000001</v>
      </c>
      <c r="G22" s="466">
        <v>25.79938774</v>
      </c>
      <c r="H22" s="328">
        <f t="shared" ref="H22:H25" si="3">G22-F22</f>
        <v>1.0648742899999988</v>
      </c>
      <c r="I22" s="466"/>
      <c r="J22" s="465"/>
      <c r="K22" s="465"/>
      <c r="L22" s="466">
        <f>0.1155</f>
        <v>0.11550000000000001</v>
      </c>
      <c r="M22" s="462">
        <v>15</v>
      </c>
      <c r="N22" s="463">
        <v>133</v>
      </c>
      <c r="O22" s="330">
        <v>26.962423439999998</v>
      </c>
      <c r="P22" s="466">
        <v>27.91600407</v>
      </c>
      <c r="Q22" s="328">
        <f t="shared" ref="Q22:Q23" si="4">P22-O22</f>
        <v>0.95358063000000115</v>
      </c>
      <c r="R22" s="465"/>
      <c r="S22" s="465"/>
      <c r="T22" s="465"/>
      <c r="U22" s="466">
        <f>0.1318</f>
        <v>0.1318</v>
      </c>
      <c r="V22" s="462">
        <v>15</v>
      </c>
      <c r="W22" s="463">
        <v>133</v>
      </c>
      <c r="X22" s="330">
        <v>23.742375450000001</v>
      </c>
      <c r="Y22" s="466">
        <v>24.764009250000001</v>
      </c>
      <c r="Z22" s="328">
        <f t="shared" ref="Z22:Z23" si="5">Y22-X22</f>
        <v>1.0216338</v>
      </c>
      <c r="AA22" s="465"/>
      <c r="AB22" s="465"/>
      <c r="AE22" s="320">
        <f>0.151</f>
        <v>0.151</v>
      </c>
      <c r="AF22" s="462">
        <v>15</v>
      </c>
      <c r="AG22" s="463">
        <v>133</v>
      </c>
      <c r="AH22" s="330">
        <v>23.740792200000001</v>
      </c>
      <c r="AI22" s="320">
        <v>24.78674616</v>
      </c>
      <c r="AJ22" s="328">
        <f t="shared" ref="AJ22:AJ23" si="6">AI22-AH22</f>
        <v>1.0459539599999985</v>
      </c>
    </row>
    <row r="23" spans="1:36" s="47" customFormat="1">
      <c r="A23" s="465"/>
      <c r="B23" s="465"/>
      <c r="C23" s="466"/>
      <c r="D23" s="332">
        <v>15</v>
      </c>
      <c r="E23" s="333">
        <v>133</v>
      </c>
      <c r="F23" s="333">
        <v>24.410692569999998</v>
      </c>
      <c r="G23" s="333">
        <v>25.616848510000001</v>
      </c>
      <c r="H23" s="334">
        <f t="shared" si="3"/>
        <v>1.2061559400000021</v>
      </c>
      <c r="I23" s="465"/>
      <c r="J23" s="465"/>
      <c r="K23" s="465"/>
      <c r="L23" s="466"/>
      <c r="M23" s="332">
        <v>15</v>
      </c>
      <c r="N23" s="333">
        <v>133</v>
      </c>
      <c r="O23" s="333">
        <v>25.953428500000001</v>
      </c>
      <c r="P23" s="333">
        <v>27.254311980000001</v>
      </c>
      <c r="Q23" s="334">
        <f t="shared" si="4"/>
        <v>1.3008834799999995</v>
      </c>
      <c r="R23" s="465"/>
      <c r="S23" s="465"/>
      <c r="T23" s="465"/>
      <c r="U23" s="466"/>
      <c r="V23" s="332">
        <v>15</v>
      </c>
      <c r="W23" s="333">
        <v>133</v>
      </c>
      <c r="X23" s="333">
        <v>23.74526255</v>
      </c>
      <c r="Y23" s="333">
        <v>25.025221200000001</v>
      </c>
      <c r="Z23" s="334">
        <f t="shared" si="5"/>
        <v>1.2799586500000011</v>
      </c>
      <c r="AA23" s="465"/>
      <c r="AB23" s="465"/>
      <c r="AE23" s="320"/>
      <c r="AF23" s="332">
        <v>15</v>
      </c>
      <c r="AG23" s="333">
        <v>133</v>
      </c>
      <c r="AH23" s="333">
        <v>23.746193869999999</v>
      </c>
      <c r="AI23" s="411">
        <v>25.020471449999999</v>
      </c>
      <c r="AJ23" s="334">
        <f t="shared" si="6"/>
        <v>1.2742775799999997</v>
      </c>
    </row>
    <row r="24" spans="1:36" s="47" customFormat="1">
      <c r="A24" s="465"/>
      <c r="B24" s="465"/>
      <c r="C24" s="466">
        <f>0.1019</f>
        <v>0.1019</v>
      </c>
      <c r="D24" s="462">
        <v>15</v>
      </c>
      <c r="E24" s="463">
        <v>133</v>
      </c>
      <c r="F24" s="330">
        <v>24.313183089999999</v>
      </c>
      <c r="G24" s="466">
        <v>25.435613119999999</v>
      </c>
      <c r="H24" s="328">
        <f t="shared" si="3"/>
        <v>1.1224300300000003</v>
      </c>
      <c r="I24" s="465"/>
      <c r="J24" s="465"/>
      <c r="K24" s="465"/>
      <c r="L24" s="466">
        <f>0.1019</f>
        <v>0.1019</v>
      </c>
      <c r="M24" s="462">
        <v>15</v>
      </c>
      <c r="N24" s="463">
        <v>133</v>
      </c>
      <c r="O24" s="330">
        <v>24.430529740000001</v>
      </c>
      <c r="P24" s="466">
        <v>25.620853189999998</v>
      </c>
      <c r="Q24" s="328">
        <f t="shared" ref="Q24:Q25" si="7">P24-O24</f>
        <v>1.1903234499999975</v>
      </c>
      <c r="R24" s="465"/>
      <c r="S24" s="465"/>
      <c r="T24" s="465"/>
      <c r="U24" s="466">
        <f>0.1382</f>
        <v>0.13819999999999999</v>
      </c>
      <c r="V24" s="462">
        <v>15</v>
      </c>
      <c r="W24" s="463">
        <v>133</v>
      </c>
      <c r="X24" s="330">
        <v>24.082215075624877</v>
      </c>
      <c r="Y24" s="466">
        <v>25.099405650000001</v>
      </c>
      <c r="Z24" s="328">
        <f>Y24-X24</f>
        <v>1.0171905743751246</v>
      </c>
      <c r="AA24" s="465"/>
      <c r="AB24" s="465"/>
      <c r="AE24" s="320">
        <v>0.15820000000000001</v>
      </c>
      <c r="AF24" s="462">
        <v>15</v>
      </c>
      <c r="AG24" s="463">
        <v>133</v>
      </c>
      <c r="AH24" s="330">
        <v>24.094974199999999</v>
      </c>
      <c r="AI24" s="320">
        <v>25.104993589999999</v>
      </c>
      <c r="AJ24" s="328">
        <f>AI24-AH24</f>
        <v>1.0100193900000001</v>
      </c>
    </row>
    <row r="25" spans="1:36" s="47" customFormat="1">
      <c r="A25" s="465"/>
      <c r="B25" s="465"/>
      <c r="C25" s="466"/>
      <c r="D25" s="332">
        <v>15</v>
      </c>
      <c r="E25" s="333">
        <v>133</v>
      </c>
      <c r="F25" s="333">
        <v>24.08407772088513</v>
      </c>
      <c r="G25" s="333">
        <v>25.439338410000001</v>
      </c>
      <c r="H25" s="334">
        <f t="shared" si="3"/>
        <v>1.3552606891148713</v>
      </c>
      <c r="I25" s="465"/>
      <c r="J25" s="465"/>
      <c r="K25" s="465"/>
      <c r="L25" s="466"/>
      <c r="M25" s="332">
        <v>15</v>
      </c>
      <c r="N25" s="333">
        <v>133</v>
      </c>
      <c r="O25" s="333">
        <v>24.27593018</v>
      </c>
      <c r="P25" s="333">
        <v>25.620108129999998</v>
      </c>
      <c r="Q25" s="334">
        <f t="shared" si="7"/>
        <v>1.3441779499999988</v>
      </c>
      <c r="R25" s="465"/>
      <c r="S25" s="465"/>
      <c r="T25" s="465"/>
      <c r="U25" s="466"/>
      <c r="V25" s="332">
        <v>15</v>
      </c>
      <c r="W25" s="333">
        <v>133</v>
      </c>
      <c r="X25" s="333">
        <v>23.74433123</v>
      </c>
      <c r="Y25" s="333">
        <v>25.107321890000001</v>
      </c>
      <c r="Z25" s="334">
        <f>Y25-X25</f>
        <v>1.3629906600000012</v>
      </c>
      <c r="AA25" s="465"/>
      <c r="AB25" s="465"/>
      <c r="AE25" s="320"/>
      <c r="AF25" s="332">
        <v>15</v>
      </c>
      <c r="AG25" s="333">
        <v>133</v>
      </c>
      <c r="AH25" s="333">
        <v>24.085381569999999</v>
      </c>
      <c r="AI25" s="411">
        <v>25.375366119999999</v>
      </c>
      <c r="AJ25" s="334">
        <f>AI25-AH25</f>
        <v>1.2899845499999998</v>
      </c>
    </row>
    <row r="26" spans="1:36" s="47" customFormat="1"/>
    <row r="27" spans="1:36" s="47" customFormat="1">
      <c r="C27" s="466" t="s">
        <v>201</v>
      </c>
      <c r="L27" s="466" t="s">
        <v>201</v>
      </c>
    </row>
    <row r="28" spans="1:36" s="47" customFormat="1" ht="18.75">
      <c r="C28" s="466" t="s">
        <v>196</v>
      </c>
      <c r="D28" s="323" t="s">
        <v>0</v>
      </c>
      <c r="E28" s="324" t="s">
        <v>1</v>
      </c>
      <c r="F28" s="324" t="s">
        <v>49</v>
      </c>
      <c r="G28" s="324" t="s">
        <v>6</v>
      </c>
      <c r="H28" s="325" t="s">
        <v>7</v>
      </c>
      <c r="I28" s="320"/>
      <c r="J28" s="320"/>
      <c r="L28" s="466" t="s">
        <v>196</v>
      </c>
      <c r="M28" s="323" t="s">
        <v>0</v>
      </c>
      <c r="N28" s="324" t="s">
        <v>1</v>
      </c>
      <c r="O28" s="324" t="s">
        <v>49</v>
      </c>
      <c r="P28" s="324" t="s">
        <v>6</v>
      </c>
      <c r="Q28" s="325" t="s">
        <v>7</v>
      </c>
      <c r="R28" s="320"/>
      <c r="S28" s="320"/>
      <c r="T28" s="466" t="s">
        <v>201</v>
      </c>
      <c r="U28" s="320"/>
      <c r="V28" s="320"/>
      <c r="W28" s="320"/>
      <c r="X28" s="320"/>
      <c r="Y28" s="320"/>
      <c r="Z28" s="320"/>
      <c r="AA28" s="320"/>
      <c r="AB28" s="320"/>
      <c r="AE28" s="466" t="s">
        <v>201</v>
      </c>
    </row>
    <row r="29" spans="1:36" s="47" customFormat="1" ht="18.75">
      <c r="B29" s="320"/>
      <c r="C29" s="320">
        <v>0.109</v>
      </c>
      <c r="D29" s="462">
        <v>15</v>
      </c>
      <c r="E29" s="463">
        <v>133</v>
      </c>
      <c r="F29" s="330">
        <v>24.0770847208851</v>
      </c>
      <c r="G29" s="320">
        <v>27.861142720885098</v>
      </c>
      <c r="H29" s="328">
        <f t="shared" ref="H29:H32" si="8">G29-F29</f>
        <v>3.7840579999999981</v>
      </c>
      <c r="I29" s="320"/>
      <c r="J29" s="320"/>
      <c r="K29" s="320"/>
      <c r="L29" s="320">
        <f>0.1137</f>
        <v>0.1137</v>
      </c>
      <c r="M29" s="462">
        <v>15</v>
      </c>
      <c r="N29" s="463">
        <v>133</v>
      </c>
      <c r="O29" s="330">
        <v>24.098792620000001</v>
      </c>
      <c r="P29" s="320">
        <v>27.680211700000001</v>
      </c>
      <c r="Q29" s="328">
        <f t="shared" ref="Q29:Q32" si="9">P29-O29</f>
        <v>3.5814190799999999</v>
      </c>
      <c r="R29" s="320"/>
      <c r="S29" s="320"/>
      <c r="T29" s="320"/>
      <c r="U29" s="466" t="s">
        <v>196</v>
      </c>
      <c r="V29" s="323" t="s">
        <v>0</v>
      </c>
      <c r="W29" s="324" t="s">
        <v>1</v>
      </c>
      <c r="X29" s="324" t="s">
        <v>49</v>
      </c>
      <c r="Y29" s="324" t="s">
        <v>6</v>
      </c>
      <c r="Z29" s="325" t="s">
        <v>7</v>
      </c>
      <c r="AA29" s="320"/>
      <c r="AB29" s="320"/>
      <c r="AE29" s="466" t="s">
        <v>196</v>
      </c>
      <c r="AF29" s="323" t="s">
        <v>0</v>
      </c>
      <c r="AG29" s="324" t="s">
        <v>1</v>
      </c>
      <c r="AH29" s="324" t="s">
        <v>49</v>
      </c>
      <c r="AI29" s="324" t="s">
        <v>6</v>
      </c>
      <c r="AJ29" s="325" t="s">
        <v>7</v>
      </c>
    </row>
    <row r="30" spans="1:36" s="47" customFormat="1">
      <c r="B30" s="320"/>
      <c r="C30" s="320"/>
      <c r="D30" s="332">
        <v>15</v>
      </c>
      <c r="E30" s="333">
        <v>133</v>
      </c>
      <c r="F30" s="333">
        <v>24.08407772088513</v>
      </c>
      <c r="G30" s="411">
        <v>27.83933841</v>
      </c>
      <c r="H30" s="334">
        <f t="shared" si="8"/>
        <v>3.7552606891148699</v>
      </c>
      <c r="I30" s="320"/>
      <c r="J30" s="320"/>
      <c r="K30" s="320"/>
      <c r="L30" s="320"/>
      <c r="M30" s="332">
        <v>15</v>
      </c>
      <c r="N30" s="333">
        <v>133</v>
      </c>
      <c r="O30" s="333">
        <v>24.09162143</v>
      </c>
      <c r="P30" s="411">
        <v>27.72172771</v>
      </c>
      <c r="Q30" s="334">
        <f t="shared" si="9"/>
        <v>3.6301062799999997</v>
      </c>
      <c r="R30" s="320"/>
      <c r="S30" s="320"/>
      <c r="T30" s="320"/>
      <c r="U30" s="320">
        <f>0.1435</f>
        <v>0.14349999999999999</v>
      </c>
      <c r="V30" s="462">
        <v>15</v>
      </c>
      <c r="W30" s="463">
        <v>133</v>
      </c>
      <c r="X30" s="330">
        <v>24.420564590000001</v>
      </c>
      <c r="Y30" s="320">
        <v>28.106607590000003</v>
      </c>
      <c r="Z30" s="328">
        <f t="shared" ref="Z30:Z31" si="10">Y30-X30</f>
        <v>3.6860430000000015</v>
      </c>
      <c r="AA30" s="320"/>
      <c r="AB30" s="320"/>
      <c r="AE30" s="320">
        <f>0.1624</f>
        <v>0.16239999999999999</v>
      </c>
      <c r="AF30" s="462">
        <v>15</v>
      </c>
      <c r="AG30" s="463">
        <v>133</v>
      </c>
      <c r="AH30" s="330">
        <v>24.088548070000002</v>
      </c>
      <c r="AI30" s="320">
        <v>27.592983070000002</v>
      </c>
      <c r="AJ30" s="328">
        <f t="shared" ref="AJ30:AJ33" si="11">AI30-AH30</f>
        <v>3.5044350000000009</v>
      </c>
    </row>
    <row r="31" spans="1:36" s="47" customFormat="1">
      <c r="B31" s="320"/>
      <c r="C31" s="320">
        <f>0.1096</f>
        <v>0.1096</v>
      </c>
      <c r="D31" s="462">
        <v>15</v>
      </c>
      <c r="E31" s="463">
        <v>133</v>
      </c>
      <c r="F31" s="330">
        <v>24.047708720885101</v>
      </c>
      <c r="G31" s="320">
        <v>27.584183929999998</v>
      </c>
      <c r="H31" s="328">
        <f t="shared" si="8"/>
        <v>3.5364752091148972</v>
      </c>
      <c r="I31" s="320"/>
      <c r="J31" s="320"/>
      <c r="K31" s="320"/>
      <c r="L31" s="320">
        <f>0.1096</f>
        <v>0.1096</v>
      </c>
      <c r="M31" s="462">
        <v>15</v>
      </c>
      <c r="N31" s="463">
        <v>133</v>
      </c>
      <c r="O31" s="330">
        <v>24.089665660000001</v>
      </c>
      <c r="P31" s="320">
        <v>26.640092679999999</v>
      </c>
      <c r="Q31" s="328">
        <f t="shared" si="9"/>
        <v>2.5504270199999972</v>
      </c>
      <c r="R31" s="320"/>
      <c r="S31" s="320"/>
      <c r="T31" s="320"/>
      <c r="U31" s="320"/>
      <c r="V31" s="332">
        <v>15</v>
      </c>
      <c r="W31" s="333">
        <v>133</v>
      </c>
      <c r="X31" s="333">
        <v>24.219074469999999</v>
      </c>
      <c r="Y31" s="411">
        <v>27.874848920000002</v>
      </c>
      <c r="Z31" s="334">
        <f t="shared" si="10"/>
        <v>3.6557744500000027</v>
      </c>
      <c r="AA31" s="320"/>
      <c r="AB31" s="320"/>
      <c r="AE31" s="320"/>
      <c r="AF31" s="332">
        <v>15</v>
      </c>
      <c r="AG31" s="333">
        <v>133</v>
      </c>
      <c r="AH31" s="333">
        <v>23.755507099999999</v>
      </c>
      <c r="AI31" s="411">
        <v>27.240844240000001</v>
      </c>
      <c r="AJ31" s="334">
        <f t="shared" si="11"/>
        <v>3.4853371400000022</v>
      </c>
    </row>
    <row r="32" spans="1:36" s="47" customFormat="1">
      <c r="B32" s="320"/>
      <c r="C32" s="320"/>
      <c r="D32" s="332">
        <v>15</v>
      </c>
      <c r="E32" s="333">
        <v>133</v>
      </c>
      <c r="F32" s="333">
        <v>24.070847720885101</v>
      </c>
      <c r="G32" s="411">
        <v>27.763421720885102</v>
      </c>
      <c r="H32" s="334">
        <f t="shared" si="8"/>
        <v>3.6925740000000005</v>
      </c>
      <c r="I32" s="320"/>
      <c r="J32" s="320"/>
      <c r="K32" s="320"/>
      <c r="L32" s="320"/>
      <c r="M32" s="332">
        <v>15</v>
      </c>
      <c r="N32" s="333">
        <v>133</v>
      </c>
      <c r="O32" s="333">
        <v>24.087709879999998</v>
      </c>
      <c r="P32" s="411">
        <v>27.879280380000001</v>
      </c>
      <c r="Q32" s="334">
        <f t="shared" si="9"/>
        <v>3.7915705000000024</v>
      </c>
      <c r="R32" s="320"/>
      <c r="S32" s="320"/>
      <c r="T32" s="320"/>
      <c r="U32" s="320">
        <v>0.13450000000000001</v>
      </c>
      <c r="V32" s="462">
        <v>15</v>
      </c>
      <c r="W32" s="463">
        <v>133</v>
      </c>
      <c r="X32" s="330">
        <v>24.412648340000001</v>
      </c>
      <c r="Y32" s="320">
        <v>28.152001340000002</v>
      </c>
      <c r="Z32" s="328">
        <f t="shared" ref="Z32:Z33" si="12">Y32-X32</f>
        <v>3.7393530000000013</v>
      </c>
      <c r="AA32" s="320"/>
      <c r="AB32" s="320"/>
      <c r="AE32" s="320">
        <v>0.1618</v>
      </c>
      <c r="AF32" s="462">
        <v>15</v>
      </c>
      <c r="AG32" s="463">
        <v>133</v>
      </c>
      <c r="AH32" s="330">
        <v>23.747497719999998</v>
      </c>
      <c r="AI32" s="320">
        <v>27.32562772</v>
      </c>
      <c r="AJ32" s="328">
        <f t="shared" si="11"/>
        <v>3.5781300000000016</v>
      </c>
    </row>
    <row r="33" spans="2:38" s="47" customFormat="1">
      <c r="B33" s="320"/>
      <c r="C33" s="320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20"/>
      <c r="V33" s="332">
        <v>15</v>
      </c>
      <c r="W33" s="333">
        <v>133</v>
      </c>
      <c r="X33" s="333">
        <v>24.418608809999998</v>
      </c>
      <c r="Y33" s="411">
        <v>28.12786646</v>
      </c>
      <c r="Z33" s="334">
        <f t="shared" si="12"/>
        <v>3.7092576500000014</v>
      </c>
      <c r="AA33" s="320"/>
      <c r="AB33" s="320"/>
      <c r="AE33" s="320"/>
      <c r="AF33" s="332">
        <v>15</v>
      </c>
      <c r="AG33" s="333">
        <v>133</v>
      </c>
      <c r="AH33" s="333">
        <v>23.755693361502495</v>
      </c>
      <c r="AI33" s="411">
        <v>27.3147912540908</v>
      </c>
      <c r="AJ33" s="334">
        <f t="shared" si="11"/>
        <v>3.559097892588305</v>
      </c>
    </row>
    <row r="34" spans="2:38" s="47" customFormat="1">
      <c r="B34" s="320"/>
      <c r="C34" s="466" t="s">
        <v>203</v>
      </c>
      <c r="D34" s="320"/>
      <c r="E34" s="320"/>
      <c r="F34" s="320"/>
      <c r="G34" s="320"/>
      <c r="H34" s="320" t="s">
        <v>125</v>
      </c>
      <c r="I34" s="320"/>
      <c r="J34" s="320"/>
      <c r="K34" s="466" t="s">
        <v>203</v>
      </c>
      <c r="L34" s="320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0"/>
      <c r="Y34" s="320"/>
      <c r="Z34" s="320"/>
      <c r="AA34" s="320"/>
      <c r="AB34" s="320"/>
      <c r="AE34" s="466" t="s">
        <v>203</v>
      </c>
    </row>
    <row r="35" spans="2:38" s="47" customFormat="1" ht="18.75">
      <c r="B35" s="320"/>
      <c r="C35" s="466" t="s">
        <v>196</v>
      </c>
      <c r="D35" s="323" t="s">
        <v>0</v>
      </c>
      <c r="E35" s="324" t="s">
        <v>1</v>
      </c>
      <c r="F35" s="324" t="s">
        <v>49</v>
      </c>
      <c r="G35" s="324" t="s">
        <v>6</v>
      </c>
      <c r="H35" s="325" t="s">
        <v>7</v>
      </c>
      <c r="I35" s="320"/>
      <c r="J35" s="320"/>
      <c r="K35" s="466"/>
      <c r="L35" s="466" t="s">
        <v>196</v>
      </c>
      <c r="M35" s="323" t="s">
        <v>0</v>
      </c>
      <c r="N35" s="324" t="s">
        <v>1</v>
      </c>
      <c r="O35" s="324" t="s">
        <v>49</v>
      </c>
      <c r="P35" s="324" t="s">
        <v>6</v>
      </c>
      <c r="Q35" s="325" t="s">
        <v>7</v>
      </c>
      <c r="R35" s="320"/>
      <c r="S35" s="320"/>
      <c r="T35" s="320"/>
      <c r="U35" s="320"/>
      <c r="V35" s="320"/>
      <c r="W35" s="320"/>
      <c r="X35" s="320"/>
      <c r="Y35" s="320"/>
      <c r="Z35" s="320"/>
      <c r="AA35" s="320"/>
      <c r="AB35" s="320"/>
      <c r="AE35" s="466" t="s">
        <v>196</v>
      </c>
    </row>
    <row r="36" spans="2:38" s="47" customFormat="1">
      <c r="B36" s="320"/>
      <c r="C36" s="320">
        <f>0.1039</f>
        <v>0.10390000000000001</v>
      </c>
      <c r="D36" s="462">
        <v>15</v>
      </c>
      <c r="E36" s="463">
        <v>133</v>
      </c>
      <c r="F36" s="330">
        <v>24.074815489999999</v>
      </c>
      <c r="G36" s="320">
        <v>27.014847840000002</v>
      </c>
      <c r="H36" s="328">
        <f t="shared" ref="H36:H39" si="13">G36-F36</f>
        <v>2.9400323500000027</v>
      </c>
      <c r="I36" s="320"/>
      <c r="J36" s="320"/>
      <c r="K36" s="320"/>
      <c r="L36" s="320">
        <f>0.1139</f>
        <v>0.1139</v>
      </c>
      <c r="M36" s="462">
        <v>15</v>
      </c>
      <c r="N36" s="463">
        <v>133</v>
      </c>
      <c r="O36" s="330">
        <v>24.224055509999999</v>
      </c>
      <c r="P36" s="320">
        <v>27.253012170000002</v>
      </c>
      <c r="Q36" s="328">
        <f t="shared" ref="Q36:Q39" si="14">P36-O36</f>
        <v>3.0289566600000022</v>
      </c>
      <c r="R36" s="320"/>
      <c r="S36" s="320"/>
      <c r="T36" s="466" t="s">
        <v>203</v>
      </c>
      <c r="U36" s="320"/>
      <c r="V36" s="320"/>
      <c r="W36" s="320"/>
      <c r="X36" s="320"/>
      <c r="Y36" s="320"/>
      <c r="Z36" s="320"/>
      <c r="AA36" s="320"/>
      <c r="AB36" s="320"/>
      <c r="AE36" s="320">
        <v>0.1618</v>
      </c>
      <c r="AF36" s="462">
        <v>15</v>
      </c>
      <c r="AG36" s="463">
        <v>133</v>
      </c>
      <c r="AH36" s="463">
        <v>23.75271313</v>
      </c>
      <c r="AI36" s="413">
        <v>26.836822732000002</v>
      </c>
      <c r="AJ36" s="328">
        <f>AI36-AH36</f>
        <v>3.0841096020000016</v>
      </c>
    </row>
    <row r="37" spans="2:38" s="47" customFormat="1" ht="18.75">
      <c r="B37" s="320"/>
      <c r="C37" s="320"/>
      <c r="D37" s="332">
        <v>15</v>
      </c>
      <c r="E37" s="333">
        <v>133</v>
      </c>
      <c r="F37" s="333">
        <v>24.067772088584</v>
      </c>
      <c r="G37" s="411">
        <v>27.039338409999999</v>
      </c>
      <c r="H37" s="334">
        <f t="shared" si="13"/>
        <v>2.9715663214159989</v>
      </c>
      <c r="I37" s="320"/>
      <c r="J37" s="320"/>
      <c r="K37" s="320"/>
      <c r="L37" s="320"/>
      <c r="M37" s="332">
        <v>15</v>
      </c>
      <c r="N37" s="333">
        <v>133</v>
      </c>
      <c r="O37" s="333">
        <v>24.08351893</v>
      </c>
      <c r="P37" s="411">
        <v>27.139115014000001</v>
      </c>
      <c r="Q37" s="334">
        <f t="shared" si="14"/>
        <v>3.0555960840000012</v>
      </c>
      <c r="R37" s="320"/>
      <c r="S37" s="320"/>
      <c r="T37" s="320"/>
      <c r="U37" s="466" t="s">
        <v>196</v>
      </c>
      <c r="V37" s="323" t="s">
        <v>0</v>
      </c>
      <c r="W37" s="324" t="s">
        <v>1</v>
      </c>
      <c r="X37" s="324" t="s">
        <v>49</v>
      </c>
      <c r="Y37" s="324" t="s">
        <v>6</v>
      </c>
      <c r="Z37" s="325" t="s">
        <v>7</v>
      </c>
      <c r="AA37" s="320"/>
      <c r="AB37" s="320"/>
      <c r="AF37" s="332">
        <v>15</v>
      </c>
      <c r="AG37" s="333">
        <v>133</v>
      </c>
      <c r="AH37" s="333">
        <v>23.74489002</v>
      </c>
      <c r="AI37" s="411">
        <v>26.886970959999999</v>
      </c>
      <c r="AJ37" s="334">
        <f>AI37-AH37</f>
        <v>3.1420809399999996</v>
      </c>
    </row>
    <row r="38" spans="2:38" s="47" customFormat="1">
      <c r="B38" s="320"/>
      <c r="C38" s="320">
        <f>0.1018</f>
        <v>0.1018</v>
      </c>
      <c r="D38" s="462">
        <v>15</v>
      </c>
      <c r="E38" s="463">
        <v>133</v>
      </c>
      <c r="F38" s="330">
        <v>24.052633140000001</v>
      </c>
      <c r="G38" s="320">
        <v>27.021548970000001</v>
      </c>
      <c r="H38" s="328">
        <f t="shared" si="13"/>
        <v>2.9689158300000003</v>
      </c>
      <c r="I38" s="320"/>
      <c r="J38" s="320"/>
      <c r="K38" s="320"/>
      <c r="L38" s="320">
        <f>0.1149</f>
        <v>0.1149</v>
      </c>
      <c r="M38" s="462">
        <v>15</v>
      </c>
      <c r="N38" s="463">
        <v>133</v>
      </c>
      <c r="O38" s="330">
        <v>24.095905519999999</v>
      </c>
      <c r="P38" s="320">
        <v>27.27661844</v>
      </c>
      <c r="Q38" s="328">
        <f t="shared" si="14"/>
        <v>3.1807129200000013</v>
      </c>
      <c r="R38" s="320"/>
      <c r="S38" s="320"/>
      <c r="T38" s="320"/>
      <c r="U38" s="320">
        <f>0.1323</f>
        <v>0.1323</v>
      </c>
      <c r="V38" s="462">
        <v>15</v>
      </c>
      <c r="W38" s="463">
        <v>133</v>
      </c>
      <c r="X38" s="330">
        <v>24.427270109999998</v>
      </c>
      <c r="Y38" s="320">
        <v>27.376290940000001</v>
      </c>
      <c r="Z38" s="328">
        <f t="shared" ref="Z38:Z41" si="15">Y38-X38</f>
        <v>2.949020830000002</v>
      </c>
      <c r="AA38" s="320"/>
      <c r="AB38" s="320"/>
      <c r="AE38" s="320">
        <v>0.16300000000000001</v>
      </c>
      <c r="AF38" s="462">
        <v>15</v>
      </c>
      <c r="AG38" s="463">
        <v>133</v>
      </c>
      <c r="AH38" s="330">
        <v>23.77131352</v>
      </c>
      <c r="AI38" s="320">
        <v>26.865570519999999</v>
      </c>
      <c r="AJ38" s="328">
        <f>AI38-AH38</f>
        <v>3.0942569999999989</v>
      </c>
    </row>
    <row r="39" spans="2:38" s="47" customFormat="1">
      <c r="B39" s="320"/>
      <c r="C39" s="320"/>
      <c r="D39" s="332">
        <v>15</v>
      </c>
      <c r="E39" s="333">
        <v>133</v>
      </c>
      <c r="F39" s="333">
        <v>24.0584771702088</v>
      </c>
      <c r="G39" s="411">
        <v>27.139338410000001</v>
      </c>
      <c r="H39" s="334">
        <f t="shared" si="13"/>
        <v>3.0808612397912007</v>
      </c>
      <c r="I39" s="320"/>
      <c r="J39" s="320"/>
      <c r="K39" s="320"/>
      <c r="L39" s="320"/>
      <c r="M39" s="332">
        <v>15</v>
      </c>
      <c r="N39" s="333">
        <v>133</v>
      </c>
      <c r="O39" s="333">
        <v>24.089851920000001</v>
      </c>
      <c r="P39" s="411">
        <v>27.299601129999999</v>
      </c>
      <c r="Q39" s="334">
        <f t="shared" si="14"/>
        <v>3.2097492099999982</v>
      </c>
      <c r="R39" s="320"/>
      <c r="S39" s="320"/>
      <c r="T39" s="320"/>
      <c r="U39" s="320"/>
      <c r="V39" s="332">
        <v>15</v>
      </c>
      <c r="W39" s="333">
        <v>133</v>
      </c>
      <c r="X39" s="333">
        <v>24.08389146</v>
      </c>
      <c r="Y39" s="411">
        <v>27.14961946</v>
      </c>
      <c r="Z39" s="334">
        <f t="shared" si="15"/>
        <v>3.065728</v>
      </c>
      <c r="AA39" s="320"/>
      <c r="AB39" s="320"/>
      <c r="AF39" s="332">
        <v>15</v>
      </c>
      <c r="AG39" s="333">
        <v>133</v>
      </c>
      <c r="AH39" s="333">
        <v>23.740248900000001</v>
      </c>
      <c r="AI39" s="411">
        <v>26.757086959999999</v>
      </c>
      <c r="AJ39" s="334">
        <f>AI39-AH39</f>
        <v>3.0168380599999978</v>
      </c>
    </row>
    <row r="40" spans="2:38" s="47" customFormat="1">
      <c r="B40" s="320"/>
      <c r="C40" s="320"/>
      <c r="D40" s="320"/>
      <c r="E40" s="320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>
        <v>0.1341</v>
      </c>
      <c r="V40" s="462">
        <v>15</v>
      </c>
      <c r="W40" s="463">
        <v>133</v>
      </c>
      <c r="X40" s="330">
        <v>24.752115440000001</v>
      </c>
      <c r="Y40" s="320">
        <v>27.769925440000002</v>
      </c>
      <c r="Z40" s="328">
        <f t="shared" si="15"/>
        <v>3.0178100000000008</v>
      </c>
      <c r="AA40" s="320"/>
      <c r="AB40" s="320"/>
    </row>
    <row r="41" spans="2:38" s="47" customFormat="1">
      <c r="B41" s="320"/>
      <c r="C41" s="466" t="s">
        <v>202</v>
      </c>
      <c r="D41" s="320"/>
      <c r="E41" s="320"/>
      <c r="F41" s="320"/>
      <c r="G41" s="320"/>
      <c r="H41" s="320"/>
      <c r="I41" s="320"/>
      <c r="J41" s="320"/>
      <c r="K41" s="466" t="s">
        <v>202</v>
      </c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32">
        <v>15</v>
      </c>
      <c r="W41" s="333">
        <v>133</v>
      </c>
      <c r="X41" s="333">
        <v>24.425407459999999</v>
      </c>
      <c r="Y41" s="411">
        <v>27.425011749999999</v>
      </c>
      <c r="Z41" s="334">
        <f t="shared" si="15"/>
        <v>2.9996042900000006</v>
      </c>
      <c r="AA41" s="320"/>
      <c r="AB41" s="320"/>
    </row>
    <row r="42" spans="2:38" s="47" customFormat="1" ht="18.75">
      <c r="B42" s="466"/>
      <c r="C42" s="466" t="s">
        <v>196</v>
      </c>
      <c r="D42" s="323" t="s">
        <v>0</v>
      </c>
      <c r="E42" s="324" t="s">
        <v>1</v>
      </c>
      <c r="F42" s="324" t="s">
        <v>49</v>
      </c>
      <c r="G42" s="324" t="s">
        <v>6</v>
      </c>
      <c r="H42" s="325" t="s">
        <v>7</v>
      </c>
      <c r="I42" s="320"/>
      <c r="J42" s="320"/>
      <c r="K42" s="466"/>
      <c r="L42" s="466" t="s">
        <v>196</v>
      </c>
      <c r="M42" s="323" t="s">
        <v>0</v>
      </c>
      <c r="N42" s="324" t="s">
        <v>1</v>
      </c>
      <c r="O42" s="324" t="s">
        <v>49</v>
      </c>
      <c r="P42" s="324" t="s">
        <v>6</v>
      </c>
      <c r="Q42" s="325" t="s">
        <v>7</v>
      </c>
      <c r="R42" s="320"/>
      <c r="S42" s="320"/>
      <c r="T42" s="320"/>
      <c r="U42" s="466" t="s">
        <v>202</v>
      </c>
      <c r="V42" s="320"/>
      <c r="W42" s="320"/>
      <c r="X42" s="320"/>
      <c r="Y42" s="320"/>
      <c r="Z42" s="320"/>
      <c r="AA42" s="320"/>
      <c r="AB42" s="320"/>
      <c r="AE42" s="466" t="s">
        <v>202</v>
      </c>
    </row>
    <row r="43" spans="2:38" s="47" customFormat="1">
      <c r="B43" s="320"/>
      <c r="C43" s="320">
        <f>0.1017</f>
        <v>0.1017</v>
      </c>
      <c r="D43" s="462">
        <v>15</v>
      </c>
      <c r="E43" s="463">
        <v>133</v>
      </c>
      <c r="F43" s="330">
        <v>23.932830930000002</v>
      </c>
      <c r="G43" s="320">
        <v>26.644740079999998</v>
      </c>
      <c r="H43" s="328">
        <f t="shared" ref="H43:H46" si="16">G43-F43</f>
        <v>2.7119091499999968</v>
      </c>
      <c r="I43" s="320"/>
      <c r="J43" s="320"/>
      <c r="K43" s="320"/>
      <c r="L43" s="320">
        <v>0.1149</v>
      </c>
      <c r="M43" s="462">
        <v>15</v>
      </c>
      <c r="N43" s="463">
        <v>133</v>
      </c>
      <c r="O43" s="330">
        <v>24.42363795</v>
      </c>
      <c r="P43" s="320">
        <v>26.941472950000001</v>
      </c>
      <c r="Q43" s="328">
        <f t="shared" ref="Q43:Q46" si="17">P43-O43</f>
        <v>2.5178350000000016</v>
      </c>
      <c r="R43" s="320"/>
      <c r="S43" s="320"/>
      <c r="T43" s="320"/>
      <c r="U43" s="466" t="s">
        <v>196</v>
      </c>
      <c r="V43" s="320"/>
      <c r="W43" s="320"/>
      <c r="X43" s="320"/>
      <c r="Y43" s="320"/>
      <c r="Z43" s="320"/>
      <c r="AA43" s="320"/>
      <c r="AB43" s="320"/>
      <c r="AE43" s="466" t="s">
        <v>196</v>
      </c>
    </row>
    <row r="44" spans="2:38" s="47" customFormat="1">
      <c r="B44" s="320"/>
      <c r="C44" s="320"/>
      <c r="D44" s="332">
        <v>15</v>
      </c>
      <c r="E44" s="333">
        <v>133</v>
      </c>
      <c r="F44" s="333">
        <v>23.741071600000001</v>
      </c>
      <c r="G44" s="411">
        <v>26.454798369999999</v>
      </c>
      <c r="H44" s="334">
        <f t="shared" si="16"/>
        <v>2.7137267699999974</v>
      </c>
      <c r="I44" s="320"/>
      <c r="J44" s="320"/>
      <c r="K44" s="320"/>
      <c r="L44" s="320"/>
      <c r="M44" s="332">
        <v>15</v>
      </c>
      <c r="N44" s="333">
        <v>133</v>
      </c>
      <c r="O44" s="333">
        <v>24.089758790000001</v>
      </c>
      <c r="P44" s="411">
        <v>26.62318179</v>
      </c>
      <c r="Q44" s="334">
        <f t="shared" si="17"/>
        <v>2.5334229999999991</v>
      </c>
      <c r="R44" s="320"/>
      <c r="S44" s="320">
        <f>AVERAGE(Q44,Q46)</f>
        <v>2.5321654999999996</v>
      </c>
      <c r="T44" s="320" t="s">
        <v>98</v>
      </c>
      <c r="U44" s="320">
        <v>0.1351</v>
      </c>
      <c r="V44" s="462">
        <v>15</v>
      </c>
      <c r="W44" s="463">
        <v>133</v>
      </c>
      <c r="X44" s="463">
        <v>24.42363795</v>
      </c>
      <c r="Y44" s="413">
        <v>27.041472949999999</v>
      </c>
      <c r="Z44" s="328">
        <f>Y44-X44</f>
        <v>2.6178349999999995</v>
      </c>
      <c r="AA44" s="320"/>
      <c r="AB44" s="320"/>
      <c r="AE44" s="320">
        <v>0.16009999999999999</v>
      </c>
      <c r="AF44" s="462">
        <v>15</v>
      </c>
      <c r="AG44" s="463">
        <v>133</v>
      </c>
      <c r="AH44" s="463">
        <v>23.7298458</v>
      </c>
      <c r="AI44" s="413">
        <v>26.279315799999999</v>
      </c>
      <c r="AJ44" s="328">
        <f>AI44-AH44</f>
        <v>2.5494699999999995</v>
      </c>
    </row>
    <row r="45" spans="2:38" s="47" customFormat="1">
      <c r="B45" s="320"/>
      <c r="C45" s="320">
        <f>0.102</f>
        <v>0.10199999999999999</v>
      </c>
      <c r="D45" s="462">
        <v>15</v>
      </c>
      <c r="E45" s="463">
        <v>133</v>
      </c>
      <c r="F45" s="330">
        <v>23.890939320000001</v>
      </c>
      <c r="G45" s="320">
        <v>26.60044478</v>
      </c>
      <c r="H45" s="328">
        <f t="shared" si="16"/>
        <v>2.709505459999999</v>
      </c>
      <c r="I45" s="320"/>
      <c r="J45" s="320"/>
      <c r="K45" s="320"/>
      <c r="L45" s="320">
        <v>0.1144</v>
      </c>
      <c r="M45" s="462">
        <v>15</v>
      </c>
      <c r="N45" s="463">
        <v>133</v>
      </c>
      <c r="O45" s="330">
        <v>24.198630399999999</v>
      </c>
      <c r="P45" s="320">
        <v>26.7221704</v>
      </c>
      <c r="Q45" s="328">
        <f t="shared" si="17"/>
        <v>2.5235400000000006</v>
      </c>
      <c r="R45" s="320"/>
      <c r="S45" s="320">
        <f>_xlfn.STDEV.S(Q44,Q46)</f>
        <v>1.7783735546834138E-3</v>
      </c>
      <c r="T45" s="320"/>
      <c r="U45" s="320"/>
      <c r="V45" s="332">
        <v>15</v>
      </c>
      <c r="W45" s="333">
        <v>133</v>
      </c>
      <c r="X45" s="333">
        <v>24.089758790000001</v>
      </c>
      <c r="Y45" s="411">
        <v>26.6831815</v>
      </c>
      <c r="Z45" s="334">
        <f>Y45-X45</f>
        <v>2.5934227099999987</v>
      </c>
      <c r="AA45" s="320"/>
      <c r="AB45" s="320"/>
      <c r="AF45" s="332">
        <v>15</v>
      </c>
      <c r="AG45" s="333">
        <v>133</v>
      </c>
      <c r="AH45" s="333">
        <v>23.75268724</v>
      </c>
      <c r="AI45" s="411">
        <v>26.269297139999999</v>
      </c>
      <c r="AJ45" s="334">
        <f>AI45-AH45</f>
        <v>2.5166098999999988</v>
      </c>
    </row>
    <row r="46" spans="2:38" s="47" customFormat="1">
      <c r="B46" s="320"/>
      <c r="C46" s="320"/>
      <c r="D46" s="332">
        <v>15</v>
      </c>
      <c r="E46" s="333">
        <v>133</v>
      </c>
      <c r="F46" s="333">
        <v>23.716740999999999</v>
      </c>
      <c r="G46" s="411">
        <v>26.454798369999999</v>
      </c>
      <c r="H46" s="334">
        <f t="shared" si="16"/>
        <v>2.7380573699999999</v>
      </c>
      <c r="I46" s="320"/>
      <c r="J46" s="320"/>
      <c r="K46" s="320"/>
      <c r="L46" s="320"/>
      <c r="M46" s="332">
        <v>15</v>
      </c>
      <c r="N46" s="333">
        <v>133</v>
      </c>
      <c r="O46" s="333">
        <v>24.093204679999999</v>
      </c>
      <c r="P46" s="411">
        <v>26.62411268</v>
      </c>
      <c r="Q46" s="334">
        <f t="shared" si="17"/>
        <v>2.5309080000000002</v>
      </c>
      <c r="R46" s="320"/>
      <c r="S46" s="320"/>
      <c r="T46" s="320"/>
      <c r="U46" s="320">
        <v>0.13420000000000001</v>
      </c>
      <c r="V46" s="462">
        <v>15</v>
      </c>
      <c r="W46" s="463">
        <v>133</v>
      </c>
      <c r="X46" s="330">
        <v>24.198630399999999</v>
      </c>
      <c r="Y46" s="320">
        <v>26.872170399999998</v>
      </c>
      <c r="Z46" s="328">
        <f>Y46-X46</f>
        <v>2.6735399999999991</v>
      </c>
      <c r="AA46" s="320"/>
      <c r="AB46" s="320"/>
      <c r="AE46" s="320">
        <v>0.16170000000000001</v>
      </c>
      <c r="AF46" s="462">
        <v>15</v>
      </c>
      <c r="AG46" s="463">
        <v>133</v>
      </c>
      <c r="AH46" s="330">
        <v>24.291483270000001</v>
      </c>
      <c r="AI46" s="320">
        <v>26.96502327</v>
      </c>
      <c r="AJ46" s="328">
        <f>AI46-AH46</f>
        <v>2.6735399999999991</v>
      </c>
    </row>
    <row r="47" spans="2:38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332">
        <v>15</v>
      </c>
      <c r="W47" s="333">
        <v>133</v>
      </c>
      <c r="X47" s="333">
        <v>24.093204679999999</v>
      </c>
      <c r="Y47" s="411">
        <v>26.724112819999998</v>
      </c>
      <c r="Z47" s="334">
        <f>Y47-X47</f>
        <v>2.630908139999999</v>
      </c>
      <c r="AA47" s="320"/>
      <c r="AB47" s="320"/>
      <c r="AC47" s="47"/>
      <c r="AD47" s="47"/>
      <c r="AE47" s="47"/>
      <c r="AF47" s="332">
        <v>15</v>
      </c>
      <c r="AG47" s="333">
        <v>133</v>
      </c>
      <c r="AH47" s="333">
        <v>24.230679389999999</v>
      </c>
      <c r="AI47" s="411">
        <v>26.893401409999999</v>
      </c>
      <c r="AJ47" s="334">
        <f>AI47-AH47</f>
        <v>2.6627220200000004</v>
      </c>
      <c r="AK47" s="440"/>
      <c r="AL47" s="440"/>
    </row>
    <row r="48" spans="2:38">
      <c r="B48" s="13"/>
      <c r="C48" s="13"/>
      <c r="D48" s="13"/>
      <c r="E48" s="13"/>
      <c r="F48" s="13"/>
      <c r="G48" s="13"/>
      <c r="H48" s="13"/>
      <c r="I48" s="13" t="s">
        <v>120</v>
      </c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</row>
    <row r="49" spans="2:28">
      <c r="B49" s="13"/>
      <c r="C49" s="13"/>
      <c r="D49" s="13"/>
      <c r="E49" s="13"/>
      <c r="F49" s="13"/>
      <c r="G49" s="13"/>
      <c r="H49" s="13" t="s">
        <v>189</v>
      </c>
      <c r="I49" s="13" t="s">
        <v>117</v>
      </c>
      <c r="J49" s="13" t="s">
        <v>118</v>
      </c>
      <c r="K49" s="13" t="s">
        <v>119</v>
      </c>
      <c r="L49" s="13" t="s">
        <v>121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</row>
    <row r="50" spans="2:28">
      <c r="B50" s="13"/>
      <c r="C50" s="13"/>
      <c r="D50" s="13"/>
      <c r="E50" s="13"/>
      <c r="F50" s="13"/>
      <c r="G50" s="13"/>
      <c r="H50" s="13">
        <v>0</v>
      </c>
      <c r="I50" s="13">
        <v>23.584329997559195</v>
      </c>
      <c r="J50" s="13">
        <v>24.098047560337029</v>
      </c>
      <c r="K50" s="13">
        <v>23.677834789623898</v>
      </c>
      <c r="L50" s="13">
        <v>23.749919161195717</v>
      </c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</row>
    <row r="51" spans="2:28">
      <c r="B51" s="13"/>
      <c r="C51" s="13"/>
      <c r="D51" s="13"/>
      <c r="E51" s="13"/>
      <c r="F51" s="13"/>
      <c r="G51" s="13"/>
      <c r="H51" s="13">
        <v>5</v>
      </c>
      <c r="I51" s="13">
        <v>23.5792077230935</v>
      </c>
      <c r="J51" s="13">
        <v>24.920032913686804</v>
      </c>
      <c r="K51" s="13">
        <v>23.714249504461861</v>
      </c>
      <c r="L51" s="13">
        <v>24.410971964059602</v>
      </c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</row>
    <row r="52" spans="2:28">
      <c r="B52" s="13"/>
      <c r="C52" s="13"/>
      <c r="D52" s="13"/>
      <c r="E52" s="13"/>
      <c r="F52" s="13"/>
      <c r="G52" s="13"/>
      <c r="H52" s="13">
        <v>10</v>
      </c>
      <c r="I52" s="13">
        <v>23.620279051082068</v>
      </c>
      <c r="J52" s="13">
        <v>25.628676302950172</v>
      </c>
      <c r="K52" s="13">
        <v>23.5851681879263</v>
      </c>
      <c r="L52" s="13">
        <v>24.751090988581844</v>
      </c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</row>
    <row r="53" spans="2:28">
      <c r="B53" s="13"/>
      <c r="C53" s="13"/>
      <c r="D53" s="13"/>
      <c r="E53" s="13"/>
      <c r="F53" s="13"/>
      <c r="G53" s="13"/>
      <c r="H53" s="13">
        <v>15</v>
      </c>
      <c r="I53" s="13">
        <v>23.581908558720855</v>
      </c>
      <c r="J53" s="13">
        <v>25.626161731848807</v>
      </c>
      <c r="K53" s="13">
        <v>23.74414496088891</v>
      </c>
      <c r="L53" s="13">
        <v>25.09074435178902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</row>
    <row r="54" spans="2:28">
      <c r="B54" s="13"/>
      <c r="C54" s="13"/>
      <c r="D54" s="13"/>
      <c r="E54" s="13"/>
      <c r="F54" s="13"/>
      <c r="G54" s="13"/>
      <c r="H54" s="13">
        <v>20</v>
      </c>
      <c r="I54" s="13">
        <v>23.590104197865976</v>
      </c>
      <c r="J54" s="13">
        <v>25.962741730376589</v>
      </c>
      <c r="K54" s="13">
        <v>23.755134567924408</v>
      </c>
      <c r="L54" s="13">
        <v>25.085435812797304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</row>
    <row r="55" spans="2:28">
      <c r="B55" s="13"/>
      <c r="C55" s="13"/>
      <c r="D55" s="13"/>
      <c r="E55" s="13"/>
      <c r="F55" s="13"/>
      <c r="G55" s="13"/>
      <c r="H55" s="13">
        <v>25</v>
      </c>
      <c r="I55" s="13">
        <v>23.580977236090728</v>
      </c>
      <c r="J55" s="13">
        <v>25.990681409280388</v>
      </c>
      <c r="K55" s="13">
        <v>23.735856189480792</v>
      </c>
      <c r="L55" s="13">
        <v>25.204179448138447</v>
      </c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</row>
    <row r="56" spans="2:28">
      <c r="B56" s="13"/>
      <c r="C56" s="13"/>
      <c r="D56" s="13"/>
      <c r="E56" s="13"/>
      <c r="F56" s="13"/>
      <c r="G56" s="13"/>
      <c r="H56" s="13">
        <v>30</v>
      </c>
      <c r="I56" s="13">
        <v>23.658277014391238</v>
      </c>
      <c r="J56" s="13">
        <v>26.306213516367293</v>
      </c>
      <c r="K56" s="13">
        <v>23.761653826335294</v>
      </c>
      <c r="L56" s="13">
        <v>25.439990338086506</v>
      </c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</row>
    <row r="57" spans="2:28">
      <c r="B57" s="13"/>
      <c r="C57" s="13"/>
      <c r="D57" s="13"/>
      <c r="E57" s="13"/>
      <c r="F57" s="13"/>
      <c r="G57" s="13"/>
      <c r="H57" s="13">
        <v>35</v>
      </c>
      <c r="I57" s="13">
        <v>23.57240906789357</v>
      </c>
      <c r="J57" s="13">
        <v>26.311428923095988</v>
      </c>
      <c r="K57" s="13">
        <v>23.754668906609346</v>
      </c>
      <c r="L57" s="13">
        <v>25.440455999401568</v>
      </c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</row>
    <row r="58" spans="2:28">
      <c r="B58" s="13"/>
      <c r="C58" s="13"/>
      <c r="D58" s="13"/>
      <c r="E58" s="13"/>
      <c r="F58" s="13"/>
      <c r="G58" s="13"/>
      <c r="H58" s="13">
        <v>40</v>
      </c>
      <c r="I58" s="13">
        <v>23.572688464682614</v>
      </c>
      <c r="J58" s="13">
        <v>26.444794323730143</v>
      </c>
      <c r="K58" s="13">
        <v>23.755600229239473</v>
      </c>
      <c r="L58" s="13">
        <v>25.43067711178524</v>
      </c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</row>
    <row r="59" spans="2:28">
      <c r="B59" s="13"/>
      <c r="C59" s="13"/>
      <c r="D59" s="13"/>
      <c r="E59" s="13"/>
      <c r="F59" s="13"/>
      <c r="G59" s="13"/>
      <c r="H59" s="13">
        <v>45</v>
      </c>
      <c r="I59" s="13">
        <v>23.658277014391238</v>
      </c>
      <c r="J59" s="13">
        <v>26.639813282478649</v>
      </c>
      <c r="K59" s="13">
        <v>23.7565315518696</v>
      </c>
      <c r="L59" s="13">
        <v>25.499315589625567</v>
      </c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</row>
    <row r="60" spans="2:28">
      <c r="B60" s="13"/>
      <c r="C60" s="13"/>
      <c r="D60" s="13"/>
      <c r="E60" s="13"/>
      <c r="F60" s="13"/>
      <c r="G60" s="13"/>
      <c r="H60" s="13">
        <v>50</v>
      </c>
      <c r="I60" s="13">
        <v>23.681187551092364</v>
      </c>
      <c r="J60" s="13">
        <v>26.647636392571702</v>
      </c>
      <c r="K60" s="13">
        <v>23.720209969294661</v>
      </c>
      <c r="L60" s="13">
        <v>25.612191892396908</v>
      </c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</row>
    <row r="61" spans="2:28">
      <c r="B61" s="13"/>
      <c r="C61" s="13"/>
      <c r="D61" s="13"/>
      <c r="E61" s="13"/>
      <c r="F61" s="13"/>
      <c r="G61" s="13"/>
      <c r="H61" s="13">
        <v>55</v>
      </c>
      <c r="I61" s="13">
        <v>23.587217097712571</v>
      </c>
      <c r="J61" s="13">
        <v>26.64065147284575</v>
      </c>
      <c r="K61" s="13">
        <v>23.752806261349093</v>
      </c>
      <c r="L61" s="13">
        <v>25.54038691761416</v>
      </c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</row>
    <row r="62" spans="2:28">
      <c r="B62" s="13"/>
      <c r="C62" s="13"/>
      <c r="D62" s="13"/>
      <c r="E62" s="13"/>
      <c r="F62" s="13"/>
      <c r="G62" s="13"/>
      <c r="H62" s="13">
        <v>60</v>
      </c>
      <c r="I62" s="13">
        <v>23.655762443289902</v>
      </c>
      <c r="J62" s="13">
        <v>26.723818583716064</v>
      </c>
      <c r="K62" s="13">
        <v>23.755600229239473</v>
      </c>
      <c r="L62" s="13">
        <v>25.614613331235248</v>
      </c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</row>
    <row r="63" spans="2:28">
      <c r="B63" s="13"/>
      <c r="C63" s="13"/>
      <c r="D63" s="13"/>
      <c r="E63" s="13"/>
      <c r="F63" s="13"/>
      <c r="G63" s="13"/>
      <c r="H63" s="13">
        <v>65</v>
      </c>
      <c r="I63" s="13">
        <v>23.759604916549023</v>
      </c>
      <c r="J63" s="13">
        <v>26.971643535592772</v>
      </c>
      <c r="K63" s="13">
        <v>23.753271922664155</v>
      </c>
      <c r="L63" s="13">
        <v>25.613495744079103</v>
      </c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</row>
    <row r="64" spans="2:28">
      <c r="B64" s="13"/>
      <c r="C64" s="13"/>
      <c r="D64" s="13"/>
      <c r="E64" s="13"/>
      <c r="F64" s="13"/>
      <c r="G64" s="13"/>
      <c r="H64" s="13">
        <v>70</v>
      </c>
      <c r="I64" s="13">
        <v>23.715832752933071</v>
      </c>
      <c r="J64" s="13">
        <v>26.98617216862273</v>
      </c>
      <c r="K64" s="13">
        <v>23.74693892877929</v>
      </c>
      <c r="L64" s="13">
        <v>25.611353702029806</v>
      </c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</row>
    <row r="65" spans="2:28">
      <c r="B65" s="13"/>
      <c r="C65" s="13"/>
      <c r="D65" s="13"/>
      <c r="E65" s="13"/>
      <c r="F65" s="13"/>
      <c r="G65" s="13"/>
      <c r="H65" s="13">
        <v>75</v>
      </c>
      <c r="I65" s="13">
        <v>23.697206300330539</v>
      </c>
      <c r="J65" s="13">
        <v>26.984123258836458</v>
      </c>
      <c r="K65" s="13">
        <v>23.751409277403901</v>
      </c>
      <c r="L65" s="13">
        <v>25.794451731112712</v>
      </c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</row>
    <row r="66" spans="2:28">
      <c r="B66" s="13"/>
      <c r="C66" s="13"/>
      <c r="D66" s="13"/>
      <c r="E66" s="13"/>
      <c r="F66" s="13"/>
      <c r="G66" s="13"/>
      <c r="H66" s="13">
        <v>80</v>
      </c>
      <c r="I66" s="13">
        <v>23.755227700187433</v>
      </c>
      <c r="J66" s="13">
        <v>26.985892771833715</v>
      </c>
      <c r="K66" s="13">
        <v>23.753178790401158</v>
      </c>
      <c r="L66" s="13">
        <v>25.951472726552044</v>
      </c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</row>
    <row r="67" spans="2:28">
      <c r="B67" s="13"/>
      <c r="C67" s="13"/>
      <c r="D67" s="13"/>
      <c r="E67" s="13"/>
      <c r="F67" s="13"/>
      <c r="G67" s="13"/>
      <c r="H67" s="13">
        <v>85</v>
      </c>
      <c r="I67" s="13">
        <v>23.75895299070794</v>
      </c>
      <c r="J67" s="13">
        <v>27.227570994351574</v>
      </c>
      <c r="K67" s="13">
        <v>23.752713129086096</v>
      </c>
      <c r="L67" s="13">
        <v>25.952869710497236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</row>
    <row r="68" spans="2:28">
      <c r="B68" s="13"/>
      <c r="C68" s="13"/>
      <c r="D68" s="13"/>
      <c r="E68" s="13"/>
      <c r="F68" s="13"/>
      <c r="G68" s="13"/>
      <c r="H68" s="13">
        <v>90</v>
      </c>
      <c r="I68" s="13">
        <v>23.758673593918896</v>
      </c>
      <c r="J68" s="13">
        <v>27.31334580858622</v>
      </c>
      <c r="K68" s="13">
        <v>23.750012293458713</v>
      </c>
      <c r="L68" s="13">
        <v>25.951007065236983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</row>
    <row r="69" spans="2:28">
      <c r="B69" s="13"/>
      <c r="C69" s="13"/>
      <c r="D69" s="13"/>
      <c r="E69" s="13"/>
      <c r="F69" s="13"/>
      <c r="G69" s="13"/>
      <c r="H69" s="13">
        <v>95</v>
      </c>
      <c r="I69" s="13">
        <v>23.761374429546251</v>
      </c>
      <c r="J69" s="13">
        <v>27.319492537945067</v>
      </c>
      <c r="K69" s="13">
        <v>23.74693892877929</v>
      </c>
      <c r="L69" s="13">
        <v>25.94076251630559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</row>
    <row r="70" spans="2:28">
      <c r="B70" s="13"/>
      <c r="C70" s="13"/>
      <c r="D70" s="13"/>
      <c r="E70" s="13"/>
      <c r="F70" s="13"/>
      <c r="G70" s="13"/>
      <c r="H70" s="13">
        <v>100</v>
      </c>
      <c r="I70" s="13">
        <v>23.759791181075041</v>
      </c>
      <c r="J70" s="13">
        <v>27.318374950788922</v>
      </c>
      <c r="K70" s="13">
        <v>23.753551319453198</v>
      </c>
      <c r="L70" s="13">
        <v>25.945232864930201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</row>
    <row r="71" spans="2:28">
      <c r="B71" s="13"/>
      <c r="C71" s="13"/>
      <c r="D71" s="13"/>
      <c r="E71" s="13"/>
      <c r="F71" s="13"/>
      <c r="G71" s="13"/>
      <c r="H71" s="13">
        <v>105</v>
      </c>
      <c r="I71" s="13">
        <v>23.760722503705168</v>
      </c>
      <c r="J71" s="13">
        <v>27.314370263479372</v>
      </c>
      <c r="K71" s="13">
        <v>23.754855171135365</v>
      </c>
      <c r="L71" s="13">
        <v>25.943929013248034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</row>
    <row r="72" spans="2:28">
      <c r="B72" s="13"/>
      <c r="C72" s="13"/>
      <c r="D72" s="13"/>
      <c r="E72" s="13"/>
      <c r="F72" s="13"/>
      <c r="G72" s="13"/>
      <c r="H72" s="13">
        <v>110</v>
      </c>
      <c r="I72" s="13">
        <v>23.749080970828587</v>
      </c>
      <c r="J72" s="13">
        <v>27.312693882745137</v>
      </c>
      <c r="K72" s="13">
        <v>23.91951301214176</v>
      </c>
      <c r="L72" s="13">
        <v>26.083161746451967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</row>
    <row r="73" spans="2:28">
      <c r="B73" s="13"/>
      <c r="C73" s="13"/>
      <c r="D73" s="13"/>
      <c r="E73" s="13"/>
      <c r="F73" s="13"/>
      <c r="G73" s="13"/>
      <c r="H73" s="13">
        <v>115</v>
      </c>
      <c r="I73" s="13">
        <v>23.751595541929923</v>
      </c>
      <c r="J73" s="13">
        <v>27.306360888860272</v>
      </c>
      <c r="K73" s="13">
        <v>23.748615309513522</v>
      </c>
      <c r="L73" s="13">
        <v>25.944301542300074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</row>
    <row r="74" spans="2:28">
      <c r="B74" s="13"/>
      <c r="C74" s="13"/>
      <c r="D74" s="13"/>
      <c r="E74" s="13"/>
      <c r="F74" s="13"/>
      <c r="G74" s="13"/>
      <c r="H74" s="13">
        <v>120</v>
      </c>
      <c r="I74" s="13">
        <v>23.749919161195717</v>
      </c>
      <c r="J74" s="13">
        <v>27.313532073112267</v>
      </c>
      <c r="K74" s="13">
        <v>23.750012293458713</v>
      </c>
      <c r="L74" s="13">
        <v>26.00688642304458</v>
      </c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</row>
    <row r="75" spans="2:28">
      <c r="B75" s="13"/>
      <c r="C75" s="13"/>
      <c r="D75" s="13"/>
      <c r="E75" s="13"/>
      <c r="F75" s="13"/>
      <c r="G75" s="13"/>
      <c r="H75" s="13" t="s">
        <v>205</v>
      </c>
      <c r="I75" s="13">
        <f>I74-I50</f>
        <v>0.16558916363652187</v>
      </c>
      <c r="J75" s="13">
        <f>J74-J50</f>
        <v>3.2154845127752374</v>
      </c>
      <c r="K75" s="13">
        <f>K74-K50</f>
        <v>7.2177503834815582E-2</v>
      </c>
      <c r="L75" s="13">
        <f>L74-L50</f>
        <v>2.2569672618488639</v>
      </c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</row>
  </sheetData>
  <mergeCells count="1">
    <mergeCell ref="X5:AE5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3"/>
  <sheetViews>
    <sheetView workbookViewId="0">
      <selection activeCell="B50" sqref="B50"/>
    </sheetView>
  </sheetViews>
  <sheetFormatPr defaultColWidth="9" defaultRowHeight="15"/>
  <cols>
    <col min="1" max="25" width="9" style="320"/>
    <col min="26" max="26" width="9.42578125" style="320" customWidth="1"/>
    <col min="27" max="27" width="7.7109375" style="320" customWidth="1"/>
    <col min="28" max="16384" width="9" style="320"/>
  </cols>
  <sheetData>
    <row r="1" spans="1:27">
      <c r="A1" s="320" t="s">
        <v>176</v>
      </c>
    </row>
    <row r="2" spans="1:27">
      <c r="A2" s="467">
        <v>42411</v>
      </c>
      <c r="B2" s="468" t="s">
        <v>177</v>
      </c>
      <c r="C2" s="468"/>
    </row>
    <row r="3" spans="1:27" ht="18.75">
      <c r="C3" s="320" t="s">
        <v>178</v>
      </c>
      <c r="D3" s="323" t="s">
        <v>0</v>
      </c>
      <c r="E3" s="324" t="s">
        <v>1</v>
      </c>
      <c r="F3" s="324" t="s">
        <v>49</v>
      </c>
      <c r="G3" s="324" t="s">
        <v>6</v>
      </c>
      <c r="H3" s="325" t="s">
        <v>7</v>
      </c>
      <c r="J3" s="66"/>
    </row>
    <row r="4" spans="1:27">
      <c r="B4" s="68" t="s">
        <v>179</v>
      </c>
      <c r="C4" s="320">
        <f>0.0435</f>
        <v>4.3499999999999997E-2</v>
      </c>
      <c r="D4" s="462">
        <v>20</v>
      </c>
      <c r="E4" s="463">
        <v>100</v>
      </c>
      <c r="F4" s="330">
        <v>21.678378235005049</v>
      </c>
      <c r="G4" s="320">
        <v>22.343576958392699</v>
      </c>
      <c r="H4" s="328">
        <f t="shared" ref="H4:H10" si="0">G4-F4</f>
        <v>0.6651987233876504</v>
      </c>
    </row>
    <row r="5" spans="1:27">
      <c r="D5" s="329">
        <v>15</v>
      </c>
      <c r="E5" s="330">
        <v>133</v>
      </c>
      <c r="F5" s="330">
        <v>21.67223151</v>
      </c>
      <c r="G5" s="320">
        <v>22.54208684</v>
      </c>
      <c r="H5" s="331">
        <f t="shared" si="0"/>
        <v>0.86985533000000004</v>
      </c>
    </row>
    <row r="6" spans="1:27">
      <c r="D6" s="332">
        <v>15</v>
      </c>
      <c r="E6" s="333">
        <v>133</v>
      </c>
      <c r="F6" s="333">
        <v>21.678378240000001</v>
      </c>
      <c r="G6" s="411">
        <v>22.55093441</v>
      </c>
      <c r="H6" s="334">
        <f t="shared" si="0"/>
        <v>0.8725561699999993</v>
      </c>
    </row>
    <row r="7" spans="1:27">
      <c r="C7" s="320">
        <f>0.0469-0.0009</f>
        <v>4.5999999999999999E-2</v>
      </c>
      <c r="D7" s="462">
        <v>20</v>
      </c>
      <c r="E7" s="463">
        <v>100</v>
      </c>
      <c r="F7" s="330">
        <v>21.849182809999999</v>
      </c>
      <c r="G7" s="320">
        <v>22.544415149999999</v>
      </c>
      <c r="H7" s="328">
        <f t="shared" si="0"/>
        <v>0.69523234000000045</v>
      </c>
    </row>
    <row r="8" spans="1:27">
      <c r="D8" s="329">
        <v>15</v>
      </c>
      <c r="E8" s="330">
        <v>133</v>
      </c>
      <c r="F8" s="333">
        <v>21.841266560000001</v>
      </c>
      <c r="G8" s="411">
        <v>22.664693929999999</v>
      </c>
      <c r="H8" s="331">
        <f t="shared" si="0"/>
        <v>0.82342736999999744</v>
      </c>
    </row>
    <row r="9" spans="1:27">
      <c r="C9" s="320">
        <f>0.0444-0.0023</f>
        <v>4.2099999999999999E-2</v>
      </c>
      <c r="D9" s="462">
        <v>20</v>
      </c>
      <c r="E9" s="463">
        <v>100</v>
      </c>
      <c r="F9" s="330">
        <v>21.846481969999999</v>
      </c>
      <c r="G9" s="320">
        <v>22.517427770000001</v>
      </c>
      <c r="H9" s="328">
        <f t="shared" si="0"/>
        <v>0.67094580000000192</v>
      </c>
    </row>
    <row r="10" spans="1:27">
      <c r="D10" s="332">
        <v>15</v>
      </c>
      <c r="E10" s="333">
        <v>133</v>
      </c>
      <c r="F10" s="333">
        <v>21.933840029999999</v>
      </c>
      <c r="G10" s="411">
        <v>22.746464060000001</v>
      </c>
      <c r="H10" s="334">
        <f t="shared" si="0"/>
        <v>0.81262403000000205</v>
      </c>
    </row>
    <row r="12" spans="1:27" ht="18.75">
      <c r="B12" s="68" t="s">
        <v>180</v>
      </c>
      <c r="C12" s="320" t="s">
        <v>178</v>
      </c>
      <c r="D12" s="323" t="s">
        <v>0</v>
      </c>
      <c r="E12" s="324" t="s">
        <v>1</v>
      </c>
      <c r="F12" s="324" t="s">
        <v>49</v>
      </c>
      <c r="G12" s="324" t="s">
        <v>6</v>
      </c>
      <c r="H12" s="325" t="s">
        <v>7</v>
      </c>
    </row>
    <row r="13" spans="1:27">
      <c r="C13" s="320">
        <f>0.1009-0.0042</f>
        <v>9.6700000000000008E-2</v>
      </c>
      <c r="D13" s="462">
        <v>15</v>
      </c>
      <c r="E13" s="463">
        <v>133</v>
      </c>
      <c r="F13" s="330">
        <v>22.20215408</v>
      </c>
      <c r="G13" s="320">
        <v>23.227726560000001</v>
      </c>
      <c r="H13" s="328">
        <f>G13-F13</f>
        <v>1.025572480000001</v>
      </c>
    </row>
    <row r="14" spans="1:27">
      <c r="C14" s="320">
        <v>9.8400000000000001E-2</v>
      </c>
      <c r="D14" s="332">
        <v>15</v>
      </c>
      <c r="E14" s="333">
        <v>133</v>
      </c>
      <c r="F14" s="333">
        <v>22.20178155</v>
      </c>
      <c r="G14" s="411">
        <v>23.422883680000002</v>
      </c>
      <c r="H14" s="334">
        <f>G14-F14</f>
        <v>1.221102130000002</v>
      </c>
    </row>
    <row r="16" spans="1:27">
      <c r="X16" s="464"/>
      <c r="Y16" s="464"/>
      <c r="Z16" s="464"/>
      <c r="AA16" s="464"/>
    </row>
    <row r="17" spans="1:26" ht="15.75">
      <c r="B17" s="68" t="s">
        <v>181</v>
      </c>
      <c r="I17" s="68"/>
      <c r="J17" s="469" t="s">
        <v>185</v>
      </c>
      <c r="K17" s="68"/>
      <c r="S17" s="469" t="s">
        <v>241</v>
      </c>
    </row>
    <row r="18" spans="1:26" ht="18.75">
      <c r="D18" s="323" t="s">
        <v>0</v>
      </c>
      <c r="E18" s="324" t="s">
        <v>1</v>
      </c>
      <c r="F18" s="324" t="s">
        <v>49</v>
      </c>
      <c r="G18" s="324" t="s">
        <v>6</v>
      </c>
      <c r="H18" s="325" t="s">
        <v>7</v>
      </c>
      <c r="L18" s="323" t="s">
        <v>0</v>
      </c>
      <c r="M18" s="324" t="s">
        <v>1</v>
      </c>
      <c r="N18" s="324" t="s">
        <v>49</v>
      </c>
      <c r="O18" s="324" t="s">
        <v>6</v>
      </c>
      <c r="P18" s="325" t="s">
        <v>7</v>
      </c>
      <c r="Q18" s="45"/>
      <c r="U18" s="323" t="s">
        <v>0</v>
      </c>
      <c r="V18" s="324" t="s">
        <v>1</v>
      </c>
      <c r="W18" s="324" t="s">
        <v>49</v>
      </c>
      <c r="X18" s="324" t="s">
        <v>6</v>
      </c>
      <c r="Y18" s="325" t="s">
        <v>7</v>
      </c>
    </row>
    <row r="19" spans="1:26">
      <c r="A19" s="320" t="s">
        <v>184</v>
      </c>
      <c r="B19" s="466" t="s">
        <v>99</v>
      </c>
      <c r="C19" s="320">
        <f>0.0458-0.0024</f>
        <v>4.3400000000000001E-2</v>
      </c>
      <c r="D19" s="462">
        <v>15</v>
      </c>
      <c r="E19" s="463">
        <v>133</v>
      </c>
      <c r="F19" s="330">
        <v>21.34021499</v>
      </c>
      <c r="G19" s="320">
        <v>22.492849150000001</v>
      </c>
      <c r="H19" s="328">
        <f>G19-F19</f>
        <v>1.1526341600000016</v>
      </c>
      <c r="I19" s="320" t="s">
        <v>184</v>
      </c>
      <c r="J19" s="320" t="s">
        <v>99</v>
      </c>
      <c r="K19" s="320">
        <f>0.0457-0.0025</f>
        <v>4.3199999999999995E-2</v>
      </c>
      <c r="L19" s="462">
        <v>15</v>
      </c>
      <c r="M19" s="463">
        <v>133</v>
      </c>
      <c r="N19" s="330">
        <v>22.242107823020675</v>
      </c>
      <c r="O19" s="320">
        <v>22.89889749</v>
      </c>
      <c r="P19" s="328">
        <f>O19-N19</f>
        <v>0.65678966697932495</v>
      </c>
      <c r="Q19" s="330"/>
      <c r="R19" s="320" t="s">
        <v>184</v>
      </c>
      <c r="S19" s="320" t="s">
        <v>100</v>
      </c>
      <c r="T19" s="320">
        <f>0.042</f>
        <v>4.2000000000000003E-2</v>
      </c>
      <c r="U19" s="462">
        <v>20</v>
      </c>
      <c r="V19" s="463">
        <v>100</v>
      </c>
      <c r="W19" s="330">
        <v>22.198056260000001</v>
      </c>
      <c r="X19" s="320">
        <v>25.424040210000001</v>
      </c>
      <c r="Y19" s="328">
        <f>X19-W19</f>
        <v>3.2259839499999998</v>
      </c>
    </row>
    <row r="20" spans="1:26">
      <c r="A20" s="320" t="s">
        <v>183</v>
      </c>
      <c r="B20" s="466">
        <f>0.3*0.1</f>
        <v>0.03</v>
      </c>
      <c r="D20" s="332">
        <v>15</v>
      </c>
      <c r="E20" s="333">
        <v>133</v>
      </c>
      <c r="F20" s="333">
        <v>22.14972062</v>
      </c>
      <c r="G20" s="411">
        <v>23.084254779999998</v>
      </c>
      <c r="H20" s="334">
        <f>G20-F20</f>
        <v>0.93453415999999834</v>
      </c>
      <c r="I20" s="320" t="s">
        <v>188</v>
      </c>
      <c r="J20" s="466">
        <f>0.3*0.1</f>
        <v>0.03</v>
      </c>
      <c r="L20" s="332">
        <v>15</v>
      </c>
      <c r="M20" s="333">
        <v>133</v>
      </c>
      <c r="N20" s="333">
        <v>22.208393940000001</v>
      </c>
      <c r="O20" s="411">
        <v>22.948808939999999</v>
      </c>
      <c r="P20" s="334">
        <f>O20-N20</f>
        <v>0.74041499999999871</v>
      </c>
      <c r="R20" s="320" t="s">
        <v>187</v>
      </c>
      <c r="S20" s="320">
        <v>0.24</v>
      </c>
      <c r="U20" s="332">
        <v>15</v>
      </c>
      <c r="V20" s="333">
        <v>133</v>
      </c>
      <c r="W20" s="333">
        <v>22.172631150000001</v>
      </c>
      <c r="X20" s="411">
        <v>25.369615100000001</v>
      </c>
      <c r="Y20" s="334">
        <f>X20-W20</f>
        <v>3.1969839499999999</v>
      </c>
    </row>
    <row r="21" spans="1:26">
      <c r="B21" s="466"/>
      <c r="C21" s="320">
        <f>0.0431-0.0014</f>
        <v>4.1700000000000001E-2</v>
      </c>
      <c r="D21" s="462">
        <v>15</v>
      </c>
      <c r="E21" s="463">
        <v>133</v>
      </c>
      <c r="F21" s="330">
        <v>21.349341949999999</v>
      </c>
      <c r="G21" s="320">
        <v>22.509595040000001</v>
      </c>
      <c r="H21" s="328">
        <f>G21-F21</f>
        <v>1.1602530900000012</v>
      </c>
      <c r="K21" s="320">
        <f>0.0411-0.001</f>
        <v>4.0099999999999997E-2</v>
      </c>
      <c r="L21" s="462">
        <v>15</v>
      </c>
      <c r="M21" s="463">
        <v>133</v>
      </c>
      <c r="N21" s="330">
        <v>22.242107820000001</v>
      </c>
      <c r="O21" s="320">
        <v>23.10327474</v>
      </c>
      <c r="P21" s="328">
        <f>O21-N21</f>
        <v>0.86116691999999873</v>
      </c>
      <c r="Q21" s="330"/>
      <c r="T21" s="320">
        <f>0.0441-0.0001</f>
        <v>4.3999999999999997E-2</v>
      </c>
      <c r="U21" s="462">
        <v>20</v>
      </c>
      <c r="V21" s="463">
        <v>100</v>
      </c>
      <c r="W21" s="330">
        <v>22.19451724</v>
      </c>
      <c r="X21" s="320">
        <v>25.483201019999999</v>
      </c>
      <c r="Y21" s="328">
        <f>X21-W21</f>
        <v>3.2886837799999995</v>
      </c>
    </row>
    <row r="22" spans="1:26">
      <c r="B22" s="466"/>
      <c r="D22" s="332">
        <v>15</v>
      </c>
      <c r="E22" s="333">
        <v>133</v>
      </c>
      <c r="F22" s="333">
        <v>22.164714910000001</v>
      </c>
      <c r="G22" s="411">
        <v>22.893567999999998</v>
      </c>
      <c r="H22" s="334">
        <f>G22-F22</f>
        <v>0.72885308999999765</v>
      </c>
      <c r="L22" s="332">
        <v>15</v>
      </c>
      <c r="M22" s="333">
        <v>133</v>
      </c>
      <c r="N22" s="333">
        <v>22.205672939999999</v>
      </c>
      <c r="O22" s="411">
        <v>23.068502939999998</v>
      </c>
      <c r="P22" s="334">
        <f>O22-N22</f>
        <v>0.86282999999999888</v>
      </c>
      <c r="U22" s="332">
        <v>15</v>
      </c>
      <c r="V22" s="333">
        <v>133</v>
      </c>
      <c r="W22" s="333">
        <v>22.20122276</v>
      </c>
      <c r="X22" s="411">
        <v>25.476906540000002</v>
      </c>
      <c r="Y22" s="334">
        <f>X22-W22</f>
        <v>3.2756837800000014</v>
      </c>
    </row>
    <row r="23" spans="1:26">
      <c r="B23" s="466"/>
    </row>
    <row r="24" spans="1:26" ht="18.75">
      <c r="A24" s="320" t="s">
        <v>182</v>
      </c>
      <c r="B24" s="466" t="s">
        <v>101</v>
      </c>
      <c r="D24" s="323" t="s">
        <v>0</v>
      </c>
      <c r="E24" s="324" t="s">
        <v>1</v>
      </c>
      <c r="F24" s="324" t="s">
        <v>49</v>
      </c>
      <c r="G24" s="324" t="s">
        <v>6</v>
      </c>
      <c r="H24" s="325" t="s">
        <v>7</v>
      </c>
      <c r="L24" s="323" t="s">
        <v>0</v>
      </c>
      <c r="M24" s="324" t="s">
        <v>1</v>
      </c>
      <c r="N24" s="324" t="s">
        <v>49</v>
      </c>
      <c r="O24" s="324" t="s">
        <v>6</v>
      </c>
      <c r="P24" s="325" t="s">
        <v>7</v>
      </c>
      <c r="Q24" s="45"/>
    </row>
    <row r="25" spans="1:26" ht="18.75">
      <c r="A25" s="320" t="s">
        <v>183</v>
      </c>
      <c r="B25" s="466">
        <f>0.3*0.3</f>
        <v>0.09</v>
      </c>
      <c r="C25" s="320">
        <f>0.0451-0.0003</f>
        <v>4.48E-2</v>
      </c>
      <c r="D25" s="462">
        <v>15</v>
      </c>
      <c r="E25" s="463">
        <v>133</v>
      </c>
      <c r="F25" s="330">
        <v>21.349062549999999</v>
      </c>
      <c r="G25" s="320">
        <v>23.75262</v>
      </c>
      <c r="H25" s="328">
        <f>G25-F25</f>
        <v>2.403557450000001</v>
      </c>
      <c r="I25" s="320" t="s">
        <v>182</v>
      </c>
      <c r="J25" s="320" t="s">
        <v>101</v>
      </c>
      <c r="K25" s="320">
        <f>0.0434-0.0009</f>
        <v>4.2500000000000003E-2</v>
      </c>
      <c r="L25" s="462">
        <v>15</v>
      </c>
      <c r="M25" s="463">
        <v>133</v>
      </c>
      <c r="N25" s="330">
        <v>21.684152439999998</v>
      </c>
      <c r="O25" s="320">
        <v>24.043527439999998</v>
      </c>
      <c r="P25" s="328">
        <f>O25-N25</f>
        <v>2.359375</v>
      </c>
      <c r="Q25" s="330"/>
      <c r="R25" s="320" t="s">
        <v>184</v>
      </c>
      <c r="S25" s="320" t="s">
        <v>74</v>
      </c>
      <c r="U25" s="323" t="s">
        <v>0</v>
      </c>
      <c r="V25" s="324" t="s">
        <v>1</v>
      </c>
      <c r="W25" s="324" t="s">
        <v>49</v>
      </c>
      <c r="X25" s="324" t="s">
        <v>6</v>
      </c>
      <c r="Y25" s="325" t="s">
        <v>7</v>
      </c>
    </row>
    <row r="26" spans="1:26">
      <c r="B26" s="466"/>
      <c r="D26" s="332">
        <v>15</v>
      </c>
      <c r="E26" s="333">
        <v>133</v>
      </c>
      <c r="F26" s="333">
        <v>22.198056260000001</v>
      </c>
      <c r="G26" s="411">
        <v>25.25870368</v>
      </c>
      <c r="H26" s="334">
        <f>G26-F26</f>
        <v>3.0606474199999987</v>
      </c>
      <c r="I26" s="320" t="s">
        <v>188</v>
      </c>
      <c r="J26" s="466">
        <f>0.3*0.3</f>
        <v>0.09</v>
      </c>
      <c r="L26" s="332">
        <v>15</v>
      </c>
      <c r="M26" s="333">
        <v>133</v>
      </c>
      <c r="N26" s="333">
        <v>22.214633809999999</v>
      </c>
      <c r="O26" s="411">
        <v>24.449008323200001</v>
      </c>
      <c r="P26" s="334">
        <f>O26-N26</f>
        <v>2.2343745132000024</v>
      </c>
      <c r="R26" s="320" t="s">
        <v>187</v>
      </c>
      <c r="S26" s="320">
        <v>0.09</v>
      </c>
      <c r="T26" s="320">
        <f>0.0394</f>
        <v>3.9399999999999998E-2</v>
      </c>
      <c r="U26" s="462">
        <v>20</v>
      </c>
      <c r="V26" s="463">
        <v>100</v>
      </c>
      <c r="W26" s="330">
        <v>22.534263729999999</v>
      </c>
      <c r="X26" s="320">
        <v>23.978551009999997</v>
      </c>
      <c r="Y26" s="328">
        <f>X26-W26</f>
        <v>1.4442872799999975</v>
      </c>
    </row>
    <row r="27" spans="1:26">
      <c r="B27" s="466"/>
      <c r="C27" s="320">
        <f>0.045-0.0002</f>
        <v>4.48E-2</v>
      </c>
      <c r="D27" s="462">
        <v>15</v>
      </c>
      <c r="E27" s="463">
        <v>133</v>
      </c>
      <c r="F27" s="330">
        <v>21.348317489999999</v>
      </c>
      <c r="G27" s="320">
        <v>24.18228109</v>
      </c>
      <c r="H27" s="328">
        <f>G27-F27</f>
        <v>2.8339636000000006</v>
      </c>
      <c r="K27" s="320">
        <f>0.046-0.0019</f>
        <v>4.41E-2</v>
      </c>
      <c r="L27" s="462">
        <v>15</v>
      </c>
      <c r="M27" s="463">
        <v>133</v>
      </c>
      <c r="N27" s="330">
        <v>21.689833499999999</v>
      </c>
      <c r="O27" s="320">
        <v>23.921763499999997</v>
      </c>
      <c r="P27" s="328">
        <f>O27-N27</f>
        <v>2.2319299999999984</v>
      </c>
      <c r="Q27" s="330"/>
      <c r="U27" s="332">
        <v>15</v>
      </c>
      <c r="V27" s="333">
        <v>133</v>
      </c>
      <c r="W27" s="333">
        <v>22.522622200000001</v>
      </c>
      <c r="X27" s="411">
        <v>23.917109480000001</v>
      </c>
      <c r="Y27" s="334">
        <f>X27-W27</f>
        <v>1.3944872799999999</v>
      </c>
    </row>
    <row r="28" spans="1:26">
      <c r="B28" s="466"/>
      <c r="D28" s="332">
        <v>15</v>
      </c>
      <c r="E28" s="333">
        <v>133</v>
      </c>
      <c r="F28" s="333">
        <v>22.017659070000001</v>
      </c>
      <c r="G28" s="411">
        <v>24.926400900000001</v>
      </c>
      <c r="H28" s="334">
        <f>G28-F28</f>
        <v>2.9087418300000003</v>
      </c>
      <c r="L28" s="332">
        <v>15</v>
      </c>
      <c r="M28" s="333">
        <v>133</v>
      </c>
      <c r="N28" s="333">
        <v>22.206158769999998</v>
      </c>
      <c r="O28" s="411">
        <v>24.325890215240001</v>
      </c>
      <c r="P28" s="334">
        <f>O28-N28</f>
        <v>2.1197314452400029</v>
      </c>
      <c r="T28" s="320">
        <f>0.0441-0.0001</f>
        <v>4.3999999999999997E-2</v>
      </c>
      <c r="U28" s="462">
        <v>20</v>
      </c>
      <c r="V28" s="463">
        <v>100</v>
      </c>
      <c r="W28" s="330">
        <v>22.534263729999999</v>
      </c>
      <c r="X28" s="320">
        <v>23.906352479999999</v>
      </c>
      <c r="Y28" s="328">
        <f>X28-W28</f>
        <v>1.3720887499999996</v>
      </c>
      <c r="Z28" s="330"/>
    </row>
    <row r="29" spans="1:26">
      <c r="B29" s="466"/>
      <c r="U29" s="332">
        <v>15</v>
      </c>
      <c r="V29" s="333">
        <v>133</v>
      </c>
      <c r="W29" s="333">
        <v>22.522622200000001</v>
      </c>
      <c r="X29" s="411">
        <v>23.881710949999999</v>
      </c>
      <c r="Y29" s="334">
        <f>X29-W29</f>
        <v>1.359088749999998</v>
      </c>
    </row>
    <row r="30" spans="1:26" ht="18.75">
      <c r="B30" s="466"/>
      <c r="D30" s="323" t="s">
        <v>0</v>
      </c>
      <c r="E30" s="324" t="s">
        <v>1</v>
      </c>
      <c r="F30" s="324" t="s">
        <v>49</v>
      </c>
      <c r="G30" s="324" t="s">
        <v>6</v>
      </c>
      <c r="H30" s="325" t="s">
        <v>7</v>
      </c>
      <c r="I30" s="320" t="s">
        <v>182</v>
      </c>
      <c r="J30" s="66" t="s">
        <v>65</v>
      </c>
      <c r="L30" s="323" t="s">
        <v>0</v>
      </c>
      <c r="M30" s="324" t="s">
        <v>1</v>
      </c>
      <c r="N30" s="324" t="s">
        <v>49</v>
      </c>
      <c r="O30" s="324" t="s">
        <v>6</v>
      </c>
      <c r="P30" s="325" t="s">
        <v>7</v>
      </c>
      <c r="Q30" s="45"/>
    </row>
    <row r="31" spans="1:26">
      <c r="A31" s="320" t="s">
        <v>182</v>
      </c>
      <c r="B31" s="466" t="s">
        <v>65</v>
      </c>
      <c r="C31" s="320">
        <f>0.0464-0.0008</f>
        <v>4.5599999999999995E-2</v>
      </c>
      <c r="D31" s="462">
        <v>15</v>
      </c>
      <c r="E31" s="463">
        <v>133</v>
      </c>
      <c r="F31" s="330">
        <v>21.683686770000001</v>
      </c>
      <c r="G31" s="320">
        <v>26.1956691</v>
      </c>
      <c r="H31" s="328">
        <f>G31-F31</f>
        <v>4.5119823299999986</v>
      </c>
      <c r="I31" s="320" t="s">
        <v>188</v>
      </c>
      <c r="J31" s="466">
        <f>0.3*0.5</f>
        <v>0.15</v>
      </c>
      <c r="K31" s="320">
        <f>0.04-0.0011</f>
        <v>3.8900000000000004E-2</v>
      </c>
      <c r="L31" s="462">
        <v>15</v>
      </c>
      <c r="M31" s="463">
        <v>133</v>
      </c>
      <c r="N31" s="330">
        <v>21.711067660000001</v>
      </c>
      <c r="O31" s="320">
        <v>24.915047660000003</v>
      </c>
      <c r="P31" s="328">
        <f>O31-N31</f>
        <v>3.2039800000000014</v>
      </c>
      <c r="Q31" s="330"/>
    </row>
    <row r="32" spans="1:26" ht="18.75">
      <c r="A32" s="320" t="s">
        <v>183</v>
      </c>
      <c r="B32" s="466">
        <f>0.3*0.5</f>
        <v>0.15</v>
      </c>
      <c r="D32" s="332">
        <v>15</v>
      </c>
      <c r="E32" s="333">
        <v>133</v>
      </c>
      <c r="F32" s="333">
        <v>22.381713085276672</v>
      </c>
      <c r="G32" s="411">
        <v>27.23710118</v>
      </c>
      <c r="H32" s="334">
        <f>G32-F32</f>
        <v>4.8553880947233274</v>
      </c>
      <c r="L32" s="332">
        <v>15</v>
      </c>
      <c r="M32" s="333">
        <v>133</v>
      </c>
      <c r="N32" s="333">
        <v>22.47288957</v>
      </c>
      <c r="O32" s="411">
        <v>25.623069950000001</v>
      </c>
      <c r="P32" s="334">
        <f>O32-N32</f>
        <v>3.1501803800000019</v>
      </c>
      <c r="R32" s="320" t="s">
        <v>184</v>
      </c>
      <c r="S32" s="320" t="s">
        <v>124</v>
      </c>
      <c r="U32" s="323" t="s">
        <v>0</v>
      </c>
      <c r="V32" s="324" t="s">
        <v>1</v>
      </c>
      <c r="W32" s="324" t="s">
        <v>49</v>
      </c>
      <c r="X32" s="324" t="s">
        <v>6</v>
      </c>
      <c r="Y32" s="325" t="s">
        <v>7</v>
      </c>
    </row>
    <row r="33" spans="1:26">
      <c r="B33" s="466"/>
      <c r="C33" s="320">
        <f>0.0462-0.0002</f>
        <v>4.5999999999999999E-2</v>
      </c>
      <c r="D33" s="462">
        <v>15</v>
      </c>
      <c r="E33" s="463">
        <v>133</v>
      </c>
      <c r="F33" s="330">
        <v>21.677260650000001</v>
      </c>
      <c r="G33" s="320">
        <v>25.297870499999998</v>
      </c>
      <c r="H33" s="328">
        <f>G33-F33</f>
        <v>3.6206098499999975</v>
      </c>
      <c r="K33" s="320">
        <f>0.0407-0.0003</f>
        <v>4.0399999999999998E-2</v>
      </c>
      <c r="L33" s="462">
        <v>15</v>
      </c>
      <c r="M33" s="463">
        <v>133</v>
      </c>
      <c r="N33" s="330">
        <v>21.855050139999999</v>
      </c>
      <c r="O33" s="320">
        <v>25.203586139999999</v>
      </c>
      <c r="P33" s="328">
        <f>O33-N33</f>
        <v>3.3485359999999993</v>
      </c>
      <c r="Q33" s="330"/>
      <c r="R33" s="320" t="s">
        <v>187</v>
      </c>
      <c r="S33" s="320">
        <v>0.39</v>
      </c>
      <c r="T33" s="320">
        <f>0.0448</f>
        <v>4.48E-2</v>
      </c>
      <c r="U33" s="462">
        <v>20</v>
      </c>
      <c r="V33" s="463">
        <v>100</v>
      </c>
      <c r="W33" s="330">
        <v>22.534263729999999</v>
      </c>
      <c r="X33" s="320">
        <v>27.929189699999998</v>
      </c>
      <c r="Y33" s="328">
        <f>X33-W33</f>
        <v>5.3949259699999992</v>
      </c>
    </row>
    <row r="34" spans="1:26">
      <c r="B34" s="466"/>
      <c r="D34" s="332">
        <v>15</v>
      </c>
      <c r="E34" s="333">
        <v>133</v>
      </c>
      <c r="F34" s="333">
        <v>22.19256146</v>
      </c>
      <c r="G34" s="411">
        <v>26.580278060000001</v>
      </c>
      <c r="H34" s="334">
        <f>G34-F34</f>
        <v>4.387716600000001</v>
      </c>
      <c r="L34" s="332">
        <v>15</v>
      </c>
      <c r="M34" s="333">
        <v>133</v>
      </c>
      <c r="N34" s="333">
        <v>21.856912779999998</v>
      </c>
      <c r="O34" s="411">
        <v>24.963648500000001</v>
      </c>
      <c r="P34" s="334">
        <f>O34-N34</f>
        <v>3.1067357200000032</v>
      </c>
      <c r="U34" s="332">
        <v>15</v>
      </c>
      <c r="V34" s="333">
        <v>133</v>
      </c>
      <c r="W34" s="333">
        <v>22.522622200000001</v>
      </c>
      <c r="X34" s="411">
        <v>27.910948170000001</v>
      </c>
      <c r="Y34" s="334">
        <f>X34-W34</f>
        <v>5.3883259700000004</v>
      </c>
    </row>
    <row r="35" spans="1:26">
      <c r="B35" s="466"/>
      <c r="T35" s="320">
        <f>0.0461-0.0001</f>
        <v>4.5999999999999999E-2</v>
      </c>
      <c r="U35" s="462">
        <v>20</v>
      </c>
      <c r="V35" s="463">
        <v>100</v>
      </c>
      <c r="W35" s="330">
        <v>22.534263729999999</v>
      </c>
      <c r="X35" s="320">
        <v>27.890352479999997</v>
      </c>
      <c r="Y35" s="328">
        <f>X35-W35</f>
        <v>5.3560887499999978</v>
      </c>
    </row>
    <row r="36" spans="1:26" ht="18.75">
      <c r="A36" s="320" t="s">
        <v>182</v>
      </c>
      <c r="B36" s="466" t="s">
        <v>78</v>
      </c>
      <c r="D36" s="323" t="s">
        <v>0</v>
      </c>
      <c r="E36" s="324" t="s">
        <v>1</v>
      </c>
      <c r="F36" s="324" t="s">
        <v>49</v>
      </c>
      <c r="G36" s="324" t="s">
        <v>6</v>
      </c>
      <c r="H36" s="325" t="s">
        <v>7</v>
      </c>
      <c r="I36" s="320" t="s">
        <v>182</v>
      </c>
      <c r="J36" s="66" t="s">
        <v>78</v>
      </c>
      <c r="L36" s="323" t="s">
        <v>0</v>
      </c>
      <c r="M36" s="324" t="s">
        <v>1</v>
      </c>
      <c r="N36" s="324" t="s">
        <v>49</v>
      </c>
      <c r="O36" s="324" t="s">
        <v>6</v>
      </c>
      <c r="P36" s="325" t="s">
        <v>7</v>
      </c>
      <c r="Q36" s="45"/>
      <c r="U36" s="332">
        <v>15</v>
      </c>
      <c r="V36" s="333">
        <v>133</v>
      </c>
      <c r="W36" s="333">
        <v>22.522622200000001</v>
      </c>
      <c r="X36" s="411">
        <v>27.80171095</v>
      </c>
      <c r="Y36" s="334">
        <f>X36-W36</f>
        <v>5.2790887499999997</v>
      </c>
    </row>
    <row r="37" spans="1:26">
      <c r="A37" s="320" t="s">
        <v>183</v>
      </c>
      <c r="B37" s="466">
        <f>0.3*0.8</f>
        <v>0.24</v>
      </c>
      <c r="C37" s="320">
        <f>0.048-0.0002</f>
        <v>4.7800000000000002E-2</v>
      </c>
      <c r="D37" s="462">
        <v>15</v>
      </c>
      <c r="E37" s="463">
        <v>133</v>
      </c>
      <c r="F37" s="330">
        <v>21.637865699999999</v>
      </c>
      <c r="G37" s="320">
        <v>29.19675956</v>
      </c>
      <c r="H37" s="328">
        <f>G37-F37</f>
        <v>7.5588938600000013</v>
      </c>
      <c r="I37" s="320" t="s">
        <v>188</v>
      </c>
      <c r="J37" s="466">
        <f>0.3*0.8</f>
        <v>0.24</v>
      </c>
      <c r="K37" s="320">
        <f>0.0464-0.0014</f>
        <v>4.4999999999999998E-2</v>
      </c>
      <c r="L37" s="462">
        <v>15</v>
      </c>
      <c r="M37" s="463">
        <v>133</v>
      </c>
      <c r="N37" s="330">
        <v>21.867995520000001</v>
      </c>
      <c r="O37" s="320">
        <v>27.094501520000001</v>
      </c>
      <c r="P37" s="328">
        <f>O37-N37</f>
        <v>5.2265060000000005</v>
      </c>
      <c r="Q37" s="330"/>
    </row>
    <row r="38" spans="1:26" ht="18.75">
      <c r="D38" s="332">
        <v>15</v>
      </c>
      <c r="E38" s="333">
        <v>133</v>
      </c>
      <c r="F38" s="333">
        <v>22.210908509999999</v>
      </c>
      <c r="G38" s="411">
        <v>30.46192246</v>
      </c>
      <c r="H38" s="334">
        <f>G38-F38</f>
        <v>8.2510139500000008</v>
      </c>
      <c r="L38" s="332">
        <v>15</v>
      </c>
      <c r="M38" s="333">
        <v>133</v>
      </c>
      <c r="N38" s="333">
        <v>22.535660719999999</v>
      </c>
      <c r="O38" s="411">
        <v>27.657166401000001</v>
      </c>
      <c r="P38" s="334">
        <f>O38-N38</f>
        <v>5.1215056810000021</v>
      </c>
      <c r="R38" s="320" t="s">
        <v>184</v>
      </c>
      <c r="S38" s="320" t="s">
        <v>104</v>
      </c>
      <c r="U38" s="323" t="s">
        <v>0</v>
      </c>
      <c r="V38" s="324" t="s">
        <v>1</v>
      </c>
      <c r="W38" s="324" t="s">
        <v>49</v>
      </c>
      <c r="X38" s="324" t="s">
        <v>6</v>
      </c>
      <c r="Y38" s="325" t="s">
        <v>7</v>
      </c>
    </row>
    <row r="39" spans="1:26">
      <c r="B39" s="466"/>
      <c r="C39" s="320">
        <f>0.0462-0.0008</f>
        <v>4.5399999999999996E-2</v>
      </c>
      <c r="D39" s="462">
        <v>15</v>
      </c>
      <c r="E39" s="463">
        <v>133</v>
      </c>
      <c r="F39" s="330">
        <v>21.637865699999999</v>
      </c>
      <c r="G39" s="320">
        <v>29.19675956</v>
      </c>
      <c r="H39" s="328">
        <f>G39-F39</f>
        <v>7.5588938600000013</v>
      </c>
      <c r="K39" s="320">
        <v>4.3400000000000001E-2</v>
      </c>
      <c r="L39" s="462">
        <v>15</v>
      </c>
      <c r="M39" s="463">
        <v>133</v>
      </c>
      <c r="N39" s="330">
        <v>21.867995520000001</v>
      </c>
      <c r="O39" s="320">
        <v>27.01538652</v>
      </c>
      <c r="P39" s="328">
        <f>O39-N39</f>
        <v>5.1473909999999989</v>
      </c>
      <c r="Q39" s="330"/>
      <c r="R39" s="320" t="s">
        <v>187</v>
      </c>
      <c r="S39" s="320">
        <v>0.54</v>
      </c>
      <c r="T39" s="320">
        <f>0.0456</f>
        <v>4.5600000000000002E-2</v>
      </c>
      <c r="U39" s="462">
        <v>20</v>
      </c>
      <c r="V39" s="463">
        <v>100</v>
      </c>
      <c r="W39" s="330">
        <v>22.534263729999999</v>
      </c>
      <c r="X39" s="320">
        <v>29.262936347</v>
      </c>
      <c r="Y39" s="328">
        <f>X39-W39</f>
        <v>6.7286726170000009</v>
      </c>
    </row>
    <row r="40" spans="1:26">
      <c r="B40" s="466"/>
      <c r="D40" s="332">
        <v>15</v>
      </c>
      <c r="E40" s="333">
        <v>133</v>
      </c>
      <c r="F40" s="333">
        <v>22.209085120000001</v>
      </c>
      <c r="G40" s="411">
        <v>30.196619224599999</v>
      </c>
      <c r="H40" s="334">
        <f>G40-F40</f>
        <v>7.9875341045999981</v>
      </c>
      <c r="L40" s="332">
        <v>15</v>
      </c>
      <c r="M40" s="333">
        <v>133</v>
      </c>
      <c r="N40" s="333">
        <v>22.56607253</v>
      </c>
      <c r="O40" s="411">
        <v>27.671664010000001</v>
      </c>
      <c r="P40" s="334">
        <f>O40-N40</f>
        <v>5.1055914800000011</v>
      </c>
      <c r="U40" s="332">
        <v>15</v>
      </c>
      <c r="V40" s="333">
        <v>133</v>
      </c>
      <c r="W40" s="333">
        <v>22.522622200000001</v>
      </c>
      <c r="X40" s="411">
        <v>28.851094817</v>
      </c>
      <c r="Y40" s="334">
        <f>X40-W40</f>
        <v>6.3284726169999992</v>
      </c>
    </row>
    <row r="41" spans="1:26">
      <c r="B41" s="466"/>
      <c r="T41" s="320">
        <f>0.0453-0.0009</f>
        <v>4.4400000000000002E-2</v>
      </c>
      <c r="U41" s="462">
        <v>20</v>
      </c>
      <c r="V41" s="463">
        <v>100</v>
      </c>
      <c r="W41" s="330">
        <v>22.534263729999999</v>
      </c>
      <c r="X41" s="320">
        <v>28.903152479999999</v>
      </c>
      <c r="Y41" s="328">
        <f>X41-W41</f>
        <v>6.36888875</v>
      </c>
      <c r="Z41" s="330"/>
    </row>
    <row r="42" spans="1:26" ht="18.75">
      <c r="A42" s="320" t="s">
        <v>182</v>
      </c>
      <c r="B42" s="466" t="s">
        <v>102</v>
      </c>
      <c r="D42" s="323" t="s">
        <v>0</v>
      </c>
      <c r="E42" s="324" t="s">
        <v>1</v>
      </c>
      <c r="F42" s="324" t="s">
        <v>49</v>
      </c>
      <c r="G42" s="324" t="s">
        <v>6</v>
      </c>
      <c r="H42" s="325" t="s">
        <v>7</v>
      </c>
      <c r="I42" s="320" t="s">
        <v>182</v>
      </c>
      <c r="J42" s="66" t="s">
        <v>66</v>
      </c>
      <c r="L42" s="323" t="s">
        <v>0</v>
      </c>
      <c r="M42" s="324" t="s">
        <v>1</v>
      </c>
      <c r="N42" s="324" t="s">
        <v>49</v>
      </c>
      <c r="O42" s="324" t="s">
        <v>6</v>
      </c>
      <c r="P42" s="325" t="s">
        <v>7</v>
      </c>
      <c r="Q42" s="45"/>
      <c r="U42" s="332">
        <v>15</v>
      </c>
      <c r="V42" s="333">
        <v>133</v>
      </c>
      <c r="W42" s="333">
        <v>22.522622200000001</v>
      </c>
      <c r="X42" s="411">
        <v>28.881710949999999</v>
      </c>
      <c r="Y42" s="334">
        <f>X42-W42</f>
        <v>6.359088749999998</v>
      </c>
    </row>
    <row r="43" spans="1:26">
      <c r="A43" s="320" t="s">
        <v>183</v>
      </c>
      <c r="B43" s="466">
        <f>0.3*0.05</f>
        <v>1.4999999999999999E-2</v>
      </c>
      <c r="C43" s="320">
        <f>0.0407-0.0002</f>
        <v>4.0500000000000001E-2</v>
      </c>
      <c r="D43" s="462">
        <v>15</v>
      </c>
      <c r="E43" s="463">
        <v>133</v>
      </c>
      <c r="F43" s="330">
        <v>21.693558790000001</v>
      </c>
      <c r="G43" s="320">
        <v>22.456389890000001</v>
      </c>
      <c r="H43" s="328">
        <f>G43-F43</f>
        <v>0.76283109999999965</v>
      </c>
      <c r="I43" s="320" t="s">
        <v>188</v>
      </c>
      <c r="J43" s="421">
        <v>0.3</v>
      </c>
      <c r="K43" s="320">
        <f>0.0456-0.0003</f>
        <v>4.53E-2</v>
      </c>
      <c r="L43" s="462">
        <v>15</v>
      </c>
      <c r="M43" s="463">
        <v>133</v>
      </c>
      <c r="N43" s="330">
        <v>21.855143269999999</v>
      </c>
      <c r="O43" s="320">
        <v>28.46334027</v>
      </c>
      <c r="P43" s="328">
        <f>O43-N43</f>
        <v>6.6081970000000005</v>
      </c>
      <c r="Q43" s="330"/>
    </row>
    <row r="44" spans="1:26" ht="18.75">
      <c r="D44" s="332">
        <v>15</v>
      </c>
      <c r="E44" s="333">
        <v>133</v>
      </c>
      <c r="F44" s="333">
        <v>22.545439600000002</v>
      </c>
      <c r="G44" s="411">
        <v>23.088400700000001</v>
      </c>
      <c r="H44" s="334">
        <f>G44-F44</f>
        <v>0.54296109999999942</v>
      </c>
      <c r="L44" s="332">
        <v>15</v>
      </c>
      <c r="M44" s="333">
        <v>133</v>
      </c>
      <c r="N44" s="333">
        <v>22.544601409999999</v>
      </c>
      <c r="O44" s="411">
        <v>28.750198560000001</v>
      </c>
      <c r="P44" s="334">
        <f>O44-N44</f>
        <v>6.2055971500000027</v>
      </c>
      <c r="R44" s="320" t="s">
        <v>184</v>
      </c>
      <c r="S44" s="320" t="s">
        <v>67</v>
      </c>
      <c r="U44" s="323" t="s">
        <v>0</v>
      </c>
      <c r="V44" s="324" t="s">
        <v>1</v>
      </c>
      <c r="W44" s="324" t="s">
        <v>49</v>
      </c>
      <c r="X44" s="324" t="s">
        <v>6</v>
      </c>
      <c r="Y44" s="325" t="s">
        <v>7</v>
      </c>
    </row>
    <row r="45" spans="1:26">
      <c r="C45" s="320">
        <f>0.0407-0.0007</f>
        <v>0.04</v>
      </c>
      <c r="D45" s="462">
        <v>20</v>
      </c>
      <c r="E45" s="463">
        <v>100</v>
      </c>
      <c r="F45" s="330">
        <v>22.556894870000001</v>
      </c>
      <c r="G45" s="320">
        <v>23.298876539999998</v>
      </c>
      <c r="H45" s="328">
        <f>G45-F45</f>
        <v>0.74198166999999771</v>
      </c>
      <c r="K45" s="320">
        <f>0.0447-0</f>
        <v>4.4699999999999997E-2</v>
      </c>
      <c r="L45" s="462">
        <v>15</v>
      </c>
      <c r="M45" s="463">
        <v>133</v>
      </c>
      <c r="N45" s="330">
        <v>21.84489872</v>
      </c>
      <c r="O45" s="320">
        <v>28.62907272</v>
      </c>
      <c r="P45" s="328">
        <f>O45-N45</f>
        <v>6.7841740000000001</v>
      </c>
      <c r="Q45" s="330"/>
      <c r="R45" s="320" t="s">
        <v>187</v>
      </c>
      <c r="S45" s="320">
        <v>0.6</v>
      </c>
      <c r="T45" s="320">
        <f>0.0447</f>
        <v>4.4699999999999997E-2</v>
      </c>
      <c r="U45" s="462">
        <v>20</v>
      </c>
      <c r="V45" s="463">
        <v>100</v>
      </c>
      <c r="W45" s="330">
        <v>22.534263729999999</v>
      </c>
      <c r="X45" s="320">
        <v>31.267216638999997</v>
      </c>
      <c r="Y45" s="328">
        <f>X45-W45</f>
        <v>8.732952908999998</v>
      </c>
    </row>
    <row r="46" spans="1:26">
      <c r="D46" s="332">
        <v>15</v>
      </c>
      <c r="E46" s="333">
        <v>133</v>
      </c>
      <c r="F46" s="333">
        <v>21.683966170000001</v>
      </c>
      <c r="G46" s="411">
        <v>22.392432500000002</v>
      </c>
      <c r="H46" s="334">
        <f>G46-F46</f>
        <v>0.70846633000000026</v>
      </c>
      <c r="L46" s="332">
        <v>15</v>
      </c>
      <c r="M46" s="333">
        <v>133</v>
      </c>
      <c r="N46" s="333">
        <v>22.20280601</v>
      </c>
      <c r="O46" s="411">
        <v>28.579580249999999</v>
      </c>
      <c r="P46" s="334">
        <f>O46-N46</f>
        <v>6.3767742399999996</v>
      </c>
      <c r="U46" s="332">
        <v>15</v>
      </c>
      <c r="V46" s="333">
        <v>133</v>
      </c>
      <c r="W46" s="333">
        <v>22.522622200000001</v>
      </c>
      <c r="X46" s="411">
        <v>30.848175109</v>
      </c>
      <c r="Y46" s="334">
        <f>X46-W46</f>
        <v>8.3255529089999989</v>
      </c>
    </row>
    <row r="47" spans="1:26">
      <c r="T47" s="320">
        <f>0.0458-0.0006</f>
        <v>4.5199999999999997E-2</v>
      </c>
      <c r="U47" s="462">
        <v>20</v>
      </c>
      <c r="V47" s="463">
        <v>100</v>
      </c>
      <c r="W47" s="330">
        <v>22.534263729999999</v>
      </c>
      <c r="X47" s="320">
        <v>30.896752479999996</v>
      </c>
      <c r="Y47" s="328">
        <f>X47-W47</f>
        <v>8.3624887499999971</v>
      </c>
    </row>
    <row r="48" spans="1:26" ht="15.75">
      <c r="Q48" s="45"/>
      <c r="U48" s="332">
        <v>15</v>
      </c>
      <c r="V48" s="333">
        <v>133</v>
      </c>
      <c r="W48" s="333">
        <v>22.522622200000001</v>
      </c>
      <c r="X48" s="411">
        <v>30.881710949999999</v>
      </c>
      <c r="Y48" s="334">
        <f>X48-W48</f>
        <v>8.359088749999998</v>
      </c>
    </row>
    <row r="49" spans="1:26">
      <c r="Q49" s="330"/>
    </row>
    <row r="51" spans="1:26">
      <c r="Q51" s="330"/>
    </row>
    <row r="52" spans="1:26">
      <c r="Q52" s="330"/>
    </row>
    <row r="54" spans="1:26" ht="15.75">
      <c r="Q54" s="45"/>
    </row>
    <row r="55" spans="1:26">
      <c r="Q55" s="330"/>
    </row>
    <row r="56" spans="1:26">
      <c r="Q56" s="330"/>
    </row>
    <row r="57" spans="1:26">
      <c r="Q57" s="330"/>
    </row>
    <row r="58" spans="1:26">
      <c r="Q58" s="330"/>
    </row>
    <row r="61" spans="1:26">
      <c r="C61" s="330"/>
      <c r="D61" s="330"/>
      <c r="E61" s="330"/>
      <c r="F61" s="408"/>
      <c r="G61" s="330"/>
    </row>
    <row r="62" spans="1:26" ht="15.75">
      <c r="A62" s="68" t="s">
        <v>181</v>
      </c>
      <c r="J62" s="68"/>
      <c r="K62" s="469" t="s">
        <v>185</v>
      </c>
      <c r="L62" s="68"/>
      <c r="T62" s="469" t="s">
        <v>186</v>
      </c>
    </row>
    <row r="63" spans="1:26" ht="18.75">
      <c r="D63" s="323" t="s">
        <v>0</v>
      </c>
      <c r="E63" s="324" t="s">
        <v>1</v>
      </c>
      <c r="F63" s="324" t="s">
        <v>49</v>
      </c>
      <c r="G63" s="324" t="s">
        <v>6</v>
      </c>
      <c r="H63" s="325" t="s">
        <v>7</v>
      </c>
      <c r="M63" s="323" t="s">
        <v>0</v>
      </c>
      <c r="N63" s="324" t="s">
        <v>1</v>
      </c>
      <c r="O63" s="324" t="s">
        <v>49</v>
      </c>
      <c r="P63" s="324" t="s">
        <v>6</v>
      </c>
      <c r="Q63" s="325" t="s">
        <v>7</v>
      </c>
      <c r="V63" s="323" t="s">
        <v>0</v>
      </c>
      <c r="W63" s="324" t="s">
        <v>1</v>
      </c>
      <c r="X63" s="324" t="s">
        <v>49</v>
      </c>
      <c r="Y63" s="324" t="s">
        <v>6</v>
      </c>
      <c r="Z63" s="325" t="s">
        <v>7</v>
      </c>
    </row>
    <row r="64" spans="1:26">
      <c r="A64" s="320" t="s">
        <v>184</v>
      </c>
      <c r="B64" s="466" t="s">
        <v>99</v>
      </c>
      <c r="C64" s="320">
        <f>0.0458-0.0024</f>
        <v>4.3400000000000001E-2</v>
      </c>
      <c r="D64" s="462">
        <v>15</v>
      </c>
      <c r="E64" s="463">
        <v>133</v>
      </c>
      <c r="F64" s="330">
        <v>21.34021499</v>
      </c>
      <c r="G64" s="320">
        <v>22.492849150000001</v>
      </c>
      <c r="H64" s="328">
        <f>G64-F64</f>
        <v>1.1526341600000016</v>
      </c>
      <c r="J64" s="320" t="s">
        <v>184</v>
      </c>
      <c r="K64" s="320" t="s">
        <v>99</v>
      </c>
      <c r="L64" s="320">
        <f>0.0457-0.0025</f>
        <v>4.3199999999999995E-2</v>
      </c>
      <c r="M64" s="462">
        <v>15</v>
      </c>
      <c r="N64" s="463">
        <v>133</v>
      </c>
      <c r="O64" s="330">
        <v>22.242107823020675</v>
      </c>
      <c r="P64" s="320">
        <v>22.89889749</v>
      </c>
      <c r="Q64" s="328">
        <f>P64-O64</f>
        <v>0.65678966697932495</v>
      </c>
      <c r="S64" s="320" t="s">
        <v>184</v>
      </c>
      <c r="T64" s="320" t="s">
        <v>100</v>
      </c>
      <c r="U64" s="320">
        <f>0.042</f>
        <v>4.2000000000000003E-2</v>
      </c>
      <c r="V64" s="462">
        <v>20</v>
      </c>
      <c r="W64" s="463">
        <v>100</v>
      </c>
      <c r="X64" s="330">
        <v>22.198056260000001</v>
      </c>
      <c r="Y64" s="320">
        <v>25.424040210000001</v>
      </c>
      <c r="Z64" s="328">
        <f>Y64-X64</f>
        <v>3.2259839499999998</v>
      </c>
    </row>
    <row r="65" spans="1:26">
      <c r="A65" s="320" t="s">
        <v>183</v>
      </c>
      <c r="B65" s="466">
        <f>0.3*0.1</f>
        <v>0.03</v>
      </c>
      <c r="D65" s="332">
        <v>15</v>
      </c>
      <c r="E65" s="333">
        <v>133</v>
      </c>
      <c r="F65" s="333">
        <v>22.14972062</v>
      </c>
      <c r="G65" s="411">
        <v>23.084254779999998</v>
      </c>
      <c r="H65" s="334">
        <f>G65-F65</f>
        <v>0.93453415999999834</v>
      </c>
      <c r="J65" s="320" t="s">
        <v>188</v>
      </c>
      <c r="K65" s="466">
        <f>0.3*0.1</f>
        <v>0.03</v>
      </c>
      <c r="M65" s="332">
        <v>15</v>
      </c>
      <c r="N65" s="333">
        <v>133</v>
      </c>
      <c r="O65" s="333">
        <v>22.208393940000001</v>
      </c>
      <c r="P65" s="411">
        <v>22.948808939999999</v>
      </c>
      <c r="Q65" s="334">
        <f>P65-O65</f>
        <v>0.74041499999999871</v>
      </c>
      <c r="S65" s="320" t="s">
        <v>187</v>
      </c>
      <c r="T65" s="320">
        <v>0.24</v>
      </c>
      <c r="V65" s="332">
        <v>15</v>
      </c>
      <c r="W65" s="333">
        <v>133</v>
      </c>
      <c r="X65" s="333">
        <v>22.172631150000001</v>
      </c>
      <c r="Y65" s="411">
        <v>25.369615100000001</v>
      </c>
      <c r="Z65" s="334">
        <f>Y65-X65</f>
        <v>3.1969839499999999</v>
      </c>
    </row>
    <row r="66" spans="1:26">
      <c r="B66" s="466"/>
      <c r="C66" s="320">
        <f>0.0431-0.0014</f>
        <v>4.1700000000000001E-2</v>
      </c>
      <c r="D66" s="462">
        <v>15</v>
      </c>
      <c r="E66" s="463">
        <v>133</v>
      </c>
      <c r="F66" s="330">
        <v>21.349341949999999</v>
      </c>
      <c r="G66" s="320">
        <v>22.509595040000001</v>
      </c>
      <c r="H66" s="328">
        <f>G66-F66</f>
        <v>1.1602530900000012</v>
      </c>
      <c r="L66" s="320">
        <f>0.0411-0.001</f>
        <v>4.0099999999999997E-2</v>
      </c>
      <c r="M66" s="462">
        <v>15</v>
      </c>
      <c r="N66" s="463">
        <v>133</v>
      </c>
      <c r="O66" s="330">
        <v>22.242107820000001</v>
      </c>
      <c r="P66" s="320">
        <v>23.10327474</v>
      </c>
      <c r="Q66" s="328">
        <f>P66-O66</f>
        <v>0.86116691999999873</v>
      </c>
      <c r="U66" s="320">
        <f>0.0441-0.0001</f>
        <v>4.3999999999999997E-2</v>
      </c>
      <c r="V66" s="462">
        <v>20</v>
      </c>
      <c r="W66" s="463">
        <v>100</v>
      </c>
      <c r="X66" s="330">
        <v>22.19451724</v>
      </c>
      <c r="Y66" s="320">
        <v>25.483201019999999</v>
      </c>
      <c r="Z66" s="328">
        <f>Y66-X66</f>
        <v>3.2886837799999995</v>
      </c>
    </row>
    <row r="67" spans="1:26">
      <c r="B67" s="466"/>
      <c r="D67" s="332">
        <v>15</v>
      </c>
      <c r="E67" s="333">
        <v>133</v>
      </c>
      <c r="F67" s="333">
        <v>22.164714910000001</v>
      </c>
      <c r="G67" s="411">
        <v>22.893567999999998</v>
      </c>
      <c r="H67" s="334">
        <f>G67-F67</f>
        <v>0.72885308999999765</v>
      </c>
      <c r="M67" s="332">
        <v>15</v>
      </c>
      <c r="N67" s="333">
        <v>133</v>
      </c>
      <c r="O67" s="333">
        <v>22.205672939999999</v>
      </c>
      <c r="P67" s="411">
        <v>23.068502939999998</v>
      </c>
      <c r="Q67" s="334">
        <f>P67-O67</f>
        <v>0.86282999999999888</v>
      </c>
      <c r="V67" s="332">
        <v>15</v>
      </c>
      <c r="W67" s="333">
        <v>133</v>
      </c>
      <c r="X67" s="333">
        <v>22.20122276</v>
      </c>
      <c r="Y67" s="411">
        <v>25.476906540000002</v>
      </c>
      <c r="Z67" s="334">
        <f>Y67-X67</f>
        <v>3.2756837800000014</v>
      </c>
    </row>
    <row r="68" spans="1:26">
      <c r="B68" s="466"/>
    </row>
    <row r="69" spans="1:26" ht="18.75">
      <c r="A69" s="320" t="s">
        <v>182</v>
      </c>
      <c r="B69" s="466" t="s">
        <v>101</v>
      </c>
      <c r="D69" s="323" t="s">
        <v>0</v>
      </c>
      <c r="E69" s="324" t="s">
        <v>1</v>
      </c>
      <c r="F69" s="324" t="s">
        <v>49</v>
      </c>
      <c r="G69" s="324" t="s">
        <v>6</v>
      </c>
      <c r="H69" s="325" t="s">
        <v>7</v>
      </c>
      <c r="M69" s="323" t="s">
        <v>0</v>
      </c>
      <c r="N69" s="324" t="s">
        <v>1</v>
      </c>
      <c r="O69" s="324" t="s">
        <v>49</v>
      </c>
      <c r="P69" s="324" t="s">
        <v>6</v>
      </c>
      <c r="Q69" s="325" t="s">
        <v>7</v>
      </c>
    </row>
    <row r="70" spans="1:26" ht="18.75">
      <c r="A70" s="320" t="s">
        <v>183</v>
      </c>
      <c r="B70" s="466">
        <f>0.3*0.3</f>
        <v>0.09</v>
      </c>
      <c r="C70" s="320">
        <f>0.0451-0.0003</f>
        <v>4.48E-2</v>
      </c>
      <c r="D70" s="462">
        <v>15</v>
      </c>
      <c r="E70" s="463">
        <v>133</v>
      </c>
      <c r="F70" s="330">
        <v>21.349062549999999</v>
      </c>
      <c r="G70" s="320">
        <v>23.75262</v>
      </c>
      <c r="H70" s="328">
        <f>G70-F70</f>
        <v>2.403557450000001</v>
      </c>
      <c r="J70" s="320" t="s">
        <v>182</v>
      </c>
      <c r="K70" s="320" t="s">
        <v>101</v>
      </c>
      <c r="L70" s="320">
        <f>0.0434-0.0009</f>
        <v>4.2500000000000003E-2</v>
      </c>
      <c r="M70" s="462">
        <v>15</v>
      </c>
      <c r="N70" s="463">
        <v>133</v>
      </c>
      <c r="O70" s="330">
        <v>21.684152439999998</v>
      </c>
      <c r="P70" s="320">
        <v>24.043527439999998</v>
      </c>
      <c r="Q70" s="328">
        <f>P70-O70</f>
        <v>2.359375</v>
      </c>
      <c r="S70" s="320" t="s">
        <v>184</v>
      </c>
      <c r="T70" s="320" t="s">
        <v>74</v>
      </c>
      <c r="V70" s="323" t="s">
        <v>0</v>
      </c>
      <c r="W70" s="324" t="s">
        <v>1</v>
      </c>
      <c r="X70" s="324" t="s">
        <v>49</v>
      </c>
      <c r="Y70" s="324" t="s">
        <v>6</v>
      </c>
      <c r="Z70" s="325" t="s">
        <v>7</v>
      </c>
    </row>
    <row r="71" spans="1:26">
      <c r="B71" s="466"/>
      <c r="D71" s="332">
        <v>15</v>
      </c>
      <c r="E71" s="333">
        <v>133</v>
      </c>
      <c r="F71" s="333">
        <v>22.198056260000001</v>
      </c>
      <c r="G71" s="411">
        <v>25.25870368</v>
      </c>
      <c r="H71" s="334">
        <f>G71-F71</f>
        <v>3.0606474199999987</v>
      </c>
      <c r="J71" s="320" t="s">
        <v>188</v>
      </c>
      <c r="K71" s="466">
        <f>0.3*0.3</f>
        <v>0.09</v>
      </c>
      <c r="M71" s="332">
        <v>15</v>
      </c>
      <c r="N71" s="333">
        <v>133</v>
      </c>
      <c r="O71" s="333">
        <v>22.214633809999999</v>
      </c>
      <c r="P71" s="411">
        <v>24.449008323200001</v>
      </c>
      <c r="Q71" s="334">
        <f>P71-O71</f>
        <v>2.2343745132000024</v>
      </c>
      <c r="S71" s="320" t="s">
        <v>187</v>
      </c>
      <c r="T71" s="320">
        <v>0.09</v>
      </c>
      <c r="U71" s="320">
        <f>0.0394</f>
        <v>3.9399999999999998E-2</v>
      </c>
      <c r="V71" s="462">
        <v>20</v>
      </c>
      <c r="W71" s="463">
        <v>100</v>
      </c>
      <c r="X71" s="330">
        <v>22.534263729999999</v>
      </c>
      <c r="Y71" s="320">
        <v>23.978551009999997</v>
      </c>
      <c r="Z71" s="328">
        <f>Y71-X71</f>
        <v>1.4442872799999975</v>
      </c>
    </row>
    <row r="72" spans="1:26">
      <c r="B72" s="466"/>
      <c r="C72" s="320">
        <f>0.045-0.0002</f>
        <v>4.48E-2</v>
      </c>
      <c r="D72" s="462">
        <v>15</v>
      </c>
      <c r="E72" s="463">
        <v>133</v>
      </c>
      <c r="F72" s="330">
        <v>21.348317489999999</v>
      </c>
      <c r="G72" s="320">
        <v>24.18228109</v>
      </c>
      <c r="H72" s="328">
        <f>G72-F72</f>
        <v>2.8339636000000006</v>
      </c>
      <c r="L72" s="320">
        <f>0.046-0.0019</f>
        <v>4.41E-2</v>
      </c>
      <c r="M72" s="462">
        <v>15</v>
      </c>
      <c r="N72" s="463">
        <v>133</v>
      </c>
      <c r="O72" s="330">
        <v>21.689833499999999</v>
      </c>
      <c r="P72" s="320">
        <v>23.921763499999997</v>
      </c>
      <c r="Q72" s="328">
        <f>P72-O72</f>
        <v>2.2319299999999984</v>
      </c>
      <c r="V72" s="332">
        <v>15</v>
      </c>
      <c r="W72" s="333">
        <v>133</v>
      </c>
      <c r="X72" s="333">
        <v>22.522622200000001</v>
      </c>
      <c r="Y72" s="411">
        <v>23.917109480000001</v>
      </c>
      <c r="Z72" s="334">
        <f>Y72-X72</f>
        <v>1.3944872799999999</v>
      </c>
    </row>
    <row r="73" spans="1:26">
      <c r="B73" s="466"/>
      <c r="D73" s="332">
        <v>15</v>
      </c>
      <c r="E73" s="333">
        <v>133</v>
      </c>
      <c r="F73" s="333">
        <v>22.017659070000001</v>
      </c>
      <c r="G73" s="411">
        <v>24.926400900000001</v>
      </c>
      <c r="H73" s="334">
        <f>G73-F73</f>
        <v>2.9087418300000003</v>
      </c>
      <c r="M73" s="332">
        <v>15</v>
      </c>
      <c r="N73" s="333">
        <v>133</v>
      </c>
      <c r="O73" s="333">
        <v>22.206158769999998</v>
      </c>
      <c r="P73" s="411">
        <v>24.325890215240001</v>
      </c>
      <c r="Q73" s="334">
        <f>P73-O73</f>
        <v>2.1197314452400029</v>
      </c>
      <c r="U73" s="320">
        <f>0.0441-0.0001</f>
        <v>4.3999999999999997E-2</v>
      </c>
      <c r="V73" s="462">
        <v>20</v>
      </c>
      <c r="W73" s="463">
        <v>100</v>
      </c>
      <c r="X73" s="330">
        <v>22.534263729999999</v>
      </c>
      <c r="Y73" s="320">
        <v>23.906352479999999</v>
      </c>
      <c r="Z73" s="328">
        <f>Y73-X73</f>
        <v>1.3720887499999996</v>
      </c>
    </row>
    <row r="74" spans="1:26">
      <c r="B74" s="466"/>
      <c r="V74" s="332">
        <v>15</v>
      </c>
      <c r="W74" s="333">
        <v>133</v>
      </c>
      <c r="X74" s="333">
        <v>22.522622200000001</v>
      </c>
      <c r="Y74" s="411">
        <v>23.881710949999999</v>
      </c>
      <c r="Z74" s="334">
        <f>Y74-X74</f>
        <v>1.359088749999998</v>
      </c>
    </row>
    <row r="75" spans="1:26" ht="18.75">
      <c r="B75" s="466"/>
      <c r="D75" s="323" t="s">
        <v>0</v>
      </c>
      <c r="E75" s="324" t="s">
        <v>1</v>
      </c>
      <c r="F75" s="324" t="s">
        <v>49</v>
      </c>
      <c r="G75" s="324" t="s">
        <v>6</v>
      </c>
      <c r="H75" s="325" t="s">
        <v>7</v>
      </c>
      <c r="J75" s="320" t="s">
        <v>182</v>
      </c>
      <c r="K75" s="66" t="s">
        <v>65</v>
      </c>
      <c r="M75" s="323" t="s">
        <v>0</v>
      </c>
      <c r="N75" s="324" t="s">
        <v>1</v>
      </c>
      <c r="O75" s="324" t="s">
        <v>49</v>
      </c>
      <c r="P75" s="324" t="s">
        <v>6</v>
      </c>
      <c r="Q75" s="325" t="s">
        <v>7</v>
      </c>
    </row>
    <row r="76" spans="1:26">
      <c r="A76" s="320" t="s">
        <v>182</v>
      </c>
      <c r="B76" s="466" t="s">
        <v>65</v>
      </c>
      <c r="C76" s="320">
        <f>0.0464-0.0008</f>
        <v>4.5599999999999995E-2</v>
      </c>
      <c r="D76" s="462">
        <v>15</v>
      </c>
      <c r="E76" s="463">
        <v>133</v>
      </c>
      <c r="F76" s="330">
        <v>21.683686770000001</v>
      </c>
      <c r="G76" s="320">
        <v>26.1956691</v>
      </c>
      <c r="H76" s="328">
        <f>G76-F76</f>
        <v>4.5119823299999986</v>
      </c>
      <c r="J76" s="320" t="s">
        <v>188</v>
      </c>
      <c r="K76" s="466">
        <f>0.3*0.5</f>
        <v>0.15</v>
      </c>
      <c r="L76" s="320">
        <f>0.04-0.0011</f>
        <v>3.8900000000000004E-2</v>
      </c>
      <c r="M76" s="462">
        <v>15</v>
      </c>
      <c r="N76" s="463">
        <v>133</v>
      </c>
      <c r="O76" s="330">
        <v>21.711067660000001</v>
      </c>
      <c r="P76" s="320">
        <v>24.915047660000003</v>
      </c>
      <c r="Q76" s="328">
        <f>P76-O76</f>
        <v>3.2039800000000014</v>
      </c>
    </row>
    <row r="77" spans="1:26" ht="18.75">
      <c r="A77" s="320" t="s">
        <v>183</v>
      </c>
      <c r="B77" s="466">
        <f>0.3*0.5</f>
        <v>0.15</v>
      </c>
      <c r="D77" s="332">
        <v>15</v>
      </c>
      <c r="E77" s="333">
        <v>133</v>
      </c>
      <c r="F77" s="333">
        <v>22.381713085276672</v>
      </c>
      <c r="G77" s="411">
        <v>27.23710118</v>
      </c>
      <c r="H77" s="334">
        <f>G77-F77</f>
        <v>4.8553880947233274</v>
      </c>
      <c r="M77" s="332">
        <v>15</v>
      </c>
      <c r="N77" s="333">
        <v>133</v>
      </c>
      <c r="O77" s="333">
        <v>22.47288957</v>
      </c>
      <c r="P77" s="411">
        <v>25.623069950000001</v>
      </c>
      <c r="Q77" s="334">
        <f>P77-O77</f>
        <v>3.1501803800000019</v>
      </c>
      <c r="S77" s="320" t="s">
        <v>184</v>
      </c>
      <c r="T77" s="320" t="s">
        <v>124</v>
      </c>
      <c r="V77" s="323" t="s">
        <v>0</v>
      </c>
      <c r="W77" s="324" t="s">
        <v>1</v>
      </c>
      <c r="X77" s="324" t="s">
        <v>49</v>
      </c>
      <c r="Y77" s="324" t="s">
        <v>6</v>
      </c>
      <c r="Z77" s="325" t="s">
        <v>7</v>
      </c>
    </row>
    <row r="78" spans="1:26">
      <c r="B78" s="466"/>
      <c r="C78" s="320">
        <f>0.0462-0.0002</f>
        <v>4.5999999999999999E-2</v>
      </c>
      <c r="D78" s="462">
        <v>15</v>
      </c>
      <c r="E78" s="463">
        <v>133</v>
      </c>
      <c r="F78" s="330">
        <v>21.677260650000001</v>
      </c>
      <c r="G78" s="320">
        <v>25.297870499999998</v>
      </c>
      <c r="H78" s="328">
        <f>G78-F78</f>
        <v>3.6206098499999975</v>
      </c>
      <c r="L78" s="320">
        <f>0.0407-0.0003</f>
        <v>4.0399999999999998E-2</v>
      </c>
      <c r="M78" s="462">
        <v>15</v>
      </c>
      <c r="N78" s="463">
        <v>133</v>
      </c>
      <c r="O78" s="330">
        <v>21.855050139999999</v>
      </c>
      <c r="P78" s="320">
        <v>25.203586139999999</v>
      </c>
      <c r="Q78" s="328">
        <f>P78-O78</f>
        <v>3.3485359999999993</v>
      </c>
      <c r="S78" s="320" t="s">
        <v>187</v>
      </c>
      <c r="T78" s="320">
        <v>0.39</v>
      </c>
      <c r="U78" s="320">
        <f>0.0448</f>
        <v>4.48E-2</v>
      </c>
      <c r="V78" s="462">
        <v>20</v>
      </c>
      <c r="W78" s="463">
        <v>100</v>
      </c>
      <c r="X78" s="330">
        <v>22.534263729999999</v>
      </c>
      <c r="Y78" s="320">
        <v>27.929189699999998</v>
      </c>
      <c r="Z78" s="328">
        <f>Y78-X78</f>
        <v>5.3949259699999992</v>
      </c>
    </row>
    <row r="79" spans="1:26">
      <c r="B79" s="466"/>
      <c r="D79" s="332">
        <v>15</v>
      </c>
      <c r="E79" s="333">
        <v>133</v>
      </c>
      <c r="F79" s="333">
        <v>22.19256146</v>
      </c>
      <c r="G79" s="411">
        <v>26.580278060000001</v>
      </c>
      <c r="H79" s="334">
        <f>G79-F79</f>
        <v>4.387716600000001</v>
      </c>
      <c r="M79" s="332">
        <v>15</v>
      </c>
      <c r="N79" s="333">
        <v>133</v>
      </c>
      <c r="O79" s="333">
        <v>21.856912779999998</v>
      </c>
      <c r="P79" s="411">
        <v>24.963648500000001</v>
      </c>
      <c r="Q79" s="334">
        <f>P79-O79</f>
        <v>3.1067357200000032</v>
      </c>
      <c r="V79" s="332">
        <v>15</v>
      </c>
      <c r="W79" s="333">
        <v>133</v>
      </c>
      <c r="X79" s="333">
        <v>22.522622200000001</v>
      </c>
      <c r="Y79" s="411">
        <v>27.910948170000001</v>
      </c>
      <c r="Z79" s="334">
        <f>Y79-X79</f>
        <v>5.3883259700000004</v>
      </c>
    </row>
    <row r="80" spans="1:26">
      <c r="B80" s="466"/>
      <c r="U80" s="320">
        <f>0.0461-0.0001</f>
        <v>4.5999999999999999E-2</v>
      </c>
      <c r="V80" s="462">
        <v>20</v>
      </c>
      <c r="W80" s="463">
        <v>100</v>
      </c>
      <c r="X80" s="330">
        <v>22.534263729999999</v>
      </c>
      <c r="Y80" s="320">
        <v>27.890352479999997</v>
      </c>
      <c r="Z80" s="328">
        <f>Y80-X80</f>
        <v>5.3560887499999978</v>
      </c>
    </row>
    <row r="81" spans="1:26" ht="18.75">
      <c r="A81" s="320" t="s">
        <v>182</v>
      </c>
      <c r="B81" s="466" t="s">
        <v>78</v>
      </c>
      <c r="D81" s="323" t="s">
        <v>0</v>
      </c>
      <c r="E81" s="324" t="s">
        <v>1</v>
      </c>
      <c r="F81" s="324" t="s">
        <v>49</v>
      </c>
      <c r="G81" s="324" t="s">
        <v>6</v>
      </c>
      <c r="H81" s="325" t="s">
        <v>7</v>
      </c>
      <c r="J81" s="320" t="s">
        <v>182</v>
      </c>
      <c r="K81" s="66" t="s">
        <v>78</v>
      </c>
      <c r="M81" s="323" t="s">
        <v>0</v>
      </c>
      <c r="N81" s="324" t="s">
        <v>1</v>
      </c>
      <c r="O81" s="324" t="s">
        <v>49</v>
      </c>
      <c r="P81" s="324" t="s">
        <v>6</v>
      </c>
      <c r="Q81" s="325" t="s">
        <v>7</v>
      </c>
      <c r="V81" s="332">
        <v>15</v>
      </c>
      <c r="W81" s="333">
        <v>133</v>
      </c>
      <c r="X81" s="333">
        <v>22.522622200000001</v>
      </c>
      <c r="Y81" s="411">
        <v>27.80171095</v>
      </c>
      <c r="Z81" s="334">
        <f>Y81-X81</f>
        <v>5.2790887499999997</v>
      </c>
    </row>
    <row r="82" spans="1:26">
      <c r="A82" s="320" t="s">
        <v>183</v>
      </c>
      <c r="B82" s="466">
        <f>0.3*0.8</f>
        <v>0.24</v>
      </c>
      <c r="C82" s="320">
        <f>0.048-0.0002</f>
        <v>4.7800000000000002E-2</v>
      </c>
      <c r="D82" s="462">
        <v>15</v>
      </c>
      <c r="E82" s="463">
        <v>133</v>
      </c>
      <c r="F82" s="330">
        <v>21.637865699999999</v>
      </c>
      <c r="G82" s="320">
        <v>29.19675956</v>
      </c>
      <c r="H82" s="328">
        <f>G82-F82</f>
        <v>7.5588938600000013</v>
      </c>
      <c r="J82" s="320" t="s">
        <v>188</v>
      </c>
      <c r="K82" s="466">
        <f>0.3*0.8</f>
        <v>0.24</v>
      </c>
      <c r="L82" s="320">
        <f>0.0464-0.0014</f>
        <v>4.4999999999999998E-2</v>
      </c>
      <c r="M82" s="462">
        <v>15</v>
      </c>
      <c r="N82" s="463">
        <v>133</v>
      </c>
      <c r="O82" s="330">
        <v>21.867995520000001</v>
      </c>
      <c r="P82" s="320">
        <v>27.094501520000001</v>
      </c>
      <c r="Q82" s="328">
        <f>P82-O82</f>
        <v>5.2265060000000005</v>
      </c>
    </row>
    <row r="83" spans="1:26" ht="18.75">
      <c r="D83" s="332">
        <v>15</v>
      </c>
      <c r="E83" s="333">
        <v>133</v>
      </c>
      <c r="F83" s="333">
        <v>22.210908509999999</v>
      </c>
      <c r="G83" s="411">
        <v>30.46192246</v>
      </c>
      <c r="H83" s="334">
        <f>G83-F83</f>
        <v>8.2510139500000008</v>
      </c>
      <c r="M83" s="332">
        <v>15</v>
      </c>
      <c r="N83" s="333">
        <v>133</v>
      </c>
      <c r="O83" s="333">
        <v>22.535660719999999</v>
      </c>
      <c r="P83" s="411">
        <v>27.657166401000001</v>
      </c>
      <c r="Q83" s="334">
        <f>P83-O83</f>
        <v>5.1215056810000021</v>
      </c>
      <c r="S83" s="320" t="s">
        <v>184</v>
      </c>
      <c r="T83" s="320" t="s">
        <v>104</v>
      </c>
      <c r="V83" s="323" t="s">
        <v>0</v>
      </c>
      <c r="W83" s="324" t="s">
        <v>1</v>
      </c>
      <c r="X83" s="324" t="s">
        <v>49</v>
      </c>
      <c r="Y83" s="324" t="s">
        <v>6</v>
      </c>
      <c r="Z83" s="325" t="s">
        <v>7</v>
      </c>
    </row>
    <row r="84" spans="1:26">
      <c r="B84" s="466"/>
      <c r="C84" s="320">
        <f>0.0462-0.0008</f>
        <v>4.5399999999999996E-2</v>
      </c>
      <c r="D84" s="462">
        <v>15</v>
      </c>
      <c r="E84" s="463">
        <v>133</v>
      </c>
      <c r="F84" s="330">
        <v>21.637865699999999</v>
      </c>
      <c r="G84" s="320">
        <v>29.19675956</v>
      </c>
      <c r="H84" s="328">
        <f>G84-F84</f>
        <v>7.5588938600000013</v>
      </c>
      <c r="L84" s="320">
        <f>0.0407-0.0003</f>
        <v>4.0399999999999998E-2</v>
      </c>
      <c r="M84" s="462">
        <v>15</v>
      </c>
      <c r="N84" s="463">
        <v>133</v>
      </c>
      <c r="O84" s="330">
        <v>21.867995520000001</v>
      </c>
      <c r="P84" s="320">
        <v>27.01538652</v>
      </c>
      <c r="Q84" s="328">
        <f>P84-O84</f>
        <v>5.1473909999999989</v>
      </c>
      <c r="S84" s="320" t="s">
        <v>187</v>
      </c>
      <c r="T84" s="320">
        <v>0.54</v>
      </c>
      <c r="U84" s="320">
        <f>0.0456</f>
        <v>4.5600000000000002E-2</v>
      </c>
      <c r="V84" s="462">
        <v>20</v>
      </c>
      <c r="W84" s="463">
        <v>100</v>
      </c>
      <c r="X84" s="330">
        <v>22.534263729999999</v>
      </c>
      <c r="Y84" s="320">
        <v>29.262936347</v>
      </c>
      <c r="Z84" s="328">
        <f>Y84-X84</f>
        <v>6.7286726170000009</v>
      </c>
    </row>
    <row r="85" spans="1:26">
      <c r="B85" s="466"/>
      <c r="D85" s="332">
        <v>15</v>
      </c>
      <c r="E85" s="333">
        <v>133</v>
      </c>
      <c r="F85" s="333">
        <v>22.209085120000001</v>
      </c>
      <c r="G85" s="411">
        <v>30.196619224599999</v>
      </c>
      <c r="H85" s="334">
        <f>G85-F85</f>
        <v>7.9875341045999981</v>
      </c>
      <c r="M85" s="332">
        <v>15</v>
      </c>
      <c r="N85" s="333">
        <v>133</v>
      </c>
      <c r="O85" s="333">
        <v>22.56607253</v>
      </c>
      <c r="P85" s="411">
        <v>27.671664010000001</v>
      </c>
      <c r="Q85" s="334">
        <f>P85-O85</f>
        <v>5.1055914800000011</v>
      </c>
      <c r="V85" s="332">
        <v>15</v>
      </c>
      <c r="W85" s="333">
        <v>133</v>
      </c>
      <c r="X85" s="333">
        <v>22.522622200000001</v>
      </c>
      <c r="Y85" s="411">
        <v>28.851094817</v>
      </c>
      <c r="Z85" s="334">
        <f>Y85-X85</f>
        <v>6.3284726169999992</v>
      </c>
    </row>
    <row r="86" spans="1:26">
      <c r="B86" s="466"/>
      <c r="U86" s="320">
        <f>0.0453-0.0009</f>
        <v>4.4400000000000002E-2</v>
      </c>
      <c r="V86" s="462">
        <v>20</v>
      </c>
      <c r="W86" s="463">
        <v>100</v>
      </c>
      <c r="X86" s="330">
        <v>22.534263729999999</v>
      </c>
      <c r="Y86" s="320">
        <v>28.903152479999999</v>
      </c>
      <c r="Z86" s="328">
        <f>Y86-X86</f>
        <v>6.36888875</v>
      </c>
    </row>
    <row r="87" spans="1:26" ht="18.75">
      <c r="B87" s="466"/>
      <c r="J87" s="320" t="s">
        <v>182</v>
      </c>
      <c r="K87" s="66" t="s">
        <v>66</v>
      </c>
      <c r="M87" s="323" t="s">
        <v>0</v>
      </c>
      <c r="N87" s="324" t="s">
        <v>1</v>
      </c>
      <c r="O87" s="324" t="s">
        <v>49</v>
      </c>
      <c r="P87" s="324" t="s">
        <v>6</v>
      </c>
      <c r="Q87" s="325" t="s">
        <v>7</v>
      </c>
      <c r="V87" s="332">
        <v>15</v>
      </c>
      <c r="W87" s="333">
        <v>133</v>
      </c>
      <c r="X87" s="333">
        <v>22.522622200000001</v>
      </c>
      <c r="Y87" s="411">
        <v>28.881710949999999</v>
      </c>
      <c r="Z87" s="334">
        <f>Y87-X87</f>
        <v>6.359088749999998</v>
      </c>
    </row>
    <row r="88" spans="1:26">
      <c r="B88" s="466"/>
      <c r="J88" s="320" t="s">
        <v>188</v>
      </c>
      <c r="K88" s="421">
        <v>0.3</v>
      </c>
      <c r="L88" s="320">
        <f>0.0456-0.0003</f>
        <v>4.53E-2</v>
      </c>
      <c r="M88" s="462">
        <v>15</v>
      </c>
      <c r="N88" s="463">
        <v>133</v>
      </c>
      <c r="O88" s="330">
        <v>21.855143269999999</v>
      </c>
      <c r="P88" s="320">
        <v>28.46334027</v>
      </c>
      <c r="Q88" s="328">
        <f>P88-O88</f>
        <v>6.6081970000000005</v>
      </c>
    </row>
    <row r="89" spans="1:26" ht="18.75">
      <c r="M89" s="332">
        <v>15</v>
      </c>
      <c r="N89" s="333">
        <v>133</v>
      </c>
      <c r="O89" s="333">
        <v>22.544601409999999</v>
      </c>
      <c r="P89" s="411">
        <v>28.750198560000001</v>
      </c>
      <c r="Q89" s="334">
        <f>P89-O89</f>
        <v>6.2055971500000027</v>
      </c>
      <c r="S89" s="320" t="s">
        <v>184</v>
      </c>
      <c r="T89" s="320" t="s">
        <v>67</v>
      </c>
      <c r="V89" s="323" t="s">
        <v>0</v>
      </c>
      <c r="W89" s="324" t="s">
        <v>1</v>
      </c>
      <c r="X89" s="324" t="s">
        <v>49</v>
      </c>
      <c r="Y89" s="324" t="s">
        <v>6</v>
      </c>
      <c r="Z89" s="325" t="s">
        <v>7</v>
      </c>
    </row>
    <row r="90" spans="1:26">
      <c r="L90" s="320">
        <f>0.0447-0</f>
        <v>4.4699999999999997E-2</v>
      </c>
      <c r="M90" s="462">
        <v>15</v>
      </c>
      <c r="N90" s="463">
        <v>133</v>
      </c>
      <c r="O90" s="330">
        <v>21.84489872</v>
      </c>
      <c r="P90" s="320">
        <v>28.62907272</v>
      </c>
      <c r="Q90" s="328">
        <f>P90-O90</f>
        <v>6.7841740000000001</v>
      </c>
      <c r="S90" s="320" t="s">
        <v>187</v>
      </c>
      <c r="T90" s="320">
        <v>0.6</v>
      </c>
      <c r="U90" s="320">
        <f>0.0447</f>
        <v>4.4699999999999997E-2</v>
      </c>
      <c r="V90" s="462">
        <v>20</v>
      </c>
      <c r="W90" s="463">
        <v>100</v>
      </c>
      <c r="X90" s="330">
        <v>22.534263729999999</v>
      </c>
      <c r="Y90" s="320">
        <v>31.267216638999997</v>
      </c>
      <c r="Z90" s="328">
        <f>Y90-X90</f>
        <v>8.732952908999998</v>
      </c>
    </row>
    <row r="91" spans="1:26">
      <c r="M91" s="332">
        <v>15</v>
      </c>
      <c r="N91" s="333">
        <v>133</v>
      </c>
      <c r="O91" s="333">
        <v>22.20280601</v>
      </c>
      <c r="P91" s="411">
        <v>28.579580249999999</v>
      </c>
      <c r="Q91" s="334">
        <f>P91-O91</f>
        <v>6.3767742399999996</v>
      </c>
      <c r="V91" s="332">
        <v>15</v>
      </c>
      <c r="W91" s="333">
        <v>133</v>
      </c>
      <c r="X91" s="333">
        <v>22.522622200000001</v>
      </c>
      <c r="Y91" s="411">
        <v>30.848175109</v>
      </c>
      <c r="Z91" s="334">
        <f>Y91-X91</f>
        <v>8.3255529089999989</v>
      </c>
    </row>
    <row r="92" spans="1:26">
      <c r="U92" s="320">
        <f>0.0458-0.0006</f>
        <v>4.5199999999999997E-2</v>
      </c>
      <c r="V92" s="462">
        <v>20</v>
      </c>
      <c r="W92" s="463">
        <v>100</v>
      </c>
      <c r="X92" s="330">
        <v>22.534263729999999</v>
      </c>
      <c r="Y92" s="320">
        <v>30.896752479999996</v>
      </c>
      <c r="Z92" s="328">
        <f>Y92-X92</f>
        <v>8.3624887499999971</v>
      </c>
    </row>
    <row r="93" spans="1:26">
      <c r="V93" s="332">
        <v>15</v>
      </c>
      <c r="W93" s="333">
        <v>133</v>
      </c>
      <c r="X93" s="333">
        <v>22.522622200000001</v>
      </c>
      <c r="Y93" s="411">
        <v>30.881710949999999</v>
      </c>
      <c r="Z93" s="334">
        <f>Y93-X93</f>
        <v>8.359088749999998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36"/>
  <sheetViews>
    <sheetView topLeftCell="A28" workbookViewId="0">
      <selection activeCell="E76" sqref="E76:BI136"/>
    </sheetView>
  </sheetViews>
  <sheetFormatPr defaultRowHeight="15"/>
  <cols>
    <col min="4" max="4" width="11.5703125" style="2" customWidth="1"/>
    <col min="6" max="6" width="14.7109375" customWidth="1"/>
    <col min="7" max="7" width="11.85546875" customWidth="1"/>
    <col min="11" max="11" width="9.140625" style="20"/>
    <col min="13" max="14" width="9.140625" style="440"/>
    <col min="15" max="15" width="9.140625" style="431"/>
    <col min="16" max="16" width="9.140625" style="440"/>
    <col min="17" max="17" width="11.42578125" customWidth="1"/>
    <col min="18" max="18" width="12.85546875" customWidth="1"/>
    <col min="19" max="19" width="12" customWidth="1"/>
    <col min="20" max="20" width="12" style="440" customWidth="1"/>
    <col min="21" max="21" width="11.85546875" customWidth="1"/>
    <col min="23" max="23" width="9.140625" style="432"/>
    <col min="24" max="24" width="9.140625" style="440"/>
    <col min="26" max="26" width="9.140625" style="440"/>
    <col min="28" max="28" width="9.140625" style="440"/>
    <col min="29" max="30" width="9.140625" style="432"/>
    <col min="31" max="32" width="9.140625" style="440"/>
    <col min="33" max="33" width="13" customWidth="1"/>
    <col min="36" max="36" width="9" style="65"/>
    <col min="37" max="37" width="9.140625" style="65"/>
    <col min="40" max="40" width="9.140625" style="440"/>
  </cols>
  <sheetData>
    <row r="1" spans="1:42">
      <c r="A1" s="62" t="s">
        <v>290</v>
      </c>
      <c r="B1" s="62"/>
      <c r="C1" s="62"/>
      <c r="D1" s="62"/>
      <c r="E1" s="62"/>
      <c r="I1" s="470" t="s">
        <v>305</v>
      </c>
      <c r="J1" s="470"/>
      <c r="K1" s="470"/>
      <c r="L1" s="470"/>
      <c r="M1" s="470"/>
      <c r="N1" s="461" t="s">
        <v>291</v>
      </c>
    </row>
    <row r="2" spans="1:42" ht="18.75">
      <c r="A2" t="s">
        <v>291</v>
      </c>
      <c r="I2" t="s">
        <v>306</v>
      </c>
      <c r="J2" s="9" t="s">
        <v>0</v>
      </c>
      <c r="K2" s="10" t="s">
        <v>1</v>
      </c>
      <c r="L2" s="10" t="s">
        <v>2</v>
      </c>
      <c r="M2" s="10" t="s">
        <v>3</v>
      </c>
      <c r="N2" s="11" t="s">
        <v>4</v>
      </c>
    </row>
    <row r="3" spans="1:42" ht="18.75">
      <c r="A3" t="s">
        <v>292</v>
      </c>
      <c r="B3" s="323" t="s">
        <v>0</v>
      </c>
      <c r="C3" s="324" t="s">
        <v>1</v>
      </c>
      <c r="D3" s="324" t="s">
        <v>293</v>
      </c>
      <c r="E3" s="324" t="s">
        <v>294</v>
      </c>
      <c r="F3" s="325" t="s">
        <v>295</v>
      </c>
      <c r="I3">
        <f>0.083-0.0141</f>
        <v>6.8900000000000003E-2</v>
      </c>
      <c r="J3" s="26">
        <v>20</v>
      </c>
      <c r="K3" s="27">
        <v>130</v>
      </c>
      <c r="L3" s="28">
        <v>24.086685424249488</v>
      </c>
      <c r="M3" s="28">
        <v>25.964324978847799</v>
      </c>
      <c r="N3" s="29">
        <f t="shared" ref="N3:N12" si="0">M3-L3</f>
        <v>1.8776395545983107</v>
      </c>
    </row>
    <row r="4" spans="1:42" ht="15.75">
      <c r="A4">
        <f>0.1431-0.0711</f>
        <v>7.2000000000000008E-2</v>
      </c>
      <c r="B4" s="44">
        <v>20</v>
      </c>
      <c r="C4" s="45">
        <v>100</v>
      </c>
      <c r="D4" s="45">
        <v>26.6386956953225</v>
      </c>
      <c r="E4" s="45">
        <v>28.184504996806687</v>
      </c>
      <c r="F4" s="46">
        <f t="shared" ref="F4:F11" si="1">E4-D4</f>
        <v>1.5458093014841872</v>
      </c>
      <c r="J4" s="484">
        <v>20</v>
      </c>
      <c r="K4" s="45">
        <v>100</v>
      </c>
      <c r="L4" s="485">
        <v>24.421868438832078</v>
      </c>
      <c r="M4" s="485">
        <v>25.619828737963967</v>
      </c>
      <c r="N4" s="46">
        <f t="shared" si="0"/>
        <v>1.1979602991318892</v>
      </c>
      <c r="AG4" s="461"/>
      <c r="AH4" s="461"/>
      <c r="AI4" s="461"/>
      <c r="AJ4" s="461"/>
      <c r="AK4" s="461"/>
      <c r="AL4" s="461"/>
      <c r="AM4" s="461"/>
      <c r="AN4" s="461"/>
      <c r="AO4" s="461"/>
      <c r="AP4" s="461"/>
    </row>
    <row r="5" spans="1:42" ht="15.75">
      <c r="B5" s="3">
        <v>20</v>
      </c>
      <c r="C5" s="4">
        <v>70</v>
      </c>
      <c r="D5" s="4">
        <v>25.965070036951904</v>
      </c>
      <c r="E5" s="4">
        <v>26.978442190792702</v>
      </c>
      <c r="F5" s="5">
        <f t="shared" si="1"/>
        <v>1.0133721538407983</v>
      </c>
      <c r="J5" s="3">
        <v>20</v>
      </c>
      <c r="K5" s="4">
        <v>70</v>
      </c>
      <c r="L5" s="30">
        <v>24.429691548925131</v>
      </c>
      <c r="M5" s="30">
        <v>25.435519989461891</v>
      </c>
      <c r="N5" s="5">
        <f t="shared" si="0"/>
        <v>1.0058284405367601</v>
      </c>
      <c r="W5" s="4"/>
      <c r="X5" s="4"/>
      <c r="AG5" s="461"/>
      <c r="AH5" s="461"/>
      <c r="AI5" s="461"/>
      <c r="AJ5" s="461"/>
      <c r="AK5" s="461"/>
      <c r="AL5" s="461"/>
      <c r="AM5" s="461"/>
      <c r="AN5" s="461"/>
      <c r="AO5" s="461"/>
      <c r="AP5" s="461"/>
    </row>
    <row r="6" spans="1:42" ht="15.75">
      <c r="B6" s="3">
        <v>20</v>
      </c>
      <c r="C6" s="4">
        <v>50</v>
      </c>
      <c r="D6" s="4">
        <v>25.621691383224221</v>
      </c>
      <c r="E6" s="4">
        <v>26.301743167742682</v>
      </c>
      <c r="F6" s="5">
        <f t="shared" si="1"/>
        <v>0.68005178451846149</v>
      </c>
      <c r="J6" s="3">
        <v>20</v>
      </c>
      <c r="K6" s="4">
        <v>50</v>
      </c>
      <c r="L6" s="30">
        <v>24.137069978539351</v>
      </c>
      <c r="M6" s="30">
        <v>24.889858060470711</v>
      </c>
      <c r="N6" s="5">
        <f t="shared" si="0"/>
        <v>0.75278808193136015</v>
      </c>
      <c r="W6" s="4"/>
      <c r="X6" s="4"/>
      <c r="AG6" s="461"/>
      <c r="AH6" s="461"/>
      <c r="AI6" s="461"/>
      <c r="AJ6" s="461"/>
      <c r="AK6" s="461"/>
      <c r="AL6" s="461"/>
      <c r="AM6" s="461"/>
      <c r="AN6" s="461"/>
      <c r="AO6" s="461"/>
      <c r="AP6" s="461"/>
    </row>
    <row r="7" spans="1:42" ht="15.75">
      <c r="B7" s="3">
        <v>20</v>
      </c>
      <c r="C7" s="4">
        <v>30</v>
      </c>
      <c r="D7" s="4">
        <v>25.114027417542186</v>
      </c>
      <c r="E7" s="4">
        <v>25.514123619444597</v>
      </c>
      <c r="F7" s="5">
        <f t="shared" si="1"/>
        <v>0.4000962019024108</v>
      </c>
      <c r="J7" s="6">
        <v>20</v>
      </c>
      <c r="K7" s="7">
        <v>30</v>
      </c>
      <c r="L7" s="31">
        <v>24.083798324096112</v>
      </c>
      <c r="M7" s="31">
        <v>24.420005793571825</v>
      </c>
      <c r="N7" s="8">
        <f t="shared" si="0"/>
        <v>0.33620746947571334</v>
      </c>
      <c r="W7" s="64"/>
      <c r="X7" s="64"/>
      <c r="Y7" s="65"/>
      <c r="Z7" s="65"/>
      <c r="AG7" s="461"/>
      <c r="AH7" s="461"/>
      <c r="AI7" s="461"/>
      <c r="AJ7" s="461"/>
      <c r="AK7" s="461"/>
      <c r="AL7" s="461"/>
      <c r="AM7" s="461"/>
      <c r="AN7" s="461"/>
      <c r="AO7" s="461"/>
      <c r="AP7" s="461"/>
    </row>
    <row r="8" spans="1:42" ht="15.75">
      <c r="B8" s="3">
        <v>10</v>
      </c>
      <c r="C8" s="4">
        <v>100</v>
      </c>
      <c r="D8" s="4">
        <v>25.630352683684379</v>
      </c>
      <c r="E8" s="4">
        <v>26.652293005722335</v>
      </c>
      <c r="F8" s="5">
        <f t="shared" si="1"/>
        <v>1.0219403220379562</v>
      </c>
      <c r="J8" s="19">
        <v>15</v>
      </c>
      <c r="K8" s="18">
        <v>133</v>
      </c>
      <c r="L8" s="21">
        <v>24.088548069509741</v>
      </c>
      <c r="M8" s="21">
        <v>25.45591595506168</v>
      </c>
      <c r="N8" s="5">
        <f t="shared" si="0"/>
        <v>1.3673678855519391</v>
      </c>
      <c r="W8" s="4"/>
      <c r="X8" s="4"/>
      <c r="Y8" s="67"/>
      <c r="AG8" s="461"/>
      <c r="AH8" s="461"/>
      <c r="AI8" s="461"/>
      <c r="AJ8" s="461"/>
      <c r="AK8" s="461"/>
      <c r="AL8" s="461"/>
      <c r="AM8" s="461"/>
      <c r="AN8" s="461"/>
      <c r="AO8" s="461"/>
      <c r="AP8" s="461"/>
    </row>
    <row r="9" spans="1:42" ht="15.75">
      <c r="B9" s="3">
        <v>10</v>
      </c>
      <c r="C9" s="4">
        <v>70</v>
      </c>
      <c r="D9" s="4">
        <v>25.466160503993073</v>
      </c>
      <c r="E9" s="4">
        <v>26.315340478142542</v>
      </c>
      <c r="F9" s="5">
        <f t="shared" si="1"/>
        <v>0.84917997414946811</v>
      </c>
      <c r="J9" s="3">
        <v>10</v>
      </c>
      <c r="K9" s="4">
        <v>100</v>
      </c>
      <c r="L9" s="21">
        <v>24.087057953301599</v>
      </c>
      <c r="M9" s="21">
        <v>25.103037810506684</v>
      </c>
      <c r="N9" s="5">
        <f t="shared" si="0"/>
        <v>1.0159798572050853</v>
      </c>
      <c r="W9" s="4"/>
      <c r="X9" s="4"/>
      <c r="Y9" s="67"/>
      <c r="AG9" s="461"/>
      <c r="AH9" s="461"/>
      <c r="AI9" s="461"/>
      <c r="AJ9" s="461"/>
      <c r="AK9" s="461"/>
      <c r="AL9" s="461"/>
      <c r="AM9" s="461"/>
      <c r="AN9" s="461"/>
      <c r="AO9" s="461"/>
      <c r="AP9" s="461"/>
    </row>
    <row r="10" spans="1:42" ht="15.75">
      <c r="B10" s="3">
        <v>10</v>
      </c>
      <c r="C10" s="4">
        <v>50</v>
      </c>
      <c r="D10" s="4">
        <v>25.110954052862802</v>
      </c>
      <c r="E10" s="4">
        <v>25.772565649304735</v>
      </c>
      <c r="F10" s="5">
        <f t="shared" si="1"/>
        <v>0.6616115964419329</v>
      </c>
      <c r="J10" s="3">
        <v>10</v>
      </c>
      <c r="K10" s="4">
        <v>70</v>
      </c>
      <c r="L10" s="21">
        <v>24.027918966288514</v>
      </c>
      <c r="M10" s="21">
        <v>24.773442731704883</v>
      </c>
      <c r="N10" s="5">
        <f t="shared" si="0"/>
        <v>0.74552376541636889</v>
      </c>
      <c r="W10" s="4"/>
      <c r="X10" s="4"/>
      <c r="Y10" s="67"/>
      <c r="AG10" s="461"/>
      <c r="AH10" s="461"/>
      <c r="AI10" s="461"/>
      <c r="AJ10" s="461"/>
      <c r="AK10" s="461"/>
      <c r="AL10" s="461"/>
      <c r="AM10" s="461"/>
      <c r="AN10" s="461"/>
      <c r="AO10" s="461"/>
      <c r="AP10" s="461"/>
    </row>
    <row r="11" spans="1:42" ht="15.75">
      <c r="B11" s="6">
        <v>10</v>
      </c>
      <c r="C11" s="7">
        <v>30</v>
      </c>
      <c r="D11" s="7">
        <v>25.233143581935369</v>
      </c>
      <c r="E11" s="7">
        <v>25.454332706590446</v>
      </c>
      <c r="F11" s="8">
        <f t="shared" si="1"/>
        <v>0.22118912465507634</v>
      </c>
      <c r="J11" s="3">
        <v>10</v>
      </c>
      <c r="K11" s="4">
        <v>50</v>
      </c>
      <c r="L11" s="21">
        <v>23.999047964754588</v>
      </c>
      <c r="M11" s="21">
        <v>24.42922588761007</v>
      </c>
      <c r="N11" s="5">
        <f t="shared" si="0"/>
        <v>0.4301779228554814</v>
      </c>
      <c r="W11" s="4"/>
      <c r="X11" s="4"/>
      <c r="Y11" s="67"/>
      <c r="AG11" s="461"/>
      <c r="AH11" s="461"/>
      <c r="AI11" s="461"/>
      <c r="AJ11" s="461"/>
      <c r="AK11" s="461"/>
      <c r="AL11" s="461"/>
      <c r="AM11" s="461"/>
      <c r="AN11" s="461"/>
      <c r="AO11" s="461"/>
      <c r="AP11" s="461"/>
    </row>
    <row r="12" spans="1:42" ht="15.75">
      <c r="J12" s="6">
        <v>10</v>
      </c>
      <c r="K12" s="7">
        <v>30</v>
      </c>
      <c r="L12" s="12">
        <v>23.92072373156093</v>
      </c>
      <c r="M12" s="12">
        <v>24.091621434189165</v>
      </c>
      <c r="N12" s="8">
        <f t="shared" si="0"/>
        <v>0.17089770262823478</v>
      </c>
      <c r="W12" s="4"/>
      <c r="X12" s="4"/>
      <c r="Y12" s="67"/>
      <c r="AG12" s="461"/>
      <c r="AH12" s="461"/>
      <c r="AI12" s="461"/>
      <c r="AJ12" s="461"/>
      <c r="AK12" s="461"/>
      <c r="AL12" s="461"/>
      <c r="AM12" s="461"/>
      <c r="AN12" s="461"/>
      <c r="AO12" s="461"/>
      <c r="AP12" s="461"/>
    </row>
    <row r="13" spans="1:42" ht="15.75">
      <c r="K13" s="4"/>
      <c r="W13" s="4"/>
      <c r="X13" s="4"/>
      <c r="Y13" s="67"/>
      <c r="AG13" s="461"/>
      <c r="AH13" s="461"/>
      <c r="AI13" s="461"/>
      <c r="AJ13" s="461"/>
      <c r="AK13" s="461"/>
      <c r="AL13" s="461"/>
      <c r="AM13" s="461"/>
      <c r="AN13" s="461"/>
      <c r="AO13" s="461"/>
      <c r="AP13" s="461"/>
    </row>
    <row r="14" spans="1:42" ht="15.75">
      <c r="W14" s="4"/>
      <c r="X14" s="4"/>
      <c r="Y14" s="67"/>
      <c r="AG14" s="461"/>
      <c r="AH14" s="461"/>
      <c r="AI14" s="461"/>
      <c r="AJ14" s="461"/>
      <c r="AK14" s="461"/>
      <c r="AL14" s="461"/>
      <c r="AM14" s="461"/>
      <c r="AN14" s="461"/>
      <c r="AO14" s="461"/>
      <c r="AP14" s="461"/>
    </row>
    <row r="15" spans="1:42" ht="15.75">
      <c r="W15" s="4"/>
      <c r="X15" s="4"/>
      <c r="Y15" s="67"/>
      <c r="AG15" s="461"/>
      <c r="AH15" s="461"/>
      <c r="AI15" s="461"/>
      <c r="AJ15" s="461"/>
      <c r="AK15" s="461"/>
      <c r="AL15" s="461"/>
      <c r="AM15" s="461"/>
      <c r="AN15" s="461"/>
      <c r="AO15" s="461"/>
      <c r="AP15" s="461"/>
    </row>
    <row r="16" spans="1:42">
      <c r="A16" s="470" t="s">
        <v>307</v>
      </c>
      <c r="B16" s="62"/>
      <c r="C16" s="62"/>
      <c r="D16" s="62"/>
      <c r="E16" s="62"/>
      <c r="F16" s="461" t="s">
        <v>291</v>
      </c>
      <c r="I16" s="470" t="s">
        <v>308</v>
      </c>
      <c r="J16" s="62"/>
      <c r="K16" s="62"/>
      <c r="L16" s="62"/>
      <c r="M16" s="62"/>
      <c r="N16" s="461" t="s">
        <v>291</v>
      </c>
      <c r="AG16" s="461"/>
      <c r="AH16" s="461"/>
      <c r="AI16" s="461"/>
      <c r="AJ16" s="461"/>
      <c r="AK16" s="461"/>
      <c r="AL16" s="461"/>
      <c r="AM16" s="461"/>
      <c r="AN16" s="461"/>
      <c r="AO16" s="461"/>
      <c r="AP16" s="461"/>
    </row>
    <row r="17" spans="1:42" ht="18.75">
      <c r="A17" s="461" t="s">
        <v>292</v>
      </c>
      <c r="B17">
        <f>0.071-0.0096</f>
        <v>6.1399999999999996E-2</v>
      </c>
      <c r="C17" s="9" t="s">
        <v>0</v>
      </c>
      <c r="D17" s="10" t="s">
        <v>1</v>
      </c>
      <c r="E17" s="10" t="s">
        <v>8</v>
      </c>
      <c r="F17" s="10" t="s">
        <v>6</v>
      </c>
      <c r="G17" s="11" t="s">
        <v>7</v>
      </c>
      <c r="I17" s="461" t="s">
        <v>291</v>
      </c>
      <c r="K17"/>
      <c r="L17" s="2"/>
      <c r="M17"/>
      <c r="N17"/>
      <c r="AG17" s="461"/>
      <c r="AH17" s="461"/>
      <c r="AI17" s="461"/>
      <c r="AJ17" s="461"/>
      <c r="AK17" s="461"/>
      <c r="AL17" s="461"/>
      <c r="AM17" s="461"/>
      <c r="AN17" s="461"/>
      <c r="AO17" s="461"/>
      <c r="AP17" s="461"/>
    </row>
    <row r="18" spans="1:42">
      <c r="A18" s="2"/>
      <c r="C18" s="32">
        <v>15</v>
      </c>
      <c r="D18" s="33">
        <v>133</v>
      </c>
      <c r="E18" s="13">
        <v>24.091807698715186</v>
      </c>
      <c r="F18" s="13">
        <v>25.458057997110952</v>
      </c>
      <c r="G18" s="35">
        <f t="shared" ref="G18:G26" si="2">F18-E18</f>
        <v>1.3662502983957658</v>
      </c>
      <c r="I18" s="461" t="s">
        <v>292</v>
      </c>
      <c r="J18" s="461" t="s">
        <v>324</v>
      </c>
      <c r="K18"/>
      <c r="M18"/>
      <c r="N18"/>
      <c r="O18" s="1"/>
      <c r="P18" s="1"/>
      <c r="Q18" s="69"/>
      <c r="R18" s="71"/>
      <c r="S18" s="71"/>
      <c r="U18" s="71"/>
      <c r="V18" s="71"/>
      <c r="Y18" s="71"/>
      <c r="AA18" s="69"/>
      <c r="AG18" s="461"/>
      <c r="AH18" s="461"/>
      <c r="AI18" s="461"/>
      <c r="AJ18" s="461"/>
      <c r="AK18" s="461"/>
      <c r="AL18" s="461"/>
      <c r="AM18" s="461"/>
      <c r="AN18" s="461"/>
      <c r="AO18" s="461"/>
      <c r="AP18" s="461"/>
    </row>
    <row r="19" spans="1:42" ht="18.75">
      <c r="A19" s="2"/>
      <c r="C19" s="329">
        <v>20</v>
      </c>
      <c r="D19" s="330">
        <v>130</v>
      </c>
      <c r="E19" s="320">
        <v>23.741537257524577</v>
      </c>
      <c r="F19" s="320">
        <v>25.452749458119236</v>
      </c>
      <c r="G19" s="331">
        <f t="shared" si="2"/>
        <v>1.7112122005946588</v>
      </c>
      <c r="I19" s="61">
        <f>0.0738-0.0099</f>
        <v>6.3899999999999998E-2</v>
      </c>
      <c r="J19" s="9" t="s">
        <v>0</v>
      </c>
      <c r="K19" s="10" t="s">
        <v>1</v>
      </c>
      <c r="L19" s="10" t="s">
        <v>8</v>
      </c>
      <c r="M19" s="10" t="s">
        <v>6</v>
      </c>
      <c r="N19" s="11" t="s">
        <v>7</v>
      </c>
      <c r="Q19" s="69"/>
      <c r="R19" s="71"/>
      <c r="S19" s="71"/>
      <c r="U19" s="71"/>
      <c r="V19" s="71"/>
      <c r="Y19" s="71"/>
      <c r="AA19" s="69"/>
      <c r="AG19" s="461"/>
      <c r="AH19" s="461"/>
      <c r="AI19" s="461"/>
      <c r="AJ19" s="461"/>
      <c r="AK19" s="461"/>
      <c r="AL19" s="461"/>
      <c r="AM19" s="461"/>
      <c r="AN19" s="461"/>
      <c r="AO19" s="461"/>
      <c r="AP19" s="461"/>
    </row>
    <row r="20" spans="1:42">
      <c r="A20" s="2"/>
      <c r="C20" s="329">
        <v>30</v>
      </c>
      <c r="D20" s="330">
        <v>130</v>
      </c>
      <c r="E20" s="320">
        <v>23.752433732297053</v>
      </c>
      <c r="F20" s="320">
        <v>25.531539352627959</v>
      </c>
      <c r="G20" s="331">
        <f t="shared" si="2"/>
        <v>1.7791056203309061</v>
      </c>
      <c r="I20" s="61"/>
      <c r="J20" s="32">
        <v>15</v>
      </c>
      <c r="K20" s="33">
        <v>133</v>
      </c>
      <c r="L20" s="13">
        <v>24.245941594001142</v>
      </c>
      <c r="M20" s="13">
        <v>25.63165653536657</v>
      </c>
      <c r="N20" s="35">
        <f t="shared" ref="N20:N28" si="3">M20-L20</f>
        <v>1.3857149413654284</v>
      </c>
      <c r="Q20" s="69"/>
      <c r="R20" s="71"/>
      <c r="S20" s="71"/>
      <c r="U20" s="71"/>
      <c r="V20" s="71"/>
      <c r="Y20" s="71"/>
      <c r="AA20" s="69"/>
      <c r="AG20" s="461"/>
      <c r="AH20" s="461"/>
      <c r="AI20" s="461"/>
      <c r="AJ20" s="461"/>
      <c r="AK20" s="461"/>
      <c r="AL20" s="461"/>
      <c r="AM20" s="461"/>
      <c r="AN20" s="461"/>
      <c r="AO20" s="461"/>
      <c r="AP20" s="461"/>
    </row>
    <row r="21" spans="1:42">
      <c r="A21" s="2"/>
      <c r="C21" s="329">
        <v>15</v>
      </c>
      <c r="D21" s="330">
        <v>100</v>
      </c>
      <c r="E21" s="320">
        <v>23.747497722357377</v>
      </c>
      <c r="F21" s="320">
        <v>24.768134192713166</v>
      </c>
      <c r="G21" s="331">
        <f t="shared" si="2"/>
        <v>1.0206364703557895</v>
      </c>
      <c r="I21" s="61"/>
      <c r="J21" s="329">
        <v>20</v>
      </c>
      <c r="K21" s="330">
        <v>130</v>
      </c>
      <c r="L21" s="320">
        <v>24.101027792753456</v>
      </c>
      <c r="M21" s="320">
        <v>25.901926362629315</v>
      </c>
      <c r="N21" s="331">
        <f t="shared" si="3"/>
        <v>1.8008985698758586</v>
      </c>
      <c r="Q21" s="69"/>
      <c r="R21" s="71"/>
      <c r="S21" s="71"/>
      <c r="U21" s="71"/>
      <c r="V21" s="71"/>
      <c r="Y21" s="71"/>
      <c r="AA21" s="69"/>
      <c r="AG21" s="461"/>
      <c r="AH21" s="461"/>
      <c r="AI21" s="461"/>
      <c r="AJ21" s="461"/>
      <c r="AK21" s="461"/>
      <c r="AL21" s="461"/>
      <c r="AM21" s="461"/>
      <c r="AN21" s="461"/>
      <c r="AO21" s="461"/>
      <c r="AP21" s="461"/>
    </row>
    <row r="22" spans="1:42">
      <c r="A22" s="2"/>
      <c r="C22" s="329">
        <v>20</v>
      </c>
      <c r="D22" s="330">
        <v>100</v>
      </c>
      <c r="E22" s="320">
        <v>23.7505710870368</v>
      </c>
      <c r="F22" s="320">
        <v>24.771300689655586</v>
      </c>
      <c r="G22" s="331">
        <f t="shared" si="2"/>
        <v>1.0207296026187862</v>
      </c>
      <c r="I22" s="61"/>
      <c r="J22" s="329">
        <v>30</v>
      </c>
      <c r="K22" s="330">
        <v>130</v>
      </c>
      <c r="L22" s="320">
        <v>24.102052247646579</v>
      </c>
      <c r="M22" s="320">
        <v>25.987421780074943</v>
      </c>
      <c r="N22" s="331">
        <f t="shared" si="3"/>
        <v>1.8853695324283635</v>
      </c>
      <c r="Q22" s="69"/>
      <c r="R22" s="71"/>
      <c r="S22" s="71"/>
      <c r="U22" s="71"/>
      <c r="V22" s="432"/>
      <c r="Y22" s="71"/>
    </row>
    <row r="23" spans="1:42">
      <c r="A23" s="2"/>
      <c r="C23" s="329">
        <v>30</v>
      </c>
      <c r="D23" s="330">
        <v>100</v>
      </c>
      <c r="E23" s="320">
        <v>23.750850483825843</v>
      </c>
      <c r="F23" s="320">
        <v>25.115238136961356</v>
      </c>
      <c r="G23" s="331">
        <f t="shared" si="2"/>
        <v>1.3643876531355126</v>
      </c>
      <c r="I23" s="61"/>
      <c r="J23" s="329">
        <v>15</v>
      </c>
      <c r="K23" s="330">
        <v>100</v>
      </c>
      <c r="L23" s="320">
        <v>24.429505284399113</v>
      </c>
      <c r="M23" s="320">
        <v>25.623647160747471</v>
      </c>
      <c r="N23" s="331">
        <f t="shared" si="3"/>
        <v>1.1941418763483576</v>
      </c>
      <c r="V23" s="432"/>
    </row>
    <row r="24" spans="1:42">
      <c r="A24" s="2"/>
      <c r="C24" s="34">
        <v>15</v>
      </c>
      <c r="D24" s="39">
        <v>70</v>
      </c>
      <c r="E24" s="13">
        <v>23.747032061042312</v>
      </c>
      <c r="F24" s="13">
        <v>24.431926723237453</v>
      </c>
      <c r="G24" s="35">
        <f t="shared" si="2"/>
        <v>0.68489466219514128</v>
      </c>
      <c r="I24" s="61"/>
      <c r="J24" s="329">
        <v>20</v>
      </c>
      <c r="K24" s="330">
        <v>100</v>
      </c>
      <c r="L24" s="320">
        <v>24.776516096384306</v>
      </c>
      <c r="M24" s="320">
        <v>25.98034372808597</v>
      </c>
      <c r="N24" s="331">
        <f>M24-L24</f>
        <v>1.2038276317016638</v>
      </c>
    </row>
    <row r="25" spans="1:42">
      <c r="A25" s="2"/>
      <c r="C25" s="34">
        <v>20</v>
      </c>
      <c r="D25" s="39">
        <v>70</v>
      </c>
      <c r="E25" s="13">
        <v>23.749826028932691</v>
      </c>
      <c r="F25" s="13">
        <v>24.580250342503199</v>
      </c>
      <c r="G25" s="35">
        <f t="shared" si="2"/>
        <v>0.83042431357050717</v>
      </c>
      <c r="I25" s="61"/>
      <c r="J25" s="329">
        <v>30</v>
      </c>
      <c r="K25" s="330">
        <v>100</v>
      </c>
      <c r="L25" s="320">
        <v>24.102611041224666</v>
      </c>
      <c r="M25" s="320">
        <v>25.635847487202142</v>
      </c>
      <c r="N25" s="331">
        <f t="shared" si="3"/>
        <v>1.5332364459774759</v>
      </c>
    </row>
    <row r="26" spans="1:42">
      <c r="A26" s="2"/>
      <c r="C26" s="36">
        <v>30</v>
      </c>
      <c r="D26" s="37">
        <v>70</v>
      </c>
      <c r="E26" s="15">
        <v>23.728219343913761</v>
      </c>
      <c r="F26" s="15">
        <v>24.730136229403993</v>
      </c>
      <c r="G26" s="38">
        <f t="shared" si="2"/>
        <v>1.0019168854902318</v>
      </c>
      <c r="I26" s="61"/>
      <c r="J26" s="486">
        <v>15</v>
      </c>
      <c r="K26" s="421">
        <v>70</v>
      </c>
      <c r="L26" s="320">
        <v>24.106708860797212</v>
      </c>
      <c r="M26" s="320">
        <v>24.823175360153634</v>
      </c>
      <c r="N26" s="331">
        <f t="shared" si="3"/>
        <v>0.71646649935642159</v>
      </c>
      <c r="Q26" s="69"/>
      <c r="R26" s="71"/>
      <c r="S26" s="71"/>
      <c r="U26" s="71"/>
      <c r="V26" s="71"/>
      <c r="Y26" s="71"/>
      <c r="AA26" s="65"/>
      <c r="AB26" s="65"/>
      <c r="AC26" s="65"/>
      <c r="AD26" s="65"/>
      <c r="AE26" s="65"/>
      <c r="AF26" s="65"/>
    </row>
    <row r="27" spans="1:42">
      <c r="I27" s="61"/>
      <c r="J27" s="34">
        <v>20</v>
      </c>
      <c r="K27" s="39">
        <v>70</v>
      </c>
      <c r="L27" s="13">
        <v>24.101586586331514</v>
      </c>
      <c r="M27" s="13">
        <v>25.116262591854479</v>
      </c>
      <c r="N27" s="35">
        <f t="shared" si="3"/>
        <v>1.0146760055229649</v>
      </c>
      <c r="Q27" s="69"/>
      <c r="R27" s="71"/>
      <c r="S27" s="71"/>
      <c r="U27" s="71"/>
      <c r="V27" s="71"/>
      <c r="Y27" s="71"/>
      <c r="AA27" s="69"/>
    </row>
    <row r="28" spans="1:42">
      <c r="I28" s="61"/>
      <c r="J28" s="36">
        <v>30</v>
      </c>
      <c r="K28" s="37">
        <v>70</v>
      </c>
      <c r="L28" s="15">
        <v>24.103635496117789</v>
      </c>
      <c r="M28" s="15">
        <v>25.262387112521363</v>
      </c>
      <c r="N28" s="38">
        <f t="shared" si="3"/>
        <v>1.158751616403574</v>
      </c>
      <c r="R28" s="71"/>
      <c r="S28" s="71"/>
      <c r="U28" s="71"/>
      <c r="V28" s="71"/>
      <c r="Y28" s="71"/>
    </row>
    <row r="29" spans="1:42">
      <c r="R29" s="71"/>
      <c r="S29" s="71"/>
      <c r="U29" s="71"/>
      <c r="V29" s="71"/>
      <c r="Y29" s="71"/>
    </row>
    <row r="30" spans="1:42">
      <c r="R30" s="71"/>
      <c r="S30" s="71"/>
      <c r="U30" s="71"/>
      <c r="V30" s="71"/>
      <c r="Y30" s="71"/>
    </row>
    <row r="31" spans="1:42">
      <c r="O31" s="13"/>
      <c r="R31" s="71"/>
      <c r="S31" s="71"/>
      <c r="U31" s="71"/>
      <c r="V31" s="71"/>
      <c r="Y31" s="71"/>
      <c r="AA31" s="69"/>
    </row>
    <row r="32" spans="1:42">
      <c r="R32" s="71"/>
      <c r="S32" s="71"/>
      <c r="U32" s="71"/>
      <c r="V32" s="71"/>
      <c r="Y32" s="71"/>
      <c r="AA32" s="69"/>
    </row>
    <row r="33" spans="1:37">
      <c r="A33" s="470" t="s">
        <v>342</v>
      </c>
      <c r="B33" s="62"/>
      <c r="C33" s="62"/>
      <c r="D33" s="62"/>
      <c r="E33" s="62"/>
      <c r="F33" s="461" t="s">
        <v>291</v>
      </c>
      <c r="K33" s="467" t="s">
        <v>343</v>
      </c>
      <c r="L33" s="468"/>
      <c r="M33" s="468"/>
      <c r="N33" s="468"/>
      <c r="O33" s="47" t="s">
        <v>291</v>
      </c>
      <c r="P33" s="320"/>
      <c r="R33" s="71"/>
      <c r="S33" s="71"/>
      <c r="U33" s="71"/>
      <c r="V33" s="71"/>
      <c r="Y33" s="71"/>
      <c r="AA33" s="69"/>
    </row>
    <row r="34" spans="1:37" ht="18.75">
      <c r="B34" s="461" t="s">
        <v>292</v>
      </c>
      <c r="C34" s="323" t="s">
        <v>0</v>
      </c>
      <c r="D34" s="324" t="s">
        <v>1</v>
      </c>
      <c r="E34" s="324" t="s">
        <v>49</v>
      </c>
      <c r="F34" s="324" t="s">
        <v>6</v>
      </c>
      <c r="G34" s="325" t="s">
        <v>7</v>
      </c>
      <c r="K34" s="461" t="s">
        <v>292</v>
      </c>
      <c r="L34" s="323" t="s">
        <v>0</v>
      </c>
      <c r="M34" s="324" t="s">
        <v>1</v>
      </c>
      <c r="N34" s="324" t="s">
        <v>49</v>
      </c>
      <c r="O34" s="324" t="s">
        <v>6</v>
      </c>
      <c r="P34" s="325" t="s">
        <v>7</v>
      </c>
      <c r="R34" s="71"/>
      <c r="S34" s="71"/>
      <c r="U34" s="71"/>
      <c r="V34" s="71"/>
      <c r="Y34" s="71"/>
    </row>
    <row r="35" spans="1:37">
      <c r="A35" t="s">
        <v>326</v>
      </c>
      <c r="B35" s="232">
        <f>0.0998-0.036</f>
        <v>6.3799999999999996E-2</v>
      </c>
      <c r="C35" s="477">
        <v>20</v>
      </c>
      <c r="D35" s="492">
        <v>100</v>
      </c>
      <c r="E35" s="320">
        <v>23.763889000647616</v>
      </c>
      <c r="F35" s="320">
        <v>25.122968114791412</v>
      </c>
      <c r="G35" s="493">
        <f>F35-E35</f>
        <v>1.3590791141437961</v>
      </c>
      <c r="J35" s="461" t="s">
        <v>326</v>
      </c>
      <c r="K35" s="451">
        <f>0.1408-0.0368</f>
        <v>0.10400000000000001</v>
      </c>
      <c r="L35" s="477">
        <v>20</v>
      </c>
      <c r="M35" s="492">
        <v>100</v>
      </c>
      <c r="N35" s="492">
        <v>24.091900830978208</v>
      </c>
      <c r="O35" s="492">
        <v>25.964511243373817</v>
      </c>
      <c r="P35" s="493">
        <f t="shared" ref="P35:P40" si="4">O35-N35</f>
        <v>1.8726104123956091</v>
      </c>
      <c r="R35" s="71"/>
      <c r="S35" s="71"/>
      <c r="U35" s="71"/>
      <c r="V35" s="71"/>
      <c r="Y35" s="71"/>
    </row>
    <row r="36" spans="1:37">
      <c r="B36" s="232"/>
      <c r="C36" s="422">
        <v>15</v>
      </c>
      <c r="D36" s="423">
        <v>133</v>
      </c>
      <c r="E36" s="320">
        <v>23.692922216231945</v>
      </c>
      <c r="F36" s="320">
        <v>25.119242824270906</v>
      </c>
      <c r="G36" s="494">
        <f>F36-E36</f>
        <v>1.4263206080389601</v>
      </c>
      <c r="J36" s="461"/>
      <c r="K36" s="451"/>
      <c r="L36" s="422">
        <v>20</v>
      </c>
      <c r="M36" s="423">
        <v>130</v>
      </c>
      <c r="N36" s="423">
        <v>24.433975633023724</v>
      </c>
      <c r="O36" s="423">
        <v>26.866590342914481</v>
      </c>
      <c r="P36" s="494">
        <f t="shared" si="4"/>
        <v>2.4326147098907569</v>
      </c>
      <c r="R36" s="71"/>
      <c r="S36" s="71"/>
      <c r="U36" s="71"/>
      <c r="V36" s="71"/>
      <c r="Y36" s="71"/>
    </row>
    <row r="37" spans="1:37">
      <c r="A37" s="461" t="s">
        <v>325</v>
      </c>
      <c r="B37" s="232">
        <v>8.4499999999999992E-2</v>
      </c>
      <c r="C37" s="477">
        <v>20</v>
      </c>
      <c r="D37" s="492">
        <v>100</v>
      </c>
      <c r="E37" s="492">
        <v>23.581536029668815</v>
      </c>
      <c r="F37" s="492">
        <v>24.763756976351548</v>
      </c>
      <c r="G37" s="493">
        <v>1.1822209466827331</v>
      </c>
      <c r="J37" s="461" t="s">
        <v>325</v>
      </c>
      <c r="K37" s="451">
        <f>0.0926-0.0088</f>
        <v>8.3799999999999999E-2</v>
      </c>
      <c r="L37" s="477">
        <v>20</v>
      </c>
      <c r="M37" s="492">
        <v>100</v>
      </c>
      <c r="N37" s="492">
        <v>24.428667094032008</v>
      </c>
      <c r="O37" s="492">
        <v>25.899504923791</v>
      </c>
      <c r="P37" s="493">
        <f t="shared" si="4"/>
        <v>1.4708378297589917</v>
      </c>
    </row>
    <row r="38" spans="1:37">
      <c r="B38" s="232"/>
      <c r="C38" s="422">
        <v>15</v>
      </c>
      <c r="D38" s="423">
        <v>133</v>
      </c>
      <c r="E38" s="423">
        <v>24.671462903706015</v>
      </c>
      <c r="F38" s="423">
        <v>26.295782702909882</v>
      </c>
      <c r="G38" s="494">
        <v>1.6243197992038674</v>
      </c>
      <c r="J38" s="461"/>
      <c r="K38" s="451"/>
      <c r="L38" s="422">
        <v>20</v>
      </c>
      <c r="M38" s="423">
        <v>130</v>
      </c>
      <c r="N38" s="423">
        <v>24.423731084092331</v>
      </c>
      <c r="O38" s="423">
        <v>26.291964280126351</v>
      </c>
      <c r="P38" s="494">
        <f t="shared" si="4"/>
        <v>1.8682331960340193</v>
      </c>
    </row>
    <row r="39" spans="1:37">
      <c r="A39" s="461" t="s">
        <v>327</v>
      </c>
      <c r="B39" s="232">
        <f>0.0968-0.0193</f>
        <v>7.7499999999999999E-2</v>
      </c>
      <c r="C39" s="477">
        <v>20</v>
      </c>
      <c r="D39" s="492">
        <v>100</v>
      </c>
      <c r="E39" s="492">
        <v>24.100562131438391</v>
      </c>
      <c r="F39" s="492">
        <v>25.453680779999999</v>
      </c>
      <c r="G39" s="493">
        <f>F39-E39</f>
        <v>1.3531186485616082</v>
      </c>
      <c r="J39" s="461" t="s">
        <v>327</v>
      </c>
      <c r="K39" s="451">
        <f>0.0855-0.009</f>
        <v>7.6500000000000012E-2</v>
      </c>
      <c r="L39" s="477">
        <v>20</v>
      </c>
      <c r="M39" s="492">
        <v>100</v>
      </c>
      <c r="N39" s="492">
        <v>24.766550944241928</v>
      </c>
      <c r="O39" s="492">
        <v>26.301370638690642</v>
      </c>
      <c r="P39" s="493">
        <f t="shared" si="4"/>
        <v>1.5348196944487142</v>
      </c>
    </row>
    <row r="40" spans="1:37" ht="15.75">
      <c r="B40" s="232"/>
      <c r="C40" s="422">
        <v>15</v>
      </c>
      <c r="D40" s="423">
        <v>133</v>
      </c>
      <c r="E40" s="423">
        <v>24.089919999999999</v>
      </c>
      <c r="F40" s="423">
        <v>25.67896772497701</v>
      </c>
      <c r="G40" s="494">
        <f>F40-E40</f>
        <v>1.5890477249770107</v>
      </c>
      <c r="K40" s="451"/>
      <c r="L40" s="422">
        <v>20</v>
      </c>
      <c r="M40" s="423">
        <v>130</v>
      </c>
      <c r="N40" s="423">
        <v>25.062711540622196</v>
      </c>
      <c r="O40" s="423">
        <v>26.976858942321464</v>
      </c>
      <c r="P40" s="494">
        <f t="shared" si="4"/>
        <v>1.9141474016992674</v>
      </c>
      <c r="AA40" s="2"/>
      <c r="AB40" s="63"/>
      <c r="AC40" s="9"/>
      <c r="AD40" s="10"/>
      <c r="AE40" s="10"/>
      <c r="AF40" s="10"/>
      <c r="AG40" s="11"/>
    </row>
    <row r="41" spans="1:37">
      <c r="A41" s="471" t="s">
        <v>344</v>
      </c>
      <c r="B41" s="62"/>
      <c r="C41" s="62"/>
      <c r="D41" s="62"/>
      <c r="F41" s="461" t="s">
        <v>291</v>
      </c>
      <c r="J41" s="471" t="s">
        <v>345</v>
      </c>
      <c r="K41" s="62"/>
      <c r="L41" s="62"/>
      <c r="M41" s="62"/>
      <c r="N41" s="461" t="s">
        <v>291</v>
      </c>
      <c r="O41"/>
      <c r="P41"/>
      <c r="Q41" s="2"/>
      <c r="T41"/>
      <c r="AA41" s="1"/>
      <c r="AB41" s="63"/>
      <c r="AC41" s="32"/>
      <c r="AD41" s="33"/>
      <c r="AE41" s="71"/>
      <c r="AF41" s="70"/>
      <c r="AG41" s="35"/>
    </row>
    <row r="42" spans="1:37">
      <c r="C42" s="13"/>
      <c r="D42" s="13"/>
      <c r="E42" s="13"/>
      <c r="F42" s="13"/>
      <c r="G42" s="13"/>
      <c r="J42" s="13"/>
      <c r="AA42" s="2"/>
      <c r="AB42" s="63"/>
      <c r="AC42" s="42"/>
      <c r="AD42" s="43"/>
      <c r="AE42" s="12"/>
      <c r="AF42" s="12"/>
      <c r="AG42" s="38"/>
    </row>
    <row r="43" spans="1:37" ht="18.75">
      <c r="B43" s="461" t="s">
        <v>292</v>
      </c>
      <c r="C43" s="323" t="s">
        <v>0</v>
      </c>
      <c r="D43" s="324" t="s">
        <v>1</v>
      </c>
      <c r="E43" s="324" t="s">
        <v>49</v>
      </c>
      <c r="F43" s="324" t="s">
        <v>6</v>
      </c>
      <c r="G43" s="325" t="s">
        <v>7</v>
      </c>
      <c r="J43" s="47"/>
      <c r="K43" s="47" t="s">
        <v>292</v>
      </c>
      <c r="L43" s="323" t="s">
        <v>0</v>
      </c>
      <c r="M43" s="324" t="s">
        <v>1</v>
      </c>
      <c r="N43" s="324" t="s">
        <v>49</v>
      </c>
      <c r="O43" s="324" t="s">
        <v>6</v>
      </c>
      <c r="P43" s="325" t="s">
        <v>7</v>
      </c>
      <c r="AB43"/>
      <c r="AC43"/>
      <c r="AD43" s="2"/>
      <c r="AE43"/>
      <c r="AF43"/>
    </row>
    <row r="44" spans="1:37" s="461" customFormat="1">
      <c r="A44" s="461" t="s">
        <v>326</v>
      </c>
      <c r="B44" s="232">
        <f>0.0875-0.0116</f>
        <v>7.5899999999999995E-2</v>
      </c>
      <c r="C44" s="477">
        <v>20</v>
      </c>
      <c r="D44" s="492">
        <v>100</v>
      </c>
      <c r="E44" s="492">
        <v>24.775119112439114</v>
      </c>
      <c r="F44" s="492">
        <v>26.306772309945355</v>
      </c>
      <c r="G44" s="493">
        <f t="shared" ref="G44:G50" si="5">F44-E44</f>
        <v>1.5316531975062411</v>
      </c>
      <c r="J44" s="47" t="s">
        <v>326</v>
      </c>
      <c r="K44" s="320">
        <f>0.0912-0.01</f>
        <v>8.1200000000000008E-2</v>
      </c>
      <c r="L44" s="477">
        <v>20</v>
      </c>
      <c r="M44" s="492">
        <v>100</v>
      </c>
      <c r="N44" s="492">
        <v>25.634357370993929</v>
      </c>
      <c r="O44" s="492">
        <v>27.132227607502202</v>
      </c>
      <c r="P44" s="493">
        <f t="shared" ref="P44:P52" si="6">O44-N44</f>
        <v>1.4978702365082732</v>
      </c>
      <c r="AJ44" s="65"/>
      <c r="AK44" s="65"/>
    </row>
    <row r="45" spans="1:37" s="461" customFormat="1">
      <c r="B45" s="232"/>
      <c r="C45" s="422">
        <v>15</v>
      </c>
      <c r="D45" s="423">
        <v>133</v>
      </c>
      <c r="E45" s="423">
        <v>24.439470436541463</v>
      </c>
      <c r="F45" s="423">
        <v>26.314502287775412</v>
      </c>
      <c r="G45" s="494">
        <f t="shared" si="5"/>
        <v>1.875031851233949</v>
      </c>
      <c r="J45" s="320"/>
      <c r="K45" s="320"/>
      <c r="L45" s="422">
        <v>15</v>
      </c>
      <c r="M45" s="423">
        <v>133</v>
      </c>
      <c r="N45" s="421">
        <v>25.632494725733675</v>
      </c>
      <c r="O45" s="421">
        <v>27.466082719926987</v>
      </c>
      <c r="P45" s="500">
        <f t="shared" si="6"/>
        <v>1.8335879941933122</v>
      </c>
      <c r="AJ45" s="65"/>
      <c r="AK45" s="65"/>
    </row>
    <row r="46" spans="1:37" s="461" customFormat="1">
      <c r="A46" s="461" t="s">
        <v>325</v>
      </c>
      <c r="B46" s="232">
        <f>0.0772-0.0067</f>
        <v>7.0500000000000007E-2</v>
      </c>
      <c r="C46" s="477">
        <v>20</v>
      </c>
      <c r="D46" s="492">
        <v>100</v>
      </c>
      <c r="E46" s="492">
        <v>25.449024167598729</v>
      </c>
      <c r="F46" s="492">
        <v>26.647729524834723</v>
      </c>
      <c r="G46" s="493">
        <f t="shared" si="5"/>
        <v>1.198705357235994</v>
      </c>
      <c r="J46" s="320"/>
      <c r="K46" s="320"/>
      <c r="L46" s="422">
        <v>30</v>
      </c>
      <c r="M46" s="423">
        <v>130</v>
      </c>
      <c r="N46" s="423">
        <v>25.631470270840552</v>
      </c>
      <c r="O46" s="423">
        <v>27.715397788011909</v>
      </c>
      <c r="P46" s="494">
        <f t="shared" si="6"/>
        <v>2.0839275171713574</v>
      </c>
      <c r="AJ46" s="65"/>
      <c r="AK46" s="65"/>
    </row>
    <row r="47" spans="1:37" s="461" customFormat="1">
      <c r="B47" s="232"/>
      <c r="C47" s="422">
        <v>15</v>
      </c>
      <c r="D47" s="423">
        <v>133</v>
      </c>
      <c r="E47" s="423">
        <v>25.807969213858549</v>
      </c>
      <c r="F47" s="423">
        <v>27.501566112134824</v>
      </c>
      <c r="G47" s="494">
        <f t="shared" si="5"/>
        <v>1.6935968982762759</v>
      </c>
      <c r="J47" s="47" t="s">
        <v>325</v>
      </c>
      <c r="K47" s="320">
        <f>0.0776-0.0052</f>
        <v>7.2400000000000006E-2</v>
      </c>
      <c r="L47" s="477">
        <v>20</v>
      </c>
      <c r="M47" s="492">
        <v>100</v>
      </c>
      <c r="N47" s="320">
        <v>25.97037857594362</v>
      </c>
      <c r="O47" s="320">
        <v>27.3303890127175</v>
      </c>
      <c r="P47" s="493">
        <f t="shared" si="6"/>
        <v>1.3600104367738801</v>
      </c>
      <c r="AJ47" s="65"/>
      <c r="AK47" s="65"/>
    </row>
    <row r="48" spans="1:37" s="461" customFormat="1">
      <c r="A48" s="461" t="s">
        <v>327</v>
      </c>
      <c r="B48" s="232">
        <f>0.0817-0.0081</f>
        <v>7.3599999999999999E-2</v>
      </c>
      <c r="C48" s="477">
        <v>20</v>
      </c>
      <c r="D48" s="492">
        <v>100</v>
      </c>
      <c r="E48" s="492">
        <v>26.055873993389252</v>
      </c>
      <c r="F48" s="492">
        <v>27.321634579994363</v>
      </c>
      <c r="G48" s="493">
        <f t="shared" si="5"/>
        <v>1.2657605866051114</v>
      </c>
      <c r="J48" s="47"/>
      <c r="K48" s="320"/>
      <c r="L48" s="422">
        <v>15</v>
      </c>
      <c r="M48" s="423">
        <v>133</v>
      </c>
      <c r="N48" s="320">
        <v>25.631097741788484</v>
      </c>
      <c r="O48" s="320">
        <v>27.332065393451778</v>
      </c>
      <c r="P48" s="500">
        <f t="shared" si="6"/>
        <v>1.7009676516632943</v>
      </c>
      <c r="AJ48" s="65"/>
      <c r="AK48" s="65"/>
    </row>
    <row r="49" spans="1:37" s="461" customFormat="1">
      <c r="B49" s="232"/>
      <c r="C49" s="422">
        <v>15</v>
      </c>
      <c r="D49" s="423">
        <v>133</v>
      </c>
      <c r="E49" s="421">
        <v>25.615917182917414</v>
      </c>
      <c r="F49" s="421">
        <v>27.322659034887486</v>
      </c>
      <c r="G49" s="500">
        <f t="shared" si="5"/>
        <v>1.7067418519700723</v>
      </c>
      <c r="J49" s="47"/>
      <c r="K49" s="320"/>
      <c r="L49" s="422">
        <v>30</v>
      </c>
      <c r="M49" s="423">
        <v>130</v>
      </c>
      <c r="N49" s="411">
        <v>24.775119112439114</v>
      </c>
      <c r="O49" s="411">
        <v>26.671850780954994</v>
      </c>
      <c r="P49" s="494">
        <f t="shared" si="6"/>
        <v>1.8967316685158799</v>
      </c>
      <c r="AJ49" s="65"/>
      <c r="AK49" s="65"/>
    </row>
    <row r="50" spans="1:37" s="461" customFormat="1">
      <c r="B50" s="13"/>
      <c r="C50" s="422">
        <v>30</v>
      </c>
      <c r="D50" s="423">
        <v>130</v>
      </c>
      <c r="E50" s="423">
        <v>25.457685468058912</v>
      </c>
      <c r="F50" s="423">
        <v>27.508364767334754</v>
      </c>
      <c r="G50" s="494">
        <f t="shared" si="5"/>
        <v>2.050679299275842</v>
      </c>
      <c r="J50" s="47" t="s">
        <v>327</v>
      </c>
      <c r="K50" s="320">
        <f>0.0855-0.0149</f>
        <v>7.060000000000001E-2</v>
      </c>
      <c r="L50" s="477">
        <v>20</v>
      </c>
      <c r="M50" s="492">
        <v>100</v>
      </c>
      <c r="N50" s="320">
        <v>25.632308461207653</v>
      </c>
      <c r="O50" s="320">
        <v>26.879256330684214</v>
      </c>
      <c r="P50" s="493">
        <f t="shared" si="6"/>
        <v>1.2469478694765606</v>
      </c>
      <c r="AJ50" s="65"/>
      <c r="AK50" s="65"/>
    </row>
    <row r="51" spans="1:37" s="461" customFormat="1">
      <c r="J51" s="47"/>
      <c r="K51" s="320"/>
      <c r="L51" s="422">
        <v>15</v>
      </c>
      <c r="M51" s="423">
        <v>133</v>
      </c>
      <c r="N51" s="320">
        <v>25.677663873294815</v>
      </c>
      <c r="O51" s="320">
        <v>27.332531054766839</v>
      </c>
      <c r="P51" s="500">
        <f t="shared" si="6"/>
        <v>1.6548671814720244</v>
      </c>
      <c r="AJ51" s="65"/>
      <c r="AK51" s="65"/>
    </row>
    <row r="52" spans="1:37" s="461" customFormat="1">
      <c r="J52" s="47"/>
      <c r="K52" s="320"/>
      <c r="L52" s="422">
        <v>30</v>
      </c>
      <c r="M52" s="423">
        <v>130</v>
      </c>
      <c r="N52" s="411">
        <v>25.979691802244886</v>
      </c>
      <c r="O52" s="411">
        <v>27.844106575495402</v>
      </c>
      <c r="P52" s="494">
        <f t="shared" si="6"/>
        <v>1.8644147732505161</v>
      </c>
      <c r="AJ52" s="65"/>
      <c r="AK52" s="65"/>
    </row>
    <row r="53" spans="1:37" s="461" customFormat="1">
      <c r="J53" s="471" t="s">
        <v>356</v>
      </c>
      <c r="K53" s="62"/>
      <c r="L53" s="62"/>
      <c r="M53" s="62"/>
      <c r="N53" s="461" t="s">
        <v>291</v>
      </c>
      <c r="AJ53" s="65"/>
      <c r="AK53" s="65"/>
    </row>
    <row r="54" spans="1:37" s="461" customFormat="1" ht="18.75">
      <c r="A54" s="471" t="s">
        <v>348</v>
      </c>
      <c r="B54" s="438"/>
      <c r="C54" s="438"/>
      <c r="D54" s="438"/>
      <c r="E54" s="13"/>
      <c r="F54" s="461" t="s">
        <v>291</v>
      </c>
      <c r="G54" s="13"/>
      <c r="J54" s="502"/>
      <c r="K54" s="461" t="s">
        <v>292</v>
      </c>
      <c r="L54" s="418" t="s">
        <v>0</v>
      </c>
      <c r="M54" s="419" t="s">
        <v>1</v>
      </c>
      <c r="N54" s="419" t="s">
        <v>49</v>
      </c>
      <c r="O54" s="419" t="s">
        <v>6</v>
      </c>
      <c r="P54" s="420" t="s">
        <v>7</v>
      </c>
      <c r="AJ54" s="65"/>
      <c r="AK54" s="65"/>
    </row>
    <row r="55" spans="1:37" s="461" customFormat="1" ht="18.75">
      <c r="A55" s="13"/>
      <c r="B55" s="461" t="s">
        <v>292</v>
      </c>
      <c r="C55" s="323" t="s">
        <v>0</v>
      </c>
      <c r="D55" s="324" t="s">
        <v>1</v>
      </c>
      <c r="E55" s="324" t="s">
        <v>49</v>
      </c>
      <c r="F55" s="324" t="s">
        <v>6</v>
      </c>
      <c r="G55" s="325" t="s">
        <v>7</v>
      </c>
      <c r="J55" s="502"/>
      <c r="K55" s="451">
        <v>9.6100000000000005E-2</v>
      </c>
      <c r="L55" s="503">
        <v>20</v>
      </c>
      <c r="M55" s="504">
        <v>100</v>
      </c>
      <c r="N55" s="451">
        <v>22.20057083</v>
      </c>
      <c r="O55" s="451">
        <v>23.382392129999999</v>
      </c>
      <c r="P55" s="505">
        <f>O55-N55</f>
        <v>1.1818212999999993</v>
      </c>
      <c r="AJ55" s="65"/>
      <c r="AK55" s="65"/>
    </row>
    <row r="56" spans="1:37" s="461" customFormat="1" ht="15.75">
      <c r="A56" s="13"/>
      <c r="B56" s="320">
        <f>0.0771-0.0049</f>
        <v>7.22E-2</v>
      </c>
      <c r="C56" s="477">
        <v>20</v>
      </c>
      <c r="D56" s="492">
        <v>100</v>
      </c>
      <c r="E56" s="413">
        <v>24.07848978510437</v>
      </c>
      <c r="F56" s="413">
        <v>25.439617809034466</v>
      </c>
      <c r="G56" s="493">
        <f>F56-E56</f>
        <v>1.361128023930096</v>
      </c>
      <c r="J56" s="502" t="s">
        <v>69</v>
      </c>
      <c r="K56" s="451"/>
      <c r="L56" s="486">
        <v>15</v>
      </c>
      <c r="M56" s="421">
        <v>133</v>
      </c>
      <c r="N56" s="421">
        <v>22.197124939999998</v>
      </c>
      <c r="O56" s="451">
        <v>23.55920527</v>
      </c>
      <c r="P56" s="506">
        <f>O56-N56</f>
        <v>1.3620803300000013</v>
      </c>
      <c r="AJ56" s="65"/>
      <c r="AK56" s="65"/>
    </row>
    <row r="57" spans="1:37" s="461" customFormat="1" ht="15.75">
      <c r="A57" s="13"/>
      <c r="B57" s="320"/>
      <c r="C57" s="422">
        <v>15</v>
      </c>
      <c r="D57" s="423">
        <v>133</v>
      </c>
      <c r="E57" s="320">
        <v>24.411810154426707</v>
      </c>
      <c r="F57" s="320">
        <v>26.10216072810654</v>
      </c>
      <c r="G57" s="500">
        <f>F57-E57</f>
        <v>1.690350573679833</v>
      </c>
      <c r="J57" s="502"/>
      <c r="K57" s="451"/>
      <c r="L57" s="422">
        <v>30</v>
      </c>
      <c r="M57" s="423">
        <v>130</v>
      </c>
      <c r="N57" s="423">
        <v>22.2039236</v>
      </c>
      <c r="O57" s="423">
        <v>23.572967859999999</v>
      </c>
      <c r="P57" s="507">
        <f>O57-N57</f>
        <v>1.369044259999999</v>
      </c>
      <c r="AJ57" s="65"/>
      <c r="AK57" s="65"/>
    </row>
    <row r="58" spans="1:37" s="461" customFormat="1" ht="18.75">
      <c r="B58" s="320"/>
      <c r="C58" s="422">
        <v>30</v>
      </c>
      <c r="D58" s="423">
        <v>130</v>
      </c>
      <c r="E58" s="411">
        <v>24.414231593265047</v>
      </c>
      <c r="F58" s="411">
        <v>26.294292586701669</v>
      </c>
      <c r="G58" s="494">
        <f>F58-E58</f>
        <v>1.8800609934366221</v>
      </c>
      <c r="J58" s="502"/>
      <c r="K58" s="461" t="s">
        <v>292</v>
      </c>
      <c r="L58" s="418" t="s">
        <v>0</v>
      </c>
      <c r="M58" s="419" t="s">
        <v>1</v>
      </c>
      <c r="N58" s="419" t="s">
        <v>49</v>
      </c>
      <c r="O58" s="419" t="s">
        <v>6</v>
      </c>
      <c r="P58" s="420" t="s">
        <v>7</v>
      </c>
      <c r="AJ58" s="65"/>
      <c r="AK58" s="65"/>
    </row>
    <row r="59" spans="1:37" s="461" customFormat="1" ht="15.75">
      <c r="J59" s="502"/>
      <c r="K59" s="451">
        <v>9.8100000000000007E-2</v>
      </c>
      <c r="L59" s="503">
        <v>20</v>
      </c>
      <c r="M59" s="504">
        <v>100</v>
      </c>
      <c r="N59" s="451">
        <v>22.547674780000001</v>
      </c>
      <c r="O59" s="451">
        <v>23.67971842</v>
      </c>
      <c r="P59" s="505">
        <f>O59-N59</f>
        <v>1.1320436399999991</v>
      </c>
      <c r="AJ59" s="65"/>
      <c r="AK59" s="65"/>
    </row>
    <row r="60" spans="1:37" s="461" customFormat="1" ht="15.75">
      <c r="J60" s="502" t="s">
        <v>70</v>
      </c>
      <c r="K60" s="451"/>
      <c r="L60" s="486">
        <v>15</v>
      </c>
      <c r="M60" s="421">
        <v>133</v>
      </c>
      <c r="N60" s="421">
        <v>22.547767910000001</v>
      </c>
      <c r="O60" s="451">
        <v>23.875109900000002</v>
      </c>
      <c r="P60" s="506">
        <f>O60-N60</f>
        <v>1.3273419900000007</v>
      </c>
      <c r="AJ60" s="65"/>
      <c r="AK60" s="65"/>
    </row>
    <row r="61" spans="1:37" s="461" customFormat="1" ht="15.75">
      <c r="J61" s="502"/>
      <c r="K61" s="451"/>
      <c r="L61" s="422">
        <v>30</v>
      </c>
      <c r="M61" s="423">
        <v>130</v>
      </c>
      <c r="N61" s="423">
        <v>22.539106610000001</v>
      </c>
      <c r="O61" s="423">
        <v>23.797671959999999</v>
      </c>
      <c r="P61" s="507">
        <f>O61-N61</f>
        <v>1.2585653499999978</v>
      </c>
      <c r="AJ61" s="65"/>
      <c r="AK61" s="65"/>
    </row>
    <row r="62" spans="1:37" s="461" customFormat="1" ht="18.75">
      <c r="J62" s="502"/>
      <c r="K62" s="461" t="s">
        <v>292</v>
      </c>
      <c r="L62" s="418" t="s">
        <v>0</v>
      </c>
      <c r="M62" s="419" t="s">
        <v>1</v>
      </c>
      <c r="N62" s="419" t="s">
        <v>49</v>
      </c>
      <c r="O62" s="419" t="s">
        <v>6</v>
      </c>
      <c r="P62" s="420" t="s">
        <v>7</v>
      </c>
      <c r="AJ62" s="65"/>
      <c r="AK62" s="65"/>
    </row>
    <row r="63" spans="1:37" s="461" customFormat="1" ht="15.75">
      <c r="J63" s="502"/>
      <c r="K63" s="451">
        <v>9.7900000000000001E-2</v>
      </c>
      <c r="L63" s="503">
        <v>20</v>
      </c>
      <c r="M63" s="504">
        <v>100</v>
      </c>
      <c r="N63" s="451">
        <v>22.720341990000001</v>
      </c>
      <c r="O63" s="451">
        <v>23.90027967</v>
      </c>
      <c r="P63" s="505">
        <f>O63-N63</f>
        <v>1.1799376799999983</v>
      </c>
      <c r="AJ63" s="65"/>
      <c r="AK63" s="65"/>
    </row>
    <row r="64" spans="1:37" s="461" customFormat="1" ht="15.75">
      <c r="J64" s="502" t="s">
        <v>71</v>
      </c>
      <c r="K64" s="451"/>
      <c r="L64" s="486">
        <v>15</v>
      </c>
      <c r="M64" s="421">
        <v>133</v>
      </c>
      <c r="N64" s="421">
        <v>22.72620933</v>
      </c>
      <c r="O64" s="451">
        <v>24.051502410000001</v>
      </c>
      <c r="P64" s="506">
        <f>O64-N64</f>
        <v>1.3252930800000016</v>
      </c>
      <c r="AJ64" s="65"/>
      <c r="AK64" s="65"/>
    </row>
    <row r="65" spans="5:61" s="461" customFormat="1" ht="15.75">
      <c r="J65" s="502"/>
      <c r="K65" s="451"/>
      <c r="L65" s="422">
        <v>30</v>
      </c>
      <c r="M65" s="423">
        <v>130</v>
      </c>
      <c r="N65" s="423">
        <v>22.55000308</v>
      </c>
      <c r="O65" s="423">
        <v>24.08379832</v>
      </c>
      <c r="P65" s="507">
        <f>O65-N65</f>
        <v>1.5337952399999999</v>
      </c>
      <c r="AJ65" s="65"/>
      <c r="AK65" s="65"/>
    </row>
    <row r="66" spans="5:61" s="461" customFormat="1" ht="18.75">
      <c r="J66" s="502"/>
      <c r="K66" s="451"/>
      <c r="L66" s="418" t="s">
        <v>0</v>
      </c>
      <c r="M66" s="419" t="s">
        <v>1</v>
      </c>
      <c r="N66" s="419" t="s">
        <v>49</v>
      </c>
      <c r="O66" s="419" t="s">
        <v>6</v>
      </c>
      <c r="P66" s="420" t="s">
        <v>7</v>
      </c>
      <c r="AJ66" s="65"/>
      <c r="AK66" s="65"/>
    </row>
    <row r="67" spans="5:61" s="461" customFormat="1" ht="15.75">
      <c r="J67" s="502"/>
      <c r="K67" s="461" t="s">
        <v>292</v>
      </c>
      <c r="L67" s="503">
        <v>20</v>
      </c>
      <c r="M67" s="504">
        <v>100</v>
      </c>
      <c r="N67" s="451">
        <v>22.20057083</v>
      </c>
      <c r="O67" s="451">
        <v>23.327354029999999</v>
      </c>
      <c r="P67" s="505">
        <f>O67-N67</f>
        <v>1.1267831999999984</v>
      </c>
      <c r="AJ67" s="65"/>
      <c r="AK67" s="65"/>
    </row>
    <row r="68" spans="5:61" s="461" customFormat="1" ht="15.75">
      <c r="J68" s="502" t="s">
        <v>72</v>
      </c>
      <c r="K68" s="451"/>
      <c r="L68" s="486">
        <v>15</v>
      </c>
      <c r="M68" s="421">
        <v>133</v>
      </c>
      <c r="N68" s="421">
        <v>22.213143689999999</v>
      </c>
      <c r="O68" s="451">
        <v>23.568242170000001</v>
      </c>
      <c r="P68" s="506">
        <f>O68-N68</f>
        <v>1.3550984800000023</v>
      </c>
      <c r="AJ68" s="65"/>
      <c r="AK68" s="65"/>
    </row>
    <row r="69" spans="5:61" s="461" customFormat="1" ht="15.75">
      <c r="J69" s="502"/>
      <c r="K69" s="451"/>
      <c r="L69" s="422">
        <v>30</v>
      </c>
      <c r="M69" s="423">
        <v>130</v>
      </c>
      <c r="N69" s="423">
        <v>22.205506840000002</v>
      </c>
      <c r="O69" s="423">
        <v>23.750943620000001</v>
      </c>
      <c r="P69" s="507">
        <f>O69-N69</f>
        <v>1.5454367799999993</v>
      </c>
      <c r="AJ69" s="65"/>
      <c r="AK69" s="65"/>
    </row>
    <row r="70" spans="5:61" ht="18.75">
      <c r="J70" s="502"/>
      <c r="K70" s="451"/>
      <c r="L70" s="418" t="s">
        <v>0</v>
      </c>
      <c r="M70" s="419" t="s">
        <v>1</v>
      </c>
      <c r="N70" s="419" t="s">
        <v>49</v>
      </c>
      <c r="O70" s="419" t="s">
        <v>6</v>
      </c>
      <c r="P70" s="420" t="s">
        <v>7</v>
      </c>
    </row>
    <row r="71" spans="5:61" ht="15.75">
      <c r="J71" s="502"/>
      <c r="K71" s="461" t="s">
        <v>292</v>
      </c>
      <c r="L71" s="503">
        <v>20</v>
      </c>
      <c r="M71" s="504">
        <v>100</v>
      </c>
      <c r="N71" s="451">
        <v>22.206624430000002</v>
      </c>
      <c r="O71" s="451">
        <v>23.375389299999998</v>
      </c>
      <c r="P71" s="505">
        <f>O71-N71</f>
        <v>1.1687648699999968</v>
      </c>
    </row>
    <row r="72" spans="5:61" ht="15.75">
      <c r="J72" s="502" t="s">
        <v>73</v>
      </c>
      <c r="K72" s="451"/>
      <c r="L72" s="486">
        <v>15</v>
      </c>
      <c r="M72" s="421">
        <v>133</v>
      </c>
      <c r="N72" s="421">
        <v>22.548885500000001</v>
      </c>
      <c r="O72" s="451">
        <v>23.88204979</v>
      </c>
      <c r="P72" s="506">
        <f>O72-N72</f>
        <v>1.3331642899999991</v>
      </c>
    </row>
    <row r="73" spans="5:61" ht="15.75">
      <c r="J73" s="502"/>
      <c r="K73" s="451"/>
      <c r="L73" s="422">
        <v>30</v>
      </c>
      <c r="M73" s="423">
        <v>130</v>
      </c>
      <c r="N73" s="423">
        <v>22.548140440000001</v>
      </c>
      <c r="O73" s="423">
        <v>24.117863750000001</v>
      </c>
      <c r="P73" s="507">
        <f>O73-N73</f>
        <v>1.5697233100000005</v>
      </c>
    </row>
    <row r="75" spans="5:61">
      <c r="AI75" s="435">
        <v>42411</v>
      </c>
      <c r="AJ75" s="436"/>
      <c r="AK75" s="436"/>
      <c r="AO75" s="1">
        <v>42422</v>
      </c>
    </row>
    <row r="76" spans="5:61">
      <c r="E76" s="461"/>
      <c r="F76" s="461"/>
      <c r="G76" s="461"/>
      <c r="H76" s="435">
        <v>42375</v>
      </c>
      <c r="I76" s="487"/>
      <c r="J76" s="487"/>
      <c r="K76" s="487" t="s">
        <v>357</v>
      </c>
      <c r="L76" s="487"/>
      <c r="M76" s="487" t="s">
        <v>164</v>
      </c>
      <c r="N76" s="487"/>
      <c r="O76" s="487" t="s">
        <v>81</v>
      </c>
      <c r="P76" s="487"/>
      <c r="Q76" s="487"/>
      <c r="R76" s="487"/>
      <c r="S76" s="461"/>
      <c r="T76" s="461"/>
      <c r="U76" s="487" t="s">
        <v>82</v>
      </c>
      <c r="V76" s="487"/>
      <c r="W76" s="487"/>
      <c r="X76" s="487"/>
      <c r="Y76" s="487" t="s">
        <v>83</v>
      </c>
      <c r="Z76" s="487"/>
      <c r="AA76" s="487"/>
      <c r="AB76" s="487"/>
      <c r="AC76" s="487" t="s">
        <v>165</v>
      </c>
      <c r="AD76" s="487"/>
      <c r="AE76" s="487"/>
      <c r="AF76" s="487"/>
      <c r="AG76" s="461"/>
      <c r="AH76" s="461"/>
      <c r="AI76" s="461"/>
      <c r="AK76" s="65" t="s">
        <v>358</v>
      </c>
      <c r="AL76" s="461"/>
      <c r="AM76" s="461" t="s">
        <v>105</v>
      </c>
      <c r="AN76" s="461"/>
      <c r="AO76" s="461"/>
      <c r="AP76" s="461" t="s">
        <v>106</v>
      </c>
      <c r="AQ76" s="461"/>
      <c r="AR76" s="461"/>
      <c r="AS76" s="461" t="s">
        <v>108</v>
      </c>
      <c r="AT76" s="461" t="s">
        <v>109</v>
      </c>
      <c r="AU76" s="461" t="s">
        <v>5</v>
      </c>
      <c r="AV76" s="461"/>
      <c r="AW76" s="461"/>
      <c r="AX76" s="461"/>
      <c r="AY76" s="461"/>
      <c r="AZ76" s="461" t="s">
        <v>9</v>
      </c>
      <c r="BA76" s="461"/>
      <c r="BB76" s="461"/>
      <c r="BC76" s="461"/>
      <c r="BD76" s="461"/>
      <c r="BE76" s="461" t="s">
        <v>98</v>
      </c>
      <c r="BF76" s="461"/>
      <c r="BG76" s="461"/>
      <c r="BH76" s="461"/>
      <c r="BI76" s="461"/>
    </row>
    <row r="77" spans="5:61">
      <c r="E77" s="461"/>
      <c r="F77" s="461"/>
      <c r="G77" s="461"/>
      <c r="H77" s="461">
        <v>0.93620000000000003</v>
      </c>
      <c r="I77" s="461" t="s">
        <v>359</v>
      </c>
      <c r="J77" s="461"/>
      <c r="K77" s="461" t="s">
        <v>79</v>
      </c>
      <c r="L77" s="461" t="s">
        <v>80</v>
      </c>
      <c r="M77" s="461" t="s">
        <v>79</v>
      </c>
      <c r="N77" s="461" t="s">
        <v>80</v>
      </c>
      <c r="O77" s="461" t="s">
        <v>79</v>
      </c>
      <c r="P77" s="461" t="s">
        <v>80</v>
      </c>
      <c r="Q77" s="461"/>
      <c r="R77" s="461"/>
      <c r="S77" s="461"/>
      <c r="T77" s="461"/>
      <c r="U77" s="461" t="s">
        <v>79</v>
      </c>
      <c r="V77" s="461" t="s">
        <v>80</v>
      </c>
      <c r="W77" s="461"/>
      <c r="X77" s="461"/>
      <c r="Y77" s="461" t="s">
        <v>79</v>
      </c>
      <c r="Z77" s="461" t="s">
        <v>80</v>
      </c>
      <c r="AA77" s="461"/>
      <c r="AB77" s="461"/>
      <c r="AC77" s="461" t="s">
        <v>166</v>
      </c>
      <c r="AD77" s="461"/>
      <c r="AE77" s="461" t="s">
        <v>46</v>
      </c>
      <c r="AF77" s="461"/>
      <c r="AG77" s="461"/>
      <c r="AH77" s="461"/>
      <c r="AI77" s="461"/>
      <c r="AK77" s="65" t="s">
        <v>80</v>
      </c>
      <c r="AL77" s="461"/>
      <c r="AM77" s="461" t="s">
        <v>80</v>
      </c>
      <c r="AN77" s="461"/>
      <c r="AO77" s="461"/>
      <c r="AP77" s="461" t="s">
        <v>80</v>
      </c>
      <c r="AQ77" s="461"/>
      <c r="AR77" s="461"/>
      <c r="AS77" s="461"/>
      <c r="AT77" s="461"/>
      <c r="AU77" s="461" t="s">
        <v>156</v>
      </c>
      <c r="AV77" s="461"/>
      <c r="AW77" s="461"/>
      <c r="AX77" s="461"/>
      <c r="AY77" s="461"/>
      <c r="AZ77" s="461" t="s">
        <v>156</v>
      </c>
      <c r="BA77" s="461"/>
      <c r="BB77" s="461"/>
      <c r="BC77" s="461"/>
      <c r="BD77" s="461"/>
      <c r="BE77" s="461" t="s">
        <v>156</v>
      </c>
      <c r="BF77" s="461"/>
      <c r="BG77" s="461"/>
      <c r="BH77" s="461"/>
      <c r="BI77" s="461"/>
    </row>
    <row r="78" spans="5:61">
      <c r="E78" s="461"/>
      <c r="F78" s="461"/>
      <c r="G78" s="461"/>
      <c r="H78" s="461"/>
      <c r="I78" s="461" t="s">
        <v>360</v>
      </c>
      <c r="J78" s="461" t="s">
        <v>361</v>
      </c>
      <c r="K78" s="461" t="s">
        <v>362</v>
      </c>
      <c r="L78" s="461"/>
      <c r="M78" s="461"/>
      <c r="N78" s="461"/>
      <c r="O78" s="461"/>
      <c r="P78" s="461">
        <v>1.5600585380000001</v>
      </c>
      <c r="Q78" s="461"/>
      <c r="R78" s="461"/>
      <c r="S78" s="461" t="s">
        <v>96</v>
      </c>
      <c r="T78" s="461" t="s">
        <v>97</v>
      </c>
      <c r="U78" s="461"/>
      <c r="V78" s="461">
        <v>2.170726787</v>
      </c>
      <c r="W78" s="461"/>
      <c r="X78" s="461"/>
      <c r="Y78" s="461"/>
      <c r="Z78" s="461">
        <v>2.1376676840000002</v>
      </c>
      <c r="AA78" s="461"/>
      <c r="AB78" s="461"/>
      <c r="AC78" s="461">
        <v>2.2321969309999998</v>
      </c>
      <c r="AD78" s="461"/>
      <c r="AE78" s="461">
        <v>2.1721969310000002</v>
      </c>
      <c r="AF78" s="461"/>
      <c r="AG78" s="461" t="s">
        <v>96</v>
      </c>
      <c r="AH78" s="461" t="s">
        <v>96</v>
      </c>
      <c r="AI78" s="461" t="s">
        <v>97</v>
      </c>
      <c r="AJ78" s="65" t="s">
        <v>97</v>
      </c>
      <c r="AK78" s="65">
        <v>1.74818856</v>
      </c>
      <c r="AL78" s="461"/>
      <c r="AM78" s="461">
        <v>1.530067098</v>
      </c>
      <c r="AN78" s="461"/>
      <c r="AO78" s="461"/>
      <c r="AP78" s="461">
        <v>0.67045631100000003</v>
      </c>
      <c r="AQ78" s="461"/>
      <c r="AR78" s="461"/>
      <c r="AS78" s="461"/>
      <c r="AT78" s="461"/>
      <c r="AU78" s="461">
        <v>1</v>
      </c>
      <c r="AV78" s="461">
        <v>2</v>
      </c>
      <c r="AW78" s="461">
        <v>3</v>
      </c>
      <c r="AX78" s="461" t="s">
        <v>97</v>
      </c>
      <c r="AY78" s="461" t="s">
        <v>96</v>
      </c>
      <c r="AZ78" s="461">
        <v>1</v>
      </c>
      <c r="BA78" s="461">
        <v>2</v>
      </c>
      <c r="BB78" s="461">
        <v>3</v>
      </c>
      <c r="BC78" s="461" t="s">
        <v>97</v>
      </c>
      <c r="BD78" s="461" t="s">
        <v>96</v>
      </c>
      <c r="BE78" s="461">
        <v>1</v>
      </c>
      <c r="BF78" s="461">
        <v>2</v>
      </c>
      <c r="BG78" s="461">
        <v>3</v>
      </c>
      <c r="BH78" s="461"/>
      <c r="BI78" s="461" t="s">
        <v>96</v>
      </c>
    </row>
    <row r="79" spans="5:61">
      <c r="E79" s="461"/>
      <c r="F79" s="461"/>
      <c r="G79" s="461"/>
      <c r="H79" s="461"/>
      <c r="I79" s="461">
        <v>0.682752621</v>
      </c>
      <c r="J79" s="461">
        <v>0</v>
      </c>
      <c r="K79" s="461">
        <v>22.54273877</v>
      </c>
      <c r="L79" s="461">
        <v>22.883602849999999</v>
      </c>
      <c r="M79" s="456">
        <v>24.437235260000001</v>
      </c>
      <c r="N79" s="456">
        <v>24.443661389999999</v>
      </c>
      <c r="O79" s="461">
        <v>23.84118878</v>
      </c>
      <c r="P79" s="448">
        <v>24.105405009999998</v>
      </c>
      <c r="Q79" s="461">
        <v>22.883602849999999</v>
      </c>
      <c r="R79" s="461">
        <v>22.28113024</v>
      </c>
      <c r="S79" s="65">
        <v>22.58236655</v>
      </c>
      <c r="T79" s="448">
        <v>0.42601246799999998</v>
      </c>
      <c r="U79" s="461">
        <v>23.77068766</v>
      </c>
      <c r="V79" s="461">
        <v>25.054329639999999</v>
      </c>
      <c r="W79" s="65">
        <v>22.883602849999999</v>
      </c>
      <c r="X79" s="448">
        <v>0.18745149999999999</v>
      </c>
      <c r="Y79" s="461">
        <v>24.995004389999998</v>
      </c>
      <c r="Z79" s="461">
        <v>25.021267680000001</v>
      </c>
      <c r="AA79" s="461">
        <v>22.883600000000001</v>
      </c>
      <c r="AB79" s="461">
        <v>0.10254681</v>
      </c>
      <c r="AC79" s="65">
        <v>25.115796929999998</v>
      </c>
      <c r="AD79" s="65"/>
      <c r="AE79" s="448">
        <v>25.05579693</v>
      </c>
      <c r="AF79" s="448"/>
      <c r="AG79" s="461">
        <v>22.883600000000001</v>
      </c>
      <c r="AH79" s="65">
        <v>22.883600000000001</v>
      </c>
      <c r="AI79" s="461">
        <v>0.10571</v>
      </c>
      <c r="AJ79" s="65">
        <v>2.5845999999999998E-3</v>
      </c>
      <c r="AK79" s="448">
        <v>24.63178856</v>
      </c>
      <c r="AL79" s="461">
        <v>22.883600000000001</v>
      </c>
      <c r="AM79" s="65">
        <v>21.353532900000001</v>
      </c>
      <c r="AN79" s="448">
        <v>22.883600000000001</v>
      </c>
      <c r="AO79" s="461">
        <v>0.28491</v>
      </c>
      <c r="AP79" s="461">
        <v>22.213143689999999</v>
      </c>
      <c r="AQ79" s="461">
        <v>22.883600000000001</v>
      </c>
      <c r="AR79" s="461">
        <v>0.102587</v>
      </c>
      <c r="AS79" s="461">
        <v>22.859947259999998</v>
      </c>
      <c r="AT79" s="448">
        <v>24.077930989999999</v>
      </c>
      <c r="AU79" s="65">
        <v>22.883600000000001</v>
      </c>
      <c r="AV79" s="461">
        <v>22.883600000000001</v>
      </c>
      <c r="AW79" s="461">
        <v>22.883600000000001</v>
      </c>
      <c r="AX79" s="461">
        <v>0</v>
      </c>
      <c r="AY79" s="448">
        <v>22.883600000000001</v>
      </c>
      <c r="AZ79" s="65">
        <v>22.883600000000001</v>
      </c>
      <c r="BA79" s="461">
        <v>22.883600000000001</v>
      </c>
      <c r="BB79" s="47">
        <v>22.883600000000001</v>
      </c>
      <c r="BC79" s="461">
        <v>0</v>
      </c>
      <c r="BD79" s="448">
        <v>22.883600000000001</v>
      </c>
      <c r="BE79" s="65">
        <v>22.883600000000001</v>
      </c>
      <c r="BF79" s="461">
        <v>22.883600000000001</v>
      </c>
      <c r="BG79" s="461">
        <v>22.883600000000001</v>
      </c>
      <c r="BH79" s="461">
        <v>0</v>
      </c>
      <c r="BI79" s="461">
        <v>22.883600000000001</v>
      </c>
    </row>
    <row r="80" spans="5:61">
      <c r="E80" s="461"/>
      <c r="F80" s="461"/>
      <c r="G80" s="461"/>
      <c r="H80" s="461"/>
      <c r="I80" s="461">
        <v>0.68088996999999996</v>
      </c>
      <c r="J80" s="461">
        <v>5</v>
      </c>
      <c r="K80" s="461">
        <v>22.54003793</v>
      </c>
      <c r="L80" s="461">
        <v>23.21161468</v>
      </c>
      <c r="M80" s="456">
        <v>24.438445980000001</v>
      </c>
      <c r="N80" s="456">
        <v>24.437514660000001</v>
      </c>
      <c r="O80" s="461">
        <v>24.104194289999999</v>
      </c>
      <c r="P80" s="448">
        <v>24.108012710000001</v>
      </c>
      <c r="Q80" s="461">
        <v>22.877456120000002</v>
      </c>
      <c r="R80" s="461">
        <v>22.544135749999999</v>
      </c>
      <c r="S80" s="65">
        <v>22.710795940000001</v>
      </c>
      <c r="T80" s="448">
        <v>0.23569309299999999</v>
      </c>
      <c r="U80" s="461">
        <v>24.330040029999999</v>
      </c>
      <c r="V80" s="461">
        <v>26.483257949999999</v>
      </c>
      <c r="W80" s="65">
        <v>24.312531159999999</v>
      </c>
      <c r="X80" s="448">
        <v>0.21035870000000001</v>
      </c>
      <c r="Y80" s="461">
        <v>25.63426424</v>
      </c>
      <c r="Z80" s="461">
        <v>25.97382447</v>
      </c>
      <c r="AA80" s="461">
        <v>23.83615679</v>
      </c>
      <c r="AB80" s="461">
        <v>0.1126587</v>
      </c>
      <c r="AC80" s="65">
        <v>25.125668950000001</v>
      </c>
      <c r="AD80" s="65"/>
      <c r="AE80" s="448">
        <v>25.055668950000001</v>
      </c>
      <c r="AF80" s="448"/>
      <c r="AG80" s="461">
        <v>22.893472020000001</v>
      </c>
      <c r="AH80" s="65">
        <v>22.883472019999999</v>
      </c>
      <c r="AI80" s="461">
        <v>5.8471000000000002E-2</v>
      </c>
      <c r="AJ80" s="65">
        <v>8.574E-3</v>
      </c>
      <c r="AK80" s="448">
        <v>25.367254039999999</v>
      </c>
      <c r="AL80" s="461">
        <v>23.61906548</v>
      </c>
      <c r="AM80" s="65">
        <v>21.68648074</v>
      </c>
      <c r="AN80" s="448">
        <v>23.21654784</v>
      </c>
      <c r="AO80" s="461">
        <v>0.21259700000000001</v>
      </c>
      <c r="AP80" s="461">
        <v>22.23689242</v>
      </c>
      <c r="AQ80" s="461">
        <v>22.907348729999999</v>
      </c>
      <c r="AR80" s="461">
        <v>0.1125854</v>
      </c>
      <c r="AS80" s="461">
        <v>23.548660340000001</v>
      </c>
      <c r="AT80" s="448">
        <v>24.74429233</v>
      </c>
      <c r="AU80" s="65">
        <v>26.462091000000001</v>
      </c>
      <c r="AV80" s="461">
        <v>27.078091000000001</v>
      </c>
      <c r="AW80" s="461">
        <v>26.197620910000001</v>
      </c>
      <c r="AX80" s="461">
        <v>0.45177944599999997</v>
      </c>
      <c r="AY80" s="448">
        <v>26.579267640000001</v>
      </c>
      <c r="AZ80" s="65">
        <v>25.258500000000002</v>
      </c>
      <c r="BA80" s="461">
        <v>25.697452590000001</v>
      </c>
      <c r="BB80" s="47">
        <v>25.230525849999999</v>
      </c>
      <c r="BC80" s="461">
        <v>0.26187863</v>
      </c>
      <c r="BD80" s="448">
        <v>25.39549281</v>
      </c>
      <c r="BE80" s="65">
        <v>24.663080999999998</v>
      </c>
      <c r="BF80" s="461">
        <v>24.487663080000001</v>
      </c>
      <c r="BG80" s="461">
        <v>24.663080999999998</v>
      </c>
      <c r="BH80" s="461">
        <v>0.101277583</v>
      </c>
      <c r="BI80" s="461">
        <v>24.60460836</v>
      </c>
    </row>
    <row r="81" spans="5:61">
      <c r="E81" s="461"/>
      <c r="F81" s="461"/>
      <c r="G81" s="461"/>
      <c r="H81" s="461"/>
      <c r="I81" s="461"/>
      <c r="J81" s="461">
        <v>10</v>
      </c>
      <c r="K81" s="461">
        <v>22.89002898</v>
      </c>
      <c r="L81" s="461">
        <v>23.56942884</v>
      </c>
      <c r="M81" s="456">
        <v>24.438073450000001</v>
      </c>
      <c r="N81" s="456">
        <v>24.437514660000001</v>
      </c>
      <c r="O81" s="461">
        <v>24.11024789</v>
      </c>
      <c r="P81" s="448">
        <v>24.157838470000002</v>
      </c>
      <c r="Q81" s="461">
        <v>22.877456120000002</v>
      </c>
      <c r="R81" s="461">
        <v>22.55018935</v>
      </c>
      <c r="S81" s="65">
        <v>22.71382273</v>
      </c>
      <c r="T81" s="448">
        <v>0.23141255399999999</v>
      </c>
      <c r="U81" s="461">
        <v>25.608187210000001</v>
      </c>
      <c r="V81" s="461">
        <v>27.13513876</v>
      </c>
      <c r="W81" s="65">
        <v>24.96441197</v>
      </c>
      <c r="X81" s="448">
        <v>0.19841064999999999</v>
      </c>
      <c r="Y81" s="461">
        <v>25.97494206</v>
      </c>
      <c r="Z81" s="461">
        <v>26.308728089999999</v>
      </c>
      <c r="AA81" s="461">
        <v>24.171060399999998</v>
      </c>
      <c r="AB81" s="461">
        <v>0.13658200000000001</v>
      </c>
      <c r="AC81" s="65">
        <v>25.124085699999998</v>
      </c>
      <c r="AD81" s="65"/>
      <c r="AE81" s="448">
        <v>24.964085699999998</v>
      </c>
      <c r="AF81" s="448"/>
      <c r="AG81" s="461">
        <v>22.891888770000001</v>
      </c>
      <c r="AH81" s="65">
        <v>22.79188877</v>
      </c>
      <c r="AI81" s="461">
        <v>1.25681E-2</v>
      </c>
      <c r="AJ81" s="65">
        <v>1.2567999999999999E-2</v>
      </c>
      <c r="AK81" s="448">
        <v>25.636965069999999</v>
      </c>
      <c r="AL81" s="461">
        <v>23.88877651</v>
      </c>
      <c r="AM81" s="65">
        <v>21.933840029999999</v>
      </c>
      <c r="AN81" s="448">
        <v>23.463907129999999</v>
      </c>
      <c r="AO81" s="461">
        <v>0.136821</v>
      </c>
      <c r="AP81" s="461">
        <v>22.554845960000002</v>
      </c>
      <c r="AQ81" s="461">
        <v>23.22530227</v>
      </c>
      <c r="AR81" s="461">
        <v>9.6528736000000004E-2</v>
      </c>
      <c r="AS81" s="461">
        <v>23.724214660000001</v>
      </c>
      <c r="AT81" s="448">
        <v>25.086739659999999</v>
      </c>
      <c r="AU81" s="65">
        <v>27.732600000000001</v>
      </c>
      <c r="AV81" s="461">
        <v>27.918154000000001</v>
      </c>
      <c r="AW81" s="461">
        <v>28.302878939999999</v>
      </c>
      <c r="AX81" s="461">
        <v>0.29087845000000001</v>
      </c>
      <c r="AY81" s="448">
        <v>27.98454431</v>
      </c>
      <c r="AZ81" s="65">
        <v>26.162015</v>
      </c>
      <c r="BA81" s="461">
        <v>26.389716199999999</v>
      </c>
      <c r="BB81" s="47">
        <v>25.698016200000001</v>
      </c>
      <c r="BC81" s="461">
        <v>0.35251279200000002</v>
      </c>
      <c r="BD81" s="448">
        <v>26.083249129999999</v>
      </c>
      <c r="BE81" s="65">
        <v>25.341540999999999</v>
      </c>
      <c r="BF81" s="461">
        <v>25.087941000000001</v>
      </c>
      <c r="BG81" s="461">
        <v>25.468941000000001</v>
      </c>
      <c r="BH81" s="461">
        <v>0.19395219299999999</v>
      </c>
      <c r="BI81" s="461">
        <v>25.299474329999999</v>
      </c>
    </row>
    <row r="82" spans="5:61">
      <c r="E82" s="461"/>
      <c r="F82" s="461"/>
      <c r="G82" s="461"/>
      <c r="H82" s="461"/>
      <c r="I82" s="461"/>
      <c r="J82" s="461">
        <v>15</v>
      </c>
      <c r="K82" s="461">
        <v>23.22092791</v>
      </c>
      <c r="L82" s="461">
        <v>23.566355470000001</v>
      </c>
      <c r="M82" s="456">
        <v>24.430716</v>
      </c>
      <c r="N82" s="456">
        <v>24.516770210000001</v>
      </c>
      <c r="O82" s="461">
        <v>24.10084153</v>
      </c>
      <c r="P82" s="448">
        <v>24.10214538</v>
      </c>
      <c r="Q82" s="461">
        <v>22.956711680000002</v>
      </c>
      <c r="R82" s="461">
        <v>22.54078299</v>
      </c>
      <c r="S82" s="65">
        <v>22.74874733</v>
      </c>
      <c r="T82" s="448">
        <v>0.29410599500000001</v>
      </c>
      <c r="U82" s="461">
        <v>25.98341709</v>
      </c>
      <c r="V82" s="461">
        <v>27.511065599999998</v>
      </c>
      <c r="W82" s="65">
        <v>25.340338819999999</v>
      </c>
      <c r="X82" s="448">
        <v>0.25620169999999998</v>
      </c>
      <c r="Y82" s="461">
        <v>25.986862989999999</v>
      </c>
      <c r="Z82" s="461">
        <v>26.54910246</v>
      </c>
      <c r="AA82" s="461">
        <v>24.41143477</v>
      </c>
      <c r="AB82" s="461">
        <v>0.12548400000000001</v>
      </c>
      <c r="AC82" s="65">
        <v>25.12827665</v>
      </c>
      <c r="AD82" s="65"/>
      <c r="AE82" s="448">
        <v>25.068276650000001</v>
      </c>
      <c r="AF82" s="448"/>
      <c r="AG82" s="461">
        <v>22.896079719999999</v>
      </c>
      <c r="AH82" s="65">
        <v>22.896079719999999</v>
      </c>
      <c r="AI82" s="461">
        <v>8.4909999999999999E-2</v>
      </c>
      <c r="AJ82" s="65">
        <v>8.9511999999999994E-3</v>
      </c>
      <c r="AK82" s="448">
        <v>25.836920039999999</v>
      </c>
      <c r="AL82" s="461">
        <v>24.08873148</v>
      </c>
      <c r="AM82" s="65">
        <v>22.20960466</v>
      </c>
      <c r="AN82" s="448">
        <v>23.73967176</v>
      </c>
      <c r="AO82" s="461">
        <v>0.1984157</v>
      </c>
      <c r="AP82" s="461">
        <v>22.747674780000001</v>
      </c>
      <c r="AQ82" s="461">
        <v>23.418131089999999</v>
      </c>
      <c r="AR82" s="461">
        <v>0.152697</v>
      </c>
      <c r="AS82" s="461">
        <v>24.051388299999999</v>
      </c>
      <c r="AT82" s="448">
        <v>25.423226530000001</v>
      </c>
      <c r="AU82" s="65">
        <v>28.522311999999999</v>
      </c>
      <c r="AV82" s="461">
        <v>28.038422310000001</v>
      </c>
      <c r="AW82" s="461">
        <v>28.702422309999999</v>
      </c>
      <c r="AX82" s="461">
        <v>0.34338631200000003</v>
      </c>
      <c r="AY82" s="448">
        <v>28.421052209999999</v>
      </c>
      <c r="AZ82" s="65">
        <v>27.371002000000001</v>
      </c>
      <c r="BA82" s="461">
        <v>27.02678371</v>
      </c>
      <c r="BB82" s="47">
        <v>27.6921371</v>
      </c>
      <c r="BC82" s="461">
        <v>0.33274342400000001</v>
      </c>
      <c r="BD82" s="448">
        <v>27.363307599999999</v>
      </c>
      <c r="BE82" s="65">
        <v>26.171091000000001</v>
      </c>
      <c r="BF82" s="461">
        <v>26.389709100000001</v>
      </c>
      <c r="BG82" s="461">
        <v>26.382591000000001</v>
      </c>
      <c r="BH82" s="461">
        <v>0.124215398</v>
      </c>
      <c r="BI82" s="461">
        <v>26.314463700000001</v>
      </c>
    </row>
    <row r="83" spans="5:61">
      <c r="E83" s="461"/>
      <c r="F83" s="461"/>
      <c r="G83" s="461"/>
      <c r="H83" s="65"/>
      <c r="I83" s="461"/>
      <c r="J83" s="461">
        <v>20</v>
      </c>
      <c r="K83" s="461">
        <v>23.223628739999999</v>
      </c>
      <c r="L83" s="461">
        <v>23.739581479999998</v>
      </c>
      <c r="M83" s="456">
        <v>24.438539110000001</v>
      </c>
      <c r="N83" s="456">
        <v>24.44021549</v>
      </c>
      <c r="O83" s="461">
        <v>24.10251791</v>
      </c>
      <c r="P83" s="448">
        <v>24.096464310000002</v>
      </c>
      <c r="Q83" s="461">
        <v>22.880156960000001</v>
      </c>
      <c r="R83" s="461">
        <v>22.54245937</v>
      </c>
      <c r="S83" s="65">
        <v>22.711308160000002</v>
      </c>
      <c r="T83" s="448">
        <v>0.23878825300000001</v>
      </c>
      <c r="U83" s="461">
        <v>26.3133847</v>
      </c>
      <c r="V83" s="461">
        <v>27.845131030000001</v>
      </c>
      <c r="W83" s="65">
        <v>25.674404240000001</v>
      </c>
      <c r="X83" s="448">
        <v>0.24415832000000001</v>
      </c>
      <c r="Y83" s="461">
        <v>25.972986280000001</v>
      </c>
      <c r="Z83" s="461">
        <v>26.657229019999999</v>
      </c>
      <c r="AA83" s="461">
        <v>24.519561329999998</v>
      </c>
      <c r="AB83" s="461">
        <v>0.20154810000000001</v>
      </c>
      <c r="AC83" s="65">
        <v>25.114958739999999</v>
      </c>
      <c r="AD83" s="65"/>
      <c r="AE83" s="448">
        <v>25.094958739999999</v>
      </c>
      <c r="AF83" s="448"/>
      <c r="AG83" s="461">
        <v>22.882761810000002</v>
      </c>
      <c r="AH83" s="65">
        <v>22.922761810000001</v>
      </c>
      <c r="AI83" s="461">
        <v>8.9510000000000006E-2</v>
      </c>
      <c r="AJ83" s="65">
        <v>6.2574129999999999E-3</v>
      </c>
      <c r="AK83" s="448">
        <v>25.972148090000001</v>
      </c>
      <c r="AL83" s="461">
        <v>24.223959529999998</v>
      </c>
      <c r="AM83" s="65">
        <v>22.55093441</v>
      </c>
      <c r="AN83" s="448">
        <v>24.08100151</v>
      </c>
      <c r="AO83" s="461">
        <v>0.23583999999999999</v>
      </c>
      <c r="AP83" s="461">
        <v>22.892729809999999</v>
      </c>
      <c r="AQ83" s="461">
        <v>23.563186120000001</v>
      </c>
      <c r="AR83" s="461">
        <v>0.13250677999999999</v>
      </c>
      <c r="AS83" s="461">
        <v>24.14479996</v>
      </c>
      <c r="AT83" s="448">
        <v>25.418290519999999</v>
      </c>
      <c r="AU83" s="65">
        <v>29.261703399999998</v>
      </c>
      <c r="AV83" s="461">
        <v>29.4871327</v>
      </c>
      <c r="AW83" s="461">
        <v>29.083703400000001</v>
      </c>
      <c r="AX83" s="461">
        <v>0.202178788</v>
      </c>
      <c r="AY83" s="448">
        <v>29.277513169999999</v>
      </c>
      <c r="AZ83" s="65">
        <v>27.880324000000002</v>
      </c>
      <c r="BA83" s="461">
        <v>27.400388029999998</v>
      </c>
      <c r="BB83" s="47">
        <v>28.189418799999999</v>
      </c>
      <c r="BC83" s="461">
        <v>0.397585984</v>
      </c>
      <c r="BD83" s="448">
        <v>27.82337695</v>
      </c>
      <c r="BE83" s="65">
        <v>26.754239999999999</v>
      </c>
      <c r="BF83" s="461">
        <v>26.384159740000001</v>
      </c>
      <c r="BG83" s="461">
        <v>26.932265399999999</v>
      </c>
      <c r="BH83" s="461">
        <v>0.27960455899999997</v>
      </c>
      <c r="BI83" s="461">
        <v>26.690221709999999</v>
      </c>
    </row>
    <row r="84" spans="5:61">
      <c r="E84" s="461"/>
      <c r="F84" s="461"/>
      <c r="G84" s="461"/>
      <c r="H84" s="65"/>
      <c r="I84" s="461"/>
      <c r="J84" s="461">
        <v>25</v>
      </c>
      <c r="K84" s="461">
        <v>23.570546419999999</v>
      </c>
      <c r="L84" s="461">
        <v>23.733714150000001</v>
      </c>
      <c r="M84" s="456">
        <v>24.443195729999999</v>
      </c>
      <c r="N84" s="456">
        <v>24.435093219999999</v>
      </c>
      <c r="O84" s="461">
        <v>24.10205225</v>
      </c>
      <c r="P84" s="448">
        <v>24.40780547</v>
      </c>
      <c r="Q84" s="461">
        <v>22.875034679999999</v>
      </c>
      <c r="R84" s="461">
        <v>22.54199371</v>
      </c>
      <c r="S84" s="65">
        <v>22.7085142</v>
      </c>
      <c r="T84" s="448">
        <v>0.23549553000000001</v>
      </c>
      <c r="U84" s="461">
        <v>26.659371060000002</v>
      </c>
      <c r="V84" s="461">
        <v>27.947925000000001</v>
      </c>
      <c r="W84" s="65">
        <v>25.777198210000002</v>
      </c>
      <c r="X84" s="448">
        <v>0.21058099999999999</v>
      </c>
      <c r="Y84" s="461">
        <v>26.14686421</v>
      </c>
      <c r="Z84" s="461">
        <v>26.711897650000001</v>
      </c>
      <c r="AA84" s="461">
        <v>24.574229970000001</v>
      </c>
      <c r="AB84" s="461">
        <v>0.19562099999999999</v>
      </c>
      <c r="AC84" s="65">
        <v>25.121664259999999</v>
      </c>
      <c r="AD84" s="65"/>
      <c r="AE84" s="448">
        <v>25.08166426</v>
      </c>
      <c r="AF84" s="448"/>
      <c r="AG84" s="461">
        <v>22.889467329999999</v>
      </c>
      <c r="AH84" s="65">
        <v>22.909467329999998</v>
      </c>
      <c r="AI84" s="461">
        <v>3.5217999999999999E-2</v>
      </c>
      <c r="AJ84" s="65">
        <v>2.5847999999999999E-3</v>
      </c>
      <c r="AK84" s="448">
        <v>26.033335990000001</v>
      </c>
      <c r="AL84" s="461">
        <v>24.285147429999999</v>
      </c>
      <c r="AM84" s="65">
        <v>22.547767910000001</v>
      </c>
      <c r="AN84" s="448">
        <v>24.077835010000001</v>
      </c>
      <c r="AO84" s="461">
        <v>0.240284</v>
      </c>
      <c r="AP84" s="461">
        <v>22.889190790000001</v>
      </c>
      <c r="AQ84" s="461">
        <v>23.559647099999999</v>
      </c>
      <c r="AR84" s="461" t="s">
        <v>162</v>
      </c>
      <c r="AS84" s="461">
        <v>24.39653646</v>
      </c>
      <c r="AT84" s="448">
        <v>25.481620459999998</v>
      </c>
      <c r="AU84" s="65">
        <v>30.165313399999999</v>
      </c>
      <c r="AV84" s="461">
        <v>29.684313400000001</v>
      </c>
      <c r="AW84" s="461">
        <v>29.896339999999999</v>
      </c>
      <c r="AX84" s="461">
        <v>0.24106118500000001</v>
      </c>
      <c r="AY84" s="448">
        <v>29.915322270000001</v>
      </c>
      <c r="AZ84" s="65">
        <v>28.491446100000001</v>
      </c>
      <c r="BA84" s="461">
        <v>28.234914459999999</v>
      </c>
      <c r="BB84" s="47">
        <v>28.614914460000001</v>
      </c>
      <c r="BC84" s="461">
        <v>0.193843974</v>
      </c>
      <c r="BD84" s="448">
        <v>28.447091669999999</v>
      </c>
      <c r="BE84" s="65">
        <v>26.962019699999999</v>
      </c>
      <c r="BF84" s="461">
        <v>27.302119699999999</v>
      </c>
      <c r="BG84" s="461">
        <v>27.0935962</v>
      </c>
      <c r="BH84" s="461">
        <v>0.17149462300000001</v>
      </c>
      <c r="BI84" s="461">
        <v>27.119245200000002</v>
      </c>
    </row>
    <row r="85" spans="5:61" s="425" customFormat="1">
      <c r="H85" s="447"/>
      <c r="I85" s="425">
        <v>1.0341406500000001</v>
      </c>
      <c r="J85" s="425">
        <v>30</v>
      </c>
      <c r="K85" s="425">
        <v>23.576879420000001</v>
      </c>
      <c r="L85" s="425">
        <v>23.736880639999999</v>
      </c>
      <c r="M85" s="457">
        <v>24.438632250000001</v>
      </c>
      <c r="N85" s="456">
        <v>24.43406877</v>
      </c>
      <c r="O85" s="461">
        <v>24.099165150000001</v>
      </c>
      <c r="P85" s="448">
        <v>24.09376348</v>
      </c>
      <c r="Q85" s="425">
        <v>22.87401023</v>
      </c>
      <c r="R85" s="425">
        <v>22.539106610000001</v>
      </c>
      <c r="S85" s="447">
        <v>22.70655842</v>
      </c>
      <c r="T85" s="449">
        <v>0.236812619</v>
      </c>
      <c r="U85" s="425">
        <v>26.657508409999998</v>
      </c>
      <c r="V85" s="425">
        <v>28.191210519999998</v>
      </c>
      <c r="W85" s="447">
        <v>26.020483729999999</v>
      </c>
      <c r="X85" s="449">
        <v>0.15418699999999999</v>
      </c>
      <c r="Y85" s="425">
        <v>26.195106729999999</v>
      </c>
      <c r="Z85" s="425">
        <v>26.653503730000001</v>
      </c>
      <c r="AA85" s="425">
        <v>24.51583604</v>
      </c>
      <c r="AB85" s="425">
        <v>0.2369521</v>
      </c>
      <c r="AC85" s="447">
        <v>25.12101234</v>
      </c>
      <c r="AD85" s="447"/>
      <c r="AE85" s="449">
        <v>25.114012339999999</v>
      </c>
      <c r="AF85" s="449"/>
      <c r="AG85" s="425">
        <v>22.888815409999999</v>
      </c>
      <c r="AH85" s="447">
        <v>22.94181541</v>
      </c>
      <c r="AI85" s="425">
        <v>2.6700000000000002E-2</v>
      </c>
      <c r="AJ85" s="447">
        <v>2.5894123000000002E-2</v>
      </c>
      <c r="AK85" s="449">
        <v>26.308169289999999</v>
      </c>
      <c r="AL85" s="425">
        <v>24.559980729999999</v>
      </c>
      <c r="AM85" s="447">
        <v>22.683578799999999</v>
      </c>
      <c r="AN85" s="449">
        <v>24.2136459</v>
      </c>
      <c r="AO85" s="425">
        <v>0.18287410000000001</v>
      </c>
      <c r="AP85" s="425">
        <v>22.906955610000001</v>
      </c>
      <c r="AQ85" s="425">
        <v>23.577411919999999</v>
      </c>
      <c r="AR85" s="425">
        <v>9.8567409999999994E-2</v>
      </c>
      <c r="AS85" s="425">
        <v>24.39811971</v>
      </c>
      <c r="AT85" s="448">
        <v>25.498384269999999</v>
      </c>
      <c r="AU85" s="65">
        <v>30.668510000000001</v>
      </c>
      <c r="AV85" s="425">
        <v>31.305851000000001</v>
      </c>
      <c r="AW85" s="425">
        <v>30.537510000000001</v>
      </c>
      <c r="AX85" s="425">
        <v>0.41103780099999998</v>
      </c>
      <c r="AY85" s="448">
        <v>30.837290329999998</v>
      </c>
      <c r="AZ85" s="65">
        <v>28.9823451</v>
      </c>
      <c r="BA85" s="425">
        <v>28.519823450000001</v>
      </c>
      <c r="BB85" s="455">
        <v>29.269823450000001</v>
      </c>
      <c r="BC85" s="425">
        <v>0.37838914699999998</v>
      </c>
      <c r="BD85" s="448">
        <v>28.923997329999999</v>
      </c>
      <c r="BE85" s="65">
        <v>27.265540300000001</v>
      </c>
      <c r="BF85" s="425">
        <v>27.420626550000001</v>
      </c>
      <c r="BG85" s="425">
        <v>27.43364266</v>
      </c>
      <c r="BH85" s="425">
        <v>9.3523229999999999E-2</v>
      </c>
      <c r="BI85" s="425">
        <v>27.373269839999999</v>
      </c>
    </row>
    <row r="86" spans="5:61">
      <c r="E86" s="461"/>
      <c r="F86" s="461"/>
      <c r="G86" s="461"/>
      <c r="H86" s="65"/>
      <c r="I86" s="461"/>
      <c r="J86" s="461">
        <v>35</v>
      </c>
      <c r="K86" s="461">
        <v>23.564399689999998</v>
      </c>
      <c r="L86" s="461">
        <v>23.736414979999999</v>
      </c>
      <c r="M86" s="456">
        <v>24.448318</v>
      </c>
      <c r="N86" s="456">
        <v>24.435838279999999</v>
      </c>
      <c r="O86" s="461">
        <v>24.111272339999999</v>
      </c>
      <c r="P86" s="65">
        <v>24.44058802</v>
      </c>
      <c r="Q86" s="461">
        <v>22.875779739999999</v>
      </c>
      <c r="R86" s="461">
        <v>22.551213799999999</v>
      </c>
      <c r="S86" s="65"/>
      <c r="T86" s="65"/>
      <c r="U86" s="461">
        <v>26.66169936</v>
      </c>
      <c r="V86" s="461">
        <v>28.19689159</v>
      </c>
      <c r="W86" s="65">
        <v>26.0261648</v>
      </c>
      <c r="X86" s="65"/>
      <c r="Y86" s="461">
        <v>26.26905374</v>
      </c>
      <c r="Z86" s="461">
        <v>26.80307414</v>
      </c>
      <c r="AA86" s="461">
        <v>24.66540646</v>
      </c>
      <c r="AB86" s="461"/>
      <c r="AC86" s="65">
        <v>25.12259559</v>
      </c>
      <c r="AD86" s="65"/>
      <c r="AE86" s="65">
        <v>25.092595589999998</v>
      </c>
      <c r="AF86" s="65"/>
      <c r="AG86" s="461">
        <v>22.890398659999999</v>
      </c>
      <c r="AH86" s="65">
        <v>22.92039866</v>
      </c>
      <c r="AI86" s="461"/>
      <c r="AK86" s="65">
        <v>26.301370639999998</v>
      </c>
      <c r="AL86" s="461">
        <v>24.553182079999999</v>
      </c>
      <c r="AM86" s="65">
        <v>22.88974958</v>
      </c>
      <c r="AN86" s="65">
        <v>24.41981668</v>
      </c>
      <c r="AO86" s="461"/>
      <c r="AP86" s="461">
        <v>22.766535600000001</v>
      </c>
      <c r="AQ86" s="461">
        <v>23.43699191</v>
      </c>
      <c r="AR86" s="461"/>
      <c r="AS86" s="461">
        <v>24.392345509999998</v>
      </c>
      <c r="AT86" s="461">
        <v>25.59933964</v>
      </c>
      <c r="AU86" s="65"/>
      <c r="AV86" s="461"/>
      <c r="AW86" s="461"/>
      <c r="AX86" s="461"/>
      <c r="AY86" s="461">
        <v>7.9536903329999999</v>
      </c>
      <c r="AZ86" s="65"/>
      <c r="BA86" s="461"/>
      <c r="BB86" s="461"/>
      <c r="BC86" s="461"/>
      <c r="BD86" s="461">
        <v>6.0403973339999997</v>
      </c>
      <c r="BE86" s="65"/>
      <c r="BF86" s="461"/>
      <c r="BG86" s="461"/>
      <c r="BH86" s="461"/>
      <c r="BI86" s="461">
        <v>4.489669836</v>
      </c>
    </row>
    <row r="87" spans="5:61">
      <c r="E87" s="461"/>
      <c r="F87" s="461"/>
      <c r="G87" s="461"/>
      <c r="H87" s="65"/>
      <c r="I87" s="461"/>
      <c r="J87" s="461">
        <v>40</v>
      </c>
      <c r="K87" s="461">
        <v>23.74442436</v>
      </c>
      <c r="L87" s="461">
        <v>23.745076279999999</v>
      </c>
      <c r="M87" s="456">
        <v>24.443940789999999</v>
      </c>
      <c r="N87" s="456">
        <v>24.42475554</v>
      </c>
      <c r="O87" s="461">
        <v>24.055020450000001</v>
      </c>
      <c r="P87" s="65">
        <v>24.119188579999999</v>
      </c>
      <c r="Q87" s="461">
        <v>22.864697</v>
      </c>
      <c r="R87" s="461">
        <v>22.494961920000001</v>
      </c>
      <c r="S87" s="65"/>
      <c r="T87" s="65"/>
      <c r="U87" s="461">
        <v>26.99446094</v>
      </c>
      <c r="V87" s="461">
        <v>28.534496040000001</v>
      </c>
      <c r="W87" s="65">
        <v>26.363769250000001</v>
      </c>
      <c r="X87" s="65"/>
      <c r="Y87" s="461">
        <v>26.310311339999998</v>
      </c>
      <c r="Z87" s="461">
        <v>26.66300322</v>
      </c>
      <c r="AA87" s="461">
        <v>24.52533553</v>
      </c>
      <c r="AB87" s="461"/>
      <c r="AC87" s="65">
        <v>25.122502449999999</v>
      </c>
      <c r="AD87" s="65"/>
      <c r="AE87" s="65">
        <v>25.113502449999999</v>
      </c>
      <c r="AF87" s="65"/>
      <c r="AG87" s="461">
        <v>22.890305519999998</v>
      </c>
      <c r="AH87" s="65">
        <v>22.94130552</v>
      </c>
      <c r="AI87" s="461"/>
      <c r="AK87" s="65">
        <v>26.30509593</v>
      </c>
      <c r="AL87" s="461">
        <v>24.556907370000001</v>
      </c>
      <c r="AM87" s="65">
        <v>22.888538860000001</v>
      </c>
      <c r="AN87" s="65">
        <v>24.418605960000001</v>
      </c>
      <c r="AO87" s="461"/>
      <c r="AP87" s="461">
        <v>22.888725130000001</v>
      </c>
      <c r="AQ87" s="461">
        <v>23.55918144</v>
      </c>
      <c r="AR87" s="461"/>
      <c r="AS87" s="461">
        <v>24.68496708</v>
      </c>
      <c r="AT87" s="461">
        <v>25.595241819999998</v>
      </c>
      <c r="AU87" s="461"/>
      <c r="AV87" s="461"/>
      <c r="AW87" s="461"/>
      <c r="AX87" s="461"/>
      <c r="AY87" s="461"/>
      <c r="AZ87" s="461"/>
      <c r="BA87" s="461"/>
      <c r="BB87" s="461"/>
      <c r="BC87" s="461"/>
      <c r="BD87" s="461"/>
      <c r="BE87" s="461"/>
      <c r="BF87" s="461"/>
      <c r="BG87" s="461"/>
      <c r="BH87" s="461"/>
      <c r="BI87" s="461"/>
    </row>
    <row r="88" spans="5:61">
      <c r="E88" s="461"/>
      <c r="F88" s="461"/>
      <c r="G88" s="461"/>
      <c r="H88" s="65"/>
      <c r="I88" s="461"/>
      <c r="J88" s="461">
        <v>45</v>
      </c>
      <c r="K88" s="461">
        <v>23.61441172</v>
      </c>
      <c r="L88" s="461">
        <v>23.870991100000001</v>
      </c>
      <c r="M88" s="456">
        <v>24.435279479999998</v>
      </c>
      <c r="N88" s="456">
        <v>24.43136793</v>
      </c>
      <c r="O88" s="461">
        <v>24.10251791</v>
      </c>
      <c r="P88" s="65">
        <v>24.434534429999999</v>
      </c>
      <c r="Q88" s="461">
        <v>22.87130939</v>
      </c>
      <c r="R88" s="461">
        <v>22.54245937</v>
      </c>
      <c r="S88" s="65"/>
      <c r="T88" s="65"/>
      <c r="U88" s="461">
        <v>26.997999969999999</v>
      </c>
      <c r="V88" s="461">
        <v>28.530491349999998</v>
      </c>
      <c r="W88" s="65">
        <v>26.359764569999999</v>
      </c>
      <c r="X88" s="65"/>
      <c r="Y88" s="461">
        <v>26.31301217</v>
      </c>
      <c r="Z88" s="461">
        <v>26.657229019999999</v>
      </c>
      <c r="AA88" s="461">
        <v>24.519561329999998</v>
      </c>
      <c r="AB88" s="461"/>
      <c r="AC88" s="65">
        <v>25.12073294</v>
      </c>
      <c r="AD88" s="65"/>
      <c r="AE88" s="65">
        <v>25.07173294</v>
      </c>
      <c r="AF88" s="65"/>
      <c r="AG88" s="461">
        <v>22.888536009999999</v>
      </c>
      <c r="AH88" s="65">
        <v>22.899536009999998</v>
      </c>
      <c r="AI88" s="461"/>
      <c r="AK88" s="65">
        <v>26.303698950000001</v>
      </c>
      <c r="AL88" s="461">
        <v>24.555510389999998</v>
      </c>
      <c r="AM88" s="65">
        <v>22.996106619999999</v>
      </c>
      <c r="AN88" s="65">
        <v>24.526173719999999</v>
      </c>
      <c r="AO88" s="461"/>
      <c r="AP88" s="461">
        <v>22.883602849999999</v>
      </c>
      <c r="AQ88" s="461">
        <v>23.554059160000001</v>
      </c>
      <c r="AR88" s="461"/>
      <c r="AS88" s="461">
        <v>24.731719479999999</v>
      </c>
      <c r="AT88" s="461">
        <v>25.59160966</v>
      </c>
      <c r="AU88" s="461"/>
      <c r="AV88" s="461"/>
      <c r="AW88" s="461"/>
      <c r="AX88" s="461"/>
      <c r="AY88" s="461"/>
      <c r="AZ88" s="461"/>
      <c r="BA88" s="461"/>
      <c r="BB88" s="461"/>
      <c r="BC88" s="461"/>
      <c r="BD88" s="461"/>
      <c r="BE88" s="461"/>
      <c r="BF88" s="461"/>
      <c r="BG88" s="461"/>
      <c r="BH88" s="461"/>
      <c r="BI88" s="461"/>
    </row>
    <row r="89" spans="5:61">
      <c r="E89" s="461"/>
      <c r="F89" s="461"/>
      <c r="G89" s="461"/>
      <c r="H89" s="65"/>
      <c r="I89" s="461"/>
      <c r="J89" s="461">
        <v>50</v>
      </c>
      <c r="K89" s="461">
        <v>23.747125189999998</v>
      </c>
      <c r="L89" s="461">
        <v>24.070946070000002</v>
      </c>
      <c r="M89" s="456">
        <v>24.44021549</v>
      </c>
      <c r="N89" s="456">
        <v>24.441426209999999</v>
      </c>
      <c r="O89" s="461">
        <v>24.094881059999999</v>
      </c>
      <c r="P89" s="65">
        <v>24.099072020000001</v>
      </c>
      <c r="Q89" s="461">
        <v>22.88136768</v>
      </c>
      <c r="R89" s="461">
        <v>22.53482253</v>
      </c>
      <c r="S89" s="65"/>
      <c r="T89" s="65"/>
      <c r="U89" s="461">
        <v>26.998558760000002</v>
      </c>
      <c r="V89" s="461">
        <v>28.540549639999998</v>
      </c>
      <c r="W89" s="65">
        <v>26.369822849999998</v>
      </c>
      <c r="X89" s="65"/>
      <c r="Y89" s="461">
        <v>26.31375723</v>
      </c>
      <c r="Z89" s="461">
        <v>26.737509029999998</v>
      </c>
      <c r="AA89" s="461">
        <v>24.599841340000001</v>
      </c>
      <c r="AB89" s="461"/>
      <c r="AC89" s="65">
        <v>25.125668950000001</v>
      </c>
      <c r="AD89" s="65"/>
      <c r="AE89" s="65">
        <v>25.065668949999999</v>
      </c>
      <c r="AF89" s="65"/>
      <c r="AG89" s="461">
        <v>22.893472020000001</v>
      </c>
      <c r="AH89" s="65">
        <v>22.893472020000001</v>
      </c>
      <c r="AI89" s="461"/>
      <c r="AK89" s="65">
        <v>26.353152179999999</v>
      </c>
      <c r="AL89" s="461">
        <v>24.604963619999999</v>
      </c>
      <c r="AM89" s="65">
        <v>22.891404980000001</v>
      </c>
      <c r="AN89" s="65">
        <v>24.421472080000001</v>
      </c>
      <c r="AO89" s="461"/>
      <c r="AP89" s="461">
        <v>22.884627309999999</v>
      </c>
      <c r="AQ89" s="461">
        <v>23.555083620000001</v>
      </c>
      <c r="AR89" s="461"/>
      <c r="AS89" s="461">
        <v>24.73907693</v>
      </c>
      <c r="AT89" s="461">
        <v>25.592354719999999</v>
      </c>
      <c r="AU89" s="461"/>
      <c r="AV89" s="461"/>
      <c r="AW89" s="461"/>
      <c r="AX89" s="461"/>
      <c r="AY89" s="461"/>
      <c r="AZ89" s="461"/>
      <c r="BA89" s="461"/>
      <c r="BB89" s="461"/>
      <c r="BC89" s="461"/>
      <c r="BD89" s="461"/>
      <c r="BE89" s="461"/>
      <c r="BF89" s="461"/>
      <c r="BG89" s="461"/>
      <c r="BH89" s="461"/>
      <c r="BI89" s="461"/>
    </row>
    <row r="90" spans="5:61">
      <c r="E90" s="461"/>
      <c r="F90" s="461"/>
      <c r="G90" s="461"/>
      <c r="H90" s="65"/>
      <c r="I90" s="461"/>
      <c r="J90" s="461">
        <v>55</v>
      </c>
      <c r="K90" s="461">
        <v>23.741816650000001</v>
      </c>
      <c r="L90" s="461">
        <v>24.079141709999998</v>
      </c>
      <c r="M90" s="456">
        <v>24.436397070000002</v>
      </c>
      <c r="N90" s="456">
        <v>24.434161899999999</v>
      </c>
      <c r="O90" s="461">
        <v>24.098513220000001</v>
      </c>
      <c r="P90" s="65">
        <v>24.43220612</v>
      </c>
      <c r="Q90" s="461">
        <v>22.874103359999999</v>
      </c>
      <c r="R90" s="461">
        <v>22.538454680000001</v>
      </c>
      <c r="S90" s="65"/>
      <c r="T90" s="65"/>
      <c r="U90" s="461">
        <v>26.989618060000002</v>
      </c>
      <c r="V90" s="461">
        <v>28.537010609999999</v>
      </c>
      <c r="W90" s="65">
        <v>26.36628383</v>
      </c>
      <c r="X90" s="65"/>
      <c r="Y90" s="461">
        <v>26.312173980000001</v>
      </c>
      <c r="Z90" s="461">
        <v>26.996230449999999</v>
      </c>
      <c r="AA90" s="461">
        <v>24.858562769999999</v>
      </c>
      <c r="AB90" s="461"/>
      <c r="AC90" s="65">
        <v>25.122409319999999</v>
      </c>
      <c r="AD90" s="65"/>
      <c r="AE90" s="65">
        <v>25.06240932</v>
      </c>
      <c r="AF90" s="65"/>
      <c r="AG90" s="461">
        <v>22.890212389999999</v>
      </c>
      <c r="AH90" s="65">
        <v>22.890212389999999</v>
      </c>
      <c r="AI90" s="461"/>
      <c r="AK90" s="65">
        <v>26.395341089999999</v>
      </c>
      <c r="AL90" s="461">
        <v>24.64715253</v>
      </c>
      <c r="AM90" s="65">
        <v>22.933593900000002</v>
      </c>
      <c r="AN90" s="65">
        <v>24.463660990000001</v>
      </c>
      <c r="AO90" s="461"/>
      <c r="AP90" s="461">
        <v>22.884068509999999</v>
      </c>
      <c r="AQ90" s="461">
        <v>23.554524820000001</v>
      </c>
      <c r="AR90" s="461"/>
      <c r="AS90" s="461">
        <v>24.73628296</v>
      </c>
      <c r="AT90" s="461">
        <v>25.692658170000001</v>
      </c>
      <c r="AU90" s="461"/>
      <c r="AV90" s="461"/>
      <c r="AW90" s="461"/>
      <c r="AX90" s="461"/>
      <c r="AY90" s="461"/>
      <c r="AZ90" s="461"/>
      <c r="BA90" s="461"/>
      <c r="BB90" s="461"/>
      <c r="BC90" s="461"/>
      <c r="BD90" s="461"/>
      <c r="BE90" s="461"/>
      <c r="BF90" s="461"/>
      <c r="BG90" s="461"/>
      <c r="BH90" s="461"/>
      <c r="BI90" s="461"/>
    </row>
    <row r="91" spans="5:61">
      <c r="E91" s="461"/>
      <c r="F91" s="461"/>
      <c r="G91" s="461"/>
      <c r="H91" s="65"/>
      <c r="I91" s="461"/>
      <c r="J91" s="461">
        <v>60</v>
      </c>
      <c r="K91" s="461">
        <v>23.741537260000001</v>
      </c>
      <c r="L91" s="461">
        <v>24.070852940000002</v>
      </c>
      <c r="M91" s="456">
        <v>24.455489190000002</v>
      </c>
      <c r="N91" s="456">
        <v>24.42410361</v>
      </c>
      <c r="O91" s="461">
        <v>24.108198980000001</v>
      </c>
      <c r="P91" s="65">
        <v>24.428667090000001</v>
      </c>
      <c r="Q91" s="461">
        <v>22.86404507</v>
      </c>
      <c r="R91" s="461">
        <v>22.548140440000001</v>
      </c>
      <c r="S91" s="65"/>
      <c r="T91" s="65"/>
      <c r="U91" s="461">
        <v>27.335697549999999</v>
      </c>
      <c r="V91" s="461">
        <v>28.53589303</v>
      </c>
      <c r="W91" s="65">
        <v>26.365166240000001</v>
      </c>
      <c r="X91" s="65"/>
      <c r="Y91" s="461">
        <v>26.316271799999999</v>
      </c>
      <c r="Z91" s="461">
        <v>26.87152635</v>
      </c>
      <c r="AA91" s="461">
        <v>24.73385867</v>
      </c>
      <c r="AB91" s="461"/>
      <c r="AC91" s="65">
        <v>25.11877716</v>
      </c>
      <c r="AD91" s="65"/>
      <c r="AE91" s="65">
        <v>25.058777160000002</v>
      </c>
      <c r="AF91" s="65"/>
      <c r="AG91" s="461">
        <v>22.88658023</v>
      </c>
      <c r="AH91" s="65">
        <v>22.88658023</v>
      </c>
      <c r="AI91" s="461"/>
      <c r="AK91" s="65">
        <v>26.56651819</v>
      </c>
      <c r="AL91" s="461">
        <v>24.818329630000001</v>
      </c>
      <c r="AM91" s="65">
        <v>22.817878589999999</v>
      </c>
      <c r="AN91" s="65">
        <v>24.34794569</v>
      </c>
      <c r="AO91" s="461"/>
      <c r="AP91" s="461">
        <v>22.884161639999999</v>
      </c>
      <c r="AQ91" s="461">
        <v>23.554617960000002</v>
      </c>
      <c r="AR91" s="461"/>
      <c r="AS91" s="461">
        <v>24.744106070000001</v>
      </c>
      <c r="AT91" s="461">
        <v>25.936478430000001</v>
      </c>
      <c r="AU91" s="461"/>
      <c r="AV91" s="461"/>
      <c r="AW91" s="461"/>
      <c r="AX91" s="461"/>
      <c r="AY91" s="461"/>
      <c r="AZ91" s="461"/>
      <c r="BA91" s="461"/>
      <c r="BB91" s="461"/>
      <c r="BC91" s="461"/>
      <c r="BD91" s="461"/>
      <c r="BE91" s="461"/>
      <c r="BF91" s="461"/>
      <c r="BG91" s="461"/>
      <c r="BH91" s="461"/>
      <c r="BI91" s="461"/>
    </row>
    <row r="92" spans="5:61">
      <c r="E92" s="461"/>
      <c r="F92" s="461"/>
      <c r="G92" s="461"/>
      <c r="H92" s="65"/>
      <c r="I92" s="461"/>
      <c r="J92" s="461">
        <v>65</v>
      </c>
      <c r="K92" s="461">
        <v>23.738557029999999</v>
      </c>
      <c r="L92" s="461">
        <v>24.069828480000002</v>
      </c>
      <c r="M92" s="456">
        <v>24.454837260000001</v>
      </c>
      <c r="N92" s="456">
        <v>24.433230569999999</v>
      </c>
      <c r="O92" s="461">
        <v>24.105032479999998</v>
      </c>
      <c r="P92" s="65">
        <v>24.356117059999999</v>
      </c>
      <c r="Q92" s="461">
        <v>22.87317204</v>
      </c>
      <c r="R92" s="461">
        <v>22.544973939999998</v>
      </c>
      <c r="S92" s="65"/>
      <c r="T92" s="65"/>
      <c r="U92" s="461">
        <v>27.335231889999999</v>
      </c>
      <c r="V92" s="461">
        <v>28.697291239999998</v>
      </c>
      <c r="W92" s="65">
        <v>26.526564449999999</v>
      </c>
      <c r="X92" s="65"/>
      <c r="Y92" s="461">
        <v>26.31263964</v>
      </c>
      <c r="Z92" s="461">
        <v>26.995299129999999</v>
      </c>
      <c r="AA92" s="461">
        <v>24.85763145</v>
      </c>
      <c r="AB92" s="461"/>
      <c r="AC92" s="65">
        <v>25.124178830000002</v>
      </c>
      <c r="AD92" s="65"/>
      <c r="AE92" s="65">
        <v>25.064178829999999</v>
      </c>
      <c r="AF92" s="65"/>
      <c r="AG92" s="461">
        <v>22.891981900000001</v>
      </c>
      <c r="AH92" s="65">
        <v>22.891981900000001</v>
      </c>
      <c r="AI92" s="461"/>
      <c r="AK92" s="65">
        <v>26.649592169999998</v>
      </c>
      <c r="AL92" s="461">
        <v>24.901403609999999</v>
      </c>
      <c r="AM92" s="65">
        <v>22.831451850000001</v>
      </c>
      <c r="AN92" s="65">
        <v>24.361518950000001</v>
      </c>
      <c r="AO92" s="461"/>
      <c r="AP92" s="461">
        <v>23.050682129999998</v>
      </c>
      <c r="AQ92" s="461">
        <v>23.721138440000001</v>
      </c>
      <c r="AR92" s="461"/>
      <c r="AS92" s="461">
        <v>25.078357759999999</v>
      </c>
      <c r="AT92" s="461">
        <v>25.938247950000001</v>
      </c>
      <c r="AU92" s="461"/>
      <c r="AV92" s="461"/>
      <c r="AW92" s="461"/>
      <c r="AX92" s="461"/>
      <c r="AY92" s="461"/>
      <c r="AZ92" s="461"/>
      <c r="BA92" s="461"/>
      <c r="BB92" s="461"/>
      <c r="BC92" s="461"/>
      <c r="BD92" s="461"/>
      <c r="BE92" s="461"/>
      <c r="BF92" s="461"/>
      <c r="BG92" s="461"/>
      <c r="BH92" s="461"/>
      <c r="BI92" s="461"/>
    </row>
    <row r="93" spans="5:61">
      <c r="E93" s="461"/>
      <c r="F93" s="461"/>
      <c r="G93" s="461"/>
      <c r="H93" s="65"/>
      <c r="I93" s="461"/>
      <c r="J93" s="461">
        <v>70</v>
      </c>
      <c r="K93" s="461">
        <v>23.737998229999999</v>
      </c>
      <c r="L93" s="461">
        <v>24.081470020000001</v>
      </c>
      <c r="M93" s="456">
        <v>24.523103209999999</v>
      </c>
      <c r="N93" s="456">
        <v>24.43276491</v>
      </c>
      <c r="O93" s="461">
        <v>24.093670339999999</v>
      </c>
      <c r="P93" s="65">
        <v>24.442636929999999</v>
      </c>
      <c r="Q93" s="461">
        <v>22.87270638</v>
      </c>
      <c r="R93" s="461">
        <v>22.53361181</v>
      </c>
      <c r="S93" s="65"/>
      <c r="T93" s="65"/>
      <c r="U93" s="461">
        <v>27.33364864</v>
      </c>
      <c r="V93" s="461">
        <v>28.874056270000001</v>
      </c>
      <c r="W93" s="65">
        <v>26.703329490000002</v>
      </c>
      <c r="X93" s="65"/>
      <c r="Y93" s="461">
        <v>26.31263964</v>
      </c>
      <c r="Z93" s="461">
        <v>26.990176859999998</v>
      </c>
      <c r="AA93" s="461">
        <v>24.852509170000001</v>
      </c>
      <c r="AB93" s="461"/>
      <c r="AC93" s="65">
        <v>25.122688719999999</v>
      </c>
      <c r="AD93" s="65"/>
      <c r="AE93" s="65">
        <v>25.062688720000001</v>
      </c>
      <c r="AF93" s="65"/>
      <c r="AG93" s="461">
        <v>22.890491789999999</v>
      </c>
      <c r="AH93" s="65">
        <v>22.890491789999999</v>
      </c>
      <c r="AI93" s="461"/>
      <c r="AK93" s="65">
        <v>26.650709760000002</v>
      </c>
      <c r="AL93" s="461">
        <v>24.902521199999999</v>
      </c>
      <c r="AM93" s="65">
        <v>22.881115399999999</v>
      </c>
      <c r="AN93" s="65">
        <v>24.411182499999999</v>
      </c>
      <c r="AO93" s="461"/>
      <c r="AP93" s="461">
        <v>22.89021524</v>
      </c>
      <c r="AQ93" s="461">
        <v>23.560671549999999</v>
      </c>
      <c r="AR93" s="461"/>
      <c r="AS93" s="461">
        <v>25.07593632</v>
      </c>
      <c r="AT93" s="461">
        <v>25.94085565</v>
      </c>
      <c r="AU93" s="461"/>
      <c r="AV93" s="461"/>
      <c r="AW93" s="461"/>
      <c r="AX93" s="461"/>
      <c r="AY93" s="461"/>
      <c r="AZ93" s="461"/>
      <c r="BA93" s="461"/>
      <c r="BB93" s="461"/>
      <c r="BC93" s="461"/>
      <c r="BD93" s="461"/>
      <c r="BE93" s="461"/>
      <c r="BF93" s="461"/>
      <c r="BG93" s="461"/>
      <c r="BH93" s="461"/>
      <c r="BI93" s="461"/>
    </row>
    <row r="94" spans="5:61">
      <c r="E94" s="461"/>
      <c r="F94" s="461"/>
      <c r="G94" s="461"/>
      <c r="H94" s="65"/>
      <c r="I94" s="461"/>
      <c r="J94" s="461">
        <v>75</v>
      </c>
      <c r="K94" s="461">
        <v>23.740978460000001</v>
      </c>
      <c r="L94" s="461">
        <v>24.07429883</v>
      </c>
      <c r="M94" s="456">
        <v>24.435558879999999</v>
      </c>
      <c r="N94" s="456">
        <v>24.427083849999999</v>
      </c>
      <c r="O94" s="461">
        <v>24.10279731</v>
      </c>
      <c r="P94" s="65">
        <v>24.44161248</v>
      </c>
      <c r="Q94" s="461">
        <v>22.867025309999999</v>
      </c>
      <c r="R94" s="461">
        <v>22.54273877</v>
      </c>
      <c r="S94" s="65"/>
      <c r="T94" s="65"/>
      <c r="U94" s="461">
        <v>27.328619499999999</v>
      </c>
      <c r="V94" s="461">
        <v>28.842670699999999</v>
      </c>
      <c r="W94" s="65">
        <v>26.67194391</v>
      </c>
      <c r="X94" s="65"/>
      <c r="Y94" s="461">
        <v>26.30574786</v>
      </c>
      <c r="Z94" s="461">
        <v>26.989152399999998</v>
      </c>
      <c r="AA94" s="461">
        <v>24.851484719999998</v>
      </c>
      <c r="AB94" s="461"/>
      <c r="AC94" s="65">
        <v>25.203981769999999</v>
      </c>
      <c r="AD94" s="65"/>
      <c r="AE94" s="65">
        <v>25.13498177</v>
      </c>
      <c r="AF94" s="65"/>
      <c r="AG94" s="461">
        <v>22.971784840000002</v>
      </c>
      <c r="AH94" s="65">
        <v>22.962784840000001</v>
      </c>
      <c r="AI94" s="461"/>
      <c r="AK94" s="65">
        <v>26.656390829999999</v>
      </c>
      <c r="AL94" s="461">
        <v>24.90820227</v>
      </c>
      <c r="AM94" s="65">
        <v>23.07762447</v>
      </c>
      <c r="AN94" s="65">
        <v>24.60769157</v>
      </c>
      <c r="AO94" s="461"/>
      <c r="AP94" s="461">
        <v>23.093895499999999</v>
      </c>
      <c r="AQ94" s="461">
        <v>23.764351810000001</v>
      </c>
      <c r="AR94" s="461"/>
      <c r="AS94" s="461">
        <v>25.079382219999999</v>
      </c>
      <c r="AT94" s="461">
        <v>25.884324360000001</v>
      </c>
      <c r="AU94" s="461"/>
      <c r="AV94" s="461"/>
      <c r="AW94" s="461"/>
      <c r="AX94" s="461"/>
      <c r="AY94" s="461"/>
      <c r="AZ94" s="461"/>
      <c r="BA94" s="461"/>
      <c r="BB94" s="461"/>
      <c r="BC94" s="461"/>
      <c r="BD94" s="461"/>
      <c r="BE94" s="461"/>
      <c r="BF94" s="461"/>
      <c r="BG94" s="461"/>
      <c r="BH94" s="461"/>
      <c r="BI94" s="461"/>
    </row>
    <row r="95" spans="5:61">
      <c r="E95" s="461"/>
      <c r="F95" s="461"/>
      <c r="G95" s="461"/>
      <c r="H95" s="65"/>
      <c r="I95" s="461"/>
      <c r="J95" s="461">
        <v>80</v>
      </c>
      <c r="K95" s="461">
        <v>23.74358617</v>
      </c>
      <c r="L95" s="461">
        <v>24.230015980000001</v>
      </c>
      <c r="M95" s="456">
        <v>24.564081399999999</v>
      </c>
      <c r="N95" s="456">
        <v>24.424941799999999</v>
      </c>
      <c r="O95" s="461">
        <v>24.102238509999999</v>
      </c>
      <c r="P95" s="65">
        <v>24.436024539999998</v>
      </c>
      <c r="Q95" s="461">
        <v>22.86488327</v>
      </c>
      <c r="R95" s="461">
        <v>22.542179969999999</v>
      </c>
      <c r="S95" s="65"/>
      <c r="T95" s="65"/>
      <c r="U95" s="461">
        <v>27.330389010000001</v>
      </c>
      <c r="V95" s="461">
        <v>28.868654599999999</v>
      </c>
      <c r="W95" s="65">
        <v>26.697927809999999</v>
      </c>
      <c r="X95" s="65"/>
      <c r="Y95" s="461">
        <v>26.308169289999999</v>
      </c>
      <c r="Z95" s="461">
        <v>26.98412326</v>
      </c>
      <c r="AA95" s="461">
        <v>24.846455580000001</v>
      </c>
      <c r="AB95" s="461"/>
      <c r="AC95" s="65">
        <v>25.160686680000001</v>
      </c>
      <c r="AD95" s="65"/>
      <c r="AE95" s="65">
        <v>25.100686679999999</v>
      </c>
      <c r="AF95" s="65"/>
      <c r="AG95" s="461">
        <v>22.928489750000001</v>
      </c>
      <c r="AH95" s="65">
        <v>22.928489750000001</v>
      </c>
      <c r="AI95" s="461"/>
      <c r="AK95" s="65">
        <v>26.65396939</v>
      </c>
      <c r="AL95" s="461">
        <v>24.905780830000001</v>
      </c>
      <c r="AM95" s="65">
        <v>23.068218120000001</v>
      </c>
      <c r="AN95" s="65">
        <v>24.59828521</v>
      </c>
      <c r="AO95" s="461"/>
      <c r="AP95" s="461">
        <v>23.240299419999999</v>
      </c>
      <c r="AQ95" s="461">
        <v>23.910755730000002</v>
      </c>
      <c r="AR95" s="461"/>
      <c r="AS95" s="461">
        <v>25.08729846</v>
      </c>
      <c r="AT95" s="461">
        <v>25.937223490000001</v>
      </c>
      <c r="AU95" s="461"/>
      <c r="AV95" s="461"/>
      <c r="AW95" s="461"/>
      <c r="AX95" s="461"/>
      <c r="AY95" s="461"/>
      <c r="AZ95" s="461"/>
      <c r="BA95" s="461"/>
      <c r="BB95" s="461"/>
      <c r="BC95" s="461"/>
      <c r="BD95" s="461"/>
      <c r="BE95" s="461"/>
      <c r="BF95" s="461"/>
      <c r="BG95" s="461"/>
      <c r="BH95" s="461"/>
      <c r="BI95" s="461"/>
    </row>
    <row r="96" spans="5:61">
      <c r="E96" s="461"/>
      <c r="F96" s="461"/>
      <c r="G96" s="461"/>
      <c r="H96" s="65"/>
      <c r="I96" s="461"/>
      <c r="J96" s="461">
        <v>85</v>
      </c>
      <c r="K96" s="461">
        <v>23.741350990000001</v>
      </c>
      <c r="L96" s="461">
        <v>24.07485763</v>
      </c>
      <c r="M96" s="456">
        <v>24.431274800000001</v>
      </c>
      <c r="N96" s="456">
        <v>24.429039620000001</v>
      </c>
      <c r="O96" s="461">
        <v>24.103076699999999</v>
      </c>
      <c r="P96" s="65">
        <v>24.428108300000002</v>
      </c>
      <c r="Q96" s="461">
        <v>22.868981080000001</v>
      </c>
      <c r="R96" s="461">
        <v>22.543018159999999</v>
      </c>
      <c r="S96" s="65"/>
      <c r="T96" s="65"/>
      <c r="U96" s="461">
        <v>27.331972260000001</v>
      </c>
      <c r="V96" s="461">
        <v>28.87685024</v>
      </c>
      <c r="W96" s="65">
        <v>26.70612345</v>
      </c>
      <c r="X96" s="65"/>
      <c r="Y96" s="461">
        <v>26.319252030000001</v>
      </c>
      <c r="Z96" s="461">
        <v>26.988221079999999</v>
      </c>
      <c r="AA96" s="461">
        <v>24.850553390000002</v>
      </c>
      <c r="AB96" s="461"/>
      <c r="AC96" s="65">
        <v>25.288953859999999</v>
      </c>
      <c r="AD96" s="65"/>
      <c r="AE96" s="65">
        <v>25.028953860000001</v>
      </c>
      <c r="AF96" s="65"/>
      <c r="AG96" s="461">
        <v>23.056756929999999</v>
      </c>
      <c r="AH96" s="65">
        <v>22.85675693</v>
      </c>
      <c r="AI96" s="461"/>
      <c r="AK96" s="65">
        <v>26.753900300000002</v>
      </c>
      <c r="AL96" s="461">
        <v>25.00571175</v>
      </c>
      <c r="AM96" s="65">
        <v>23.071664009999999</v>
      </c>
      <c r="AN96" s="65">
        <v>24.601731109999999</v>
      </c>
      <c r="AO96" s="461"/>
      <c r="AP96" s="461">
        <v>23.23005487</v>
      </c>
      <c r="AQ96" s="461">
        <v>23.900511179999999</v>
      </c>
      <c r="AR96" s="461"/>
      <c r="AS96" s="461">
        <v>25.083945700000001</v>
      </c>
      <c r="AT96" s="461">
        <v>25.935267710000002</v>
      </c>
      <c r="AU96" s="461"/>
      <c r="AV96" s="461"/>
      <c r="AW96" s="461"/>
      <c r="AX96" s="461"/>
      <c r="AY96" s="461"/>
      <c r="AZ96" s="461"/>
      <c r="BA96" s="461"/>
      <c r="BB96" s="461"/>
      <c r="BC96" s="461"/>
      <c r="BD96" s="461"/>
      <c r="BE96" s="461"/>
      <c r="BF96" s="461"/>
      <c r="BG96" s="461"/>
      <c r="BH96" s="461"/>
      <c r="BI96" s="461"/>
    </row>
    <row r="97" spans="5:61">
      <c r="E97" s="461"/>
      <c r="F97" s="461"/>
      <c r="G97" s="461"/>
      <c r="H97" s="65"/>
      <c r="I97" s="461"/>
      <c r="J97" s="461">
        <v>90</v>
      </c>
      <c r="K97" s="461">
        <v>23.7433999</v>
      </c>
      <c r="L97" s="461">
        <v>24.135021070000001</v>
      </c>
      <c r="M97" s="456">
        <v>24.44002923</v>
      </c>
      <c r="N97" s="456">
        <v>24.434906959999999</v>
      </c>
      <c r="O97" s="461">
        <v>24.228339600000002</v>
      </c>
      <c r="P97" s="65">
        <v>24.427456370000002</v>
      </c>
      <c r="Q97" s="461">
        <v>22.874848419999999</v>
      </c>
      <c r="R97" s="461">
        <v>22.668281060000002</v>
      </c>
      <c r="S97" s="65"/>
      <c r="T97" s="65"/>
      <c r="U97" s="461">
        <v>27.369504559999999</v>
      </c>
      <c r="V97" s="461">
        <v>28.87526699</v>
      </c>
      <c r="W97" s="65">
        <v>26.7045402</v>
      </c>
      <c r="X97" s="65"/>
      <c r="Y97" s="461">
        <v>26.307703629999999</v>
      </c>
      <c r="Z97" s="461">
        <v>26.99399528</v>
      </c>
      <c r="AA97" s="461">
        <v>24.8563276</v>
      </c>
      <c r="AB97" s="461"/>
      <c r="AC97" s="65">
        <v>25.16569484</v>
      </c>
      <c r="AD97" s="65"/>
      <c r="AE97" s="65">
        <v>25.00569484</v>
      </c>
      <c r="AF97" s="65"/>
      <c r="AG97" s="461">
        <v>22.93349791</v>
      </c>
      <c r="AH97" s="65">
        <v>22.833497909999998</v>
      </c>
      <c r="AI97" s="461"/>
      <c r="AK97" s="65">
        <v>26.97630015</v>
      </c>
      <c r="AL97" s="461">
        <v>25.228111590000001</v>
      </c>
      <c r="AM97" s="65">
        <v>23.067100530000001</v>
      </c>
      <c r="AN97" s="65">
        <v>24.597167630000001</v>
      </c>
      <c r="AO97" s="461"/>
      <c r="AP97" s="461">
        <v>23.232290039999999</v>
      </c>
      <c r="AQ97" s="461">
        <v>23.902746350000001</v>
      </c>
      <c r="AR97" s="461"/>
      <c r="AS97" s="461">
        <v>25.087391589999999</v>
      </c>
      <c r="AT97" s="461">
        <v>25.936664700000001</v>
      </c>
      <c r="AU97" s="461"/>
      <c r="AV97" s="461"/>
      <c r="AW97" s="461"/>
      <c r="AX97" s="461"/>
      <c r="AY97" s="461"/>
      <c r="AZ97" s="461"/>
      <c r="BA97" s="461"/>
      <c r="BB97" s="461"/>
      <c r="BC97" s="461"/>
      <c r="BD97" s="461"/>
      <c r="BE97" s="461"/>
      <c r="BF97" s="461"/>
      <c r="BG97" s="461"/>
      <c r="BH97" s="461"/>
      <c r="BI97" s="461"/>
    </row>
    <row r="98" spans="5:61">
      <c r="E98" s="461"/>
      <c r="F98" s="461"/>
      <c r="G98" s="461"/>
      <c r="H98" s="65"/>
      <c r="I98" s="461"/>
      <c r="J98" s="461">
        <v>95</v>
      </c>
      <c r="K98" s="461">
        <v>23.74433123</v>
      </c>
      <c r="L98" s="461">
        <v>24.139957079999999</v>
      </c>
      <c r="M98" s="456">
        <v>24.586433150000001</v>
      </c>
      <c r="N98" s="456">
        <v>24.43257865</v>
      </c>
      <c r="O98" s="461">
        <v>24.443661389999999</v>
      </c>
      <c r="P98" s="65">
        <v>24.429784680000001</v>
      </c>
      <c r="Q98" s="461">
        <v>22.87252011</v>
      </c>
      <c r="R98" s="461">
        <v>22.883602849999999</v>
      </c>
      <c r="S98" s="65"/>
      <c r="T98" s="65"/>
      <c r="U98" s="461">
        <v>27.50827164</v>
      </c>
      <c r="V98" s="461">
        <v>28.873776880000001</v>
      </c>
      <c r="W98" s="65">
        <v>26.703050090000001</v>
      </c>
      <c r="X98" s="65"/>
      <c r="Y98" s="461">
        <v>26.311894580000001</v>
      </c>
      <c r="Z98" s="461">
        <v>26.99297082</v>
      </c>
      <c r="AA98" s="461">
        <v>24.85530314</v>
      </c>
      <c r="AB98" s="461"/>
      <c r="AC98" s="65">
        <v>25.125389550000001</v>
      </c>
      <c r="AD98" s="65"/>
      <c r="AE98" s="65">
        <v>25.065389549999999</v>
      </c>
      <c r="AF98" s="65"/>
      <c r="AG98" s="461">
        <v>22.893192620000001</v>
      </c>
      <c r="AH98" s="65">
        <v>22.893192620000001</v>
      </c>
      <c r="AI98" s="461"/>
      <c r="AK98" s="65">
        <v>26.928337030000002</v>
      </c>
      <c r="AL98" s="461">
        <v>25.180148469999999</v>
      </c>
      <c r="AM98" s="65">
        <v>23.07082582</v>
      </c>
      <c r="AN98" s="65">
        <v>24.60089292</v>
      </c>
      <c r="AO98" s="461"/>
      <c r="AP98" s="461">
        <v>23.222324889999999</v>
      </c>
      <c r="AQ98" s="461">
        <v>23.892781200000002</v>
      </c>
      <c r="AR98" s="461"/>
      <c r="AS98" s="461">
        <v>25.083107510000001</v>
      </c>
      <c r="AT98" s="461">
        <v>25.94020372</v>
      </c>
      <c r="AU98" s="461"/>
      <c r="AV98" s="461"/>
      <c r="AW98" s="461"/>
      <c r="AX98" s="461"/>
      <c r="AY98" s="461"/>
      <c r="AZ98" s="461"/>
      <c r="BA98" s="461"/>
      <c r="BB98" s="461"/>
      <c r="BC98" s="461"/>
      <c r="BD98" s="461"/>
      <c r="BE98" s="461"/>
      <c r="BF98" s="461"/>
      <c r="BG98" s="461"/>
      <c r="BH98" s="461"/>
      <c r="BI98" s="461"/>
    </row>
    <row r="99" spans="5:61">
      <c r="E99" s="461"/>
      <c r="F99" s="461"/>
      <c r="G99" s="461"/>
      <c r="H99" s="65"/>
      <c r="I99" s="461"/>
      <c r="J99" s="461">
        <v>100</v>
      </c>
      <c r="K99" s="461">
        <v>23.741071600000001</v>
      </c>
      <c r="L99" s="461">
        <v>24.375954230000001</v>
      </c>
      <c r="M99" s="456">
        <v>24.584663630000001</v>
      </c>
      <c r="N99" s="456">
        <v>24.447572940000001</v>
      </c>
      <c r="O99" s="461">
        <v>24.266151300000001</v>
      </c>
      <c r="P99" s="65">
        <v>24.44058802</v>
      </c>
      <c r="Q99" s="461">
        <v>22.887514410000001</v>
      </c>
      <c r="R99" s="461">
        <v>22.706092760000001</v>
      </c>
      <c r="S99" s="65"/>
      <c r="T99" s="65"/>
      <c r="U99" s="461">
        <v>27.5081785</v>
      </c>
      <c r="V99" s="461">
        <v>28.86707135</v>
      </c>
      <c r="W99" s="65">
        <v>26.696344570000001</v>
      </c>
      <c r="X99" s="65"/>
      <c r="Y99" s="461">
        <v>26.316644329999999</v>
      </c>
      <c r="Z99" s="461">
        <v>26.999024420000001</v>
      </c>
      <c r="AA99" s="461">
        <v>24.861356740000002</v>
      </c>
      <c r="AB99" s="461"/>
      <c r="AC99" s="65">
        <v>25.1751012</v>
      </c>
      <c r="AD99" s="65"/>
      <c r="AE99" s="65">
        <v>25.115101200000002</v>
      </c>
      <c r="AF99" s="65"/>
      <c r="AG99" s="461">
        <v>22.94290427</v>
      </c>
      <c r="AH99" s="65">
        <v>22.94290427</v>
      </c>
      <c r="AI99" s="461"/>
      <c r="AK99" s="65">
        <v>26.988221079999999</v>
      </c>
      <c r="AL99" s="461">
        <v>25.24003252</v>
      </c>
      <c r="AM99" s="65">
        <v>22.93443516</v>
      </c>
      <c r="AN99" s="65">
        <v>24.464502249999999</v>
      </c>
      <c r="AO99" s="461"/>
      <c r="AP99" s="461">
        <v>23.226702110000002</v>
      </c>
      <c r="AQ99" s="461">
        <v>23.89715842</v>
      </c>
      <c r="AR99" s="461"/>
      <c r="AS99" s="461">
        <v>25.083945700000001</v>
      </c>
      <c r="AT99" s="461">
        <v>25.943277089999999</v>
      </c>
      <c r="AU99" s="461"/>
      <c r="AV99" s="461"/>
      <c r="AW99" s="461"/>
      <c r="AX99" s="461"/>
      <c r="AY99" s="461"/>
      <c r="AZ99" s="461"/>
      <c r="BA99" s="461"/>
      <c r="BB99" s="461"/>
      <c r="BC99" s="461"/>
      <c r="BD99" s="461"/>
      <c r="BE99" s="461"/>
      <c r="BF99" s="461"/>
      <c r="BG99" s="461"/>
      <c r="BH99" s="461"/>
      <c r="BI99" s="461"/>
    </row>
    <row r="100" spans="5:61">
      <c r="E100" s="461"/>
      <c r="F100" s="461"/>
      <c r="G100" s="461"/>
      <c r="H100" s="65"/>
      <c r="I100" s="461"/>
      <c r="J100" s="461">
        <v>105</v>
      </c>
      <c r="K100" s="461">
        <v>23.750012290000001</v>
      </c>
      <c r="L100" s="461">
        <v>24.411437630000002</v>
      </c>
      <c r="M100" s="456">
        <v>24.620333290000001</v>
      </c>
      <c r="N100" s="456">
        <v>24.43155419</v>
      </c>
      <c r="O100" s="461">
        <v>24.401565609999999</v>
      </c>
      <c r="P100" s="65">
        <v>24.437794060000002</v>
      </c>
      <c r="Q100" s="461">
        <v>22.871495660000001</v>
      </c>
      <c r="R100" s="461">
        <v>22.841507069999999</v>
      </c>
      <c r="S100" s="65"/>
      <c r="T100" s="65"/>
      <c r="U100" s="461">
        <v>27.521310150000001</v>
      </c>
      <c r="V100" s="461">
        <v>28.872286760000001</v>
      </c>
      <c r="W100" s="65">
        <v>26.701559970000002</v>
      </c>
      <c r="X100" s="65"/>
      <c r="Y100" s="461">
        <v>26.308541819999999</v>
      </c>
      <c r="Z100" s="461">
        <v>26.999583210000001</v>
      </c>
      <c r="AA100" s="461">
        <v>24.861915530000001</v>
      </c>
      <c r="AB100" s="461"/>
      <c r="AC100" s="65">
        <v>25.13125689</v>
      </c>
      <c r="AD100" s="65"/>
      <c r="AE100" s="65">
        <v>25.071256890000001</v>
      </c>
      <c r="AF100" s="65"/>
      <c r="AG100" s="461">
        <v>22.899059959999999</v>
      </c>
      <c r="AH100" s="65">
        <v>22.899059959999999</v>
      </c>
      <c r="AI100" s="461"/>
      <c r="AK100" s="65">
        <v>26.979746039999998</v>
      </c>
      <c r="AL100" s="461">
        <v>25.231557479999999</v>
      </c>
      <c r="AM100" s="65">
        <v>23.034272940000001</v>
      </c>
      <c r="AN100" s="65">
        <v>24.564340040000001</v>
      </c>
      <c r="AO100" s="461"/>
      <c r="AP100" s="461">
        <v>23.224653199999999</v>
      </c>
      <c r="AQ100" s="461">
        <v>23.895109510000001</v>
      </c>
      <c r="AR100" s="461"/>
      <c r="AS100" s="461">
        <v>25.073421750000001</v>
      </c>
      <c r="AT100" s="461">
        <v>25.94048312</v>
      </c>
      <c r="AU100" s="461"/>
      <c r="AV100" s="461"/>
      <c r="AW100" s="461"/>
      <c r="AX100" s="461"/>
      <c r="AY100" s="461"/>
      <c r="AZ100" s="461"/>
      <c r="BA100" s="461"/>
      <c r="BB100" s="461"/>
      <c r="BC100" s="461"/>
      <c r="BD100" s="461"/>
      <c r="BE100" s="461"/>
      <c r="BF100" s="461"/>
      <c r="BG100" s="461"/>
      <c r="BH100" s="461"/>
      <c r="BI100" s="461"/>
    </row>
    <row r="101" spans="5:61">
      <c r="E101" s="461"/>
      <c r="F101" s="461"/>
      <c r="G101" s="461"/>
      <c r="H101" s="65"/>
      <c r="I101" s="461"/>
      <c r="J101" s="461">
        <v>110</v>
      </c>
      <c r="K101" s="461">
        <v>23.75122301</v>
      </c>
      <c r="L101" s="461">
        <v>24.414324730000001</v>
      </c>
      <c r="M101" s="456">
        <v>24.43220612</v>
      </c>
      <c r="N101" s="456">
        <v>24.436583339999999</v>
      </c>
      <c r="O101" s="461">
        <v>24.442543799999999</v>
      </c>
      <c r="P101" s="65">
        <v>24.247245450000001</v>
      </c>
      <c r="Q101" s="461">
        <v>22.876524799999999</v>
      </c>
      <c r="R101" s="461">
        <v>22.882485259999999</v>
      </c>
      <c r="S101" s="65"/>
      <c r="T101" s="65"/>
      <c r="U101" s="461">
        <v>27.515349690000001</v>
      </c>
      <c r="V101" s="461">
        <v>28.871355439999999</v>
      </c>
      <c r="W101" s="65">
        <v>26.700628649999999</v>
      </c>
      <c r="X101" s="65"/>
      <c r="Y101" s="461">
        <v>26.31394349</v>
      </c>
      <c r="Z101" s="461">
        <v>26.992225770000001</v>
      </c>
      <c r="AA101" s="461">
        <v>24.85455808</v>
      </c>
      <c r="AB101" s="461"/>
      <c r="AC101" s="65">
        <v>25.19961597</v>
      </c>
      <c r="AD101" s="65"/>
      <c r="AE101" s="65">
        <v>25.139615970000001</v>
      </c>
      <c r="AF101" s="65"/>
      <c r="AG101" s="461">
        <v>22.967419039999999</v>
      </c>
      <c r="AH101" s="65">
        <v>22.967419039999999</v>
      </c>
      <c r="AI101" s="461"/>
      <c r="AK101" s="65">
        <v>26.98458892</v>
      </c>
      <c r="AL101" s="461">
        <v>25.236400360000001</v>
      </c>
      <c r="AM101" s="65">
        <v>23.10391182</v>
      </c>
      <c r="AN101" s="65">
        <v>24.633978920000001</v>
      </c>
      <c r="AO101" s="461"/>
      <c r="AP101" s="461">
        <v>23.226143310000001</v>
      </c>
      <c r="AQ101" s="461">
        <v>23.89659962</v>
      </c>
      <c r="AR101" s="461"/>
      <c r="AS101" s="461">
        <v>25.179313130000001</v>
      </c>
      <c r="AT101" s="461">
        <v>26.064255899999999</v>
      </c>
      <c r="AU101" s="461"/>
      <c r="AV101" s="461"/>
      <c r="AW101" s="461"/>
      <c r="AX101" s="461"/>
      <c r="AY101" s="461"/>
      <c r="AZ101" s="461"/>
      <c r="BA101" s="461"/>
      <c r="BB101" s="461"/>
      <c r="BC101" s="461"/>
      <c r="BD101" s="461"/>
      <c r="BE101" s="461"/>
      <c r="BF101" s="461"/>
      <c r="BG101" s="461"/>
      <c r="BH101" s="461"/>
      <c r="BI101" s="461"/>
    </row>
    <row r="102" spans="5:61">
      <c r="E102" s="461"/>
      <c r="F102" s="461"/>
      <c r="G102" s="461"/>
      <c r="H102" s="65"/>
      <c r="I102" s="461"/>
      <c r="J102" s="461">
        <v>115</v>
      </c>
      <c r="K102" s="461">
        <v>23.750477950000001</v>
      </c>
      <c r="L102" s="461">
        <v>24.40594282</v>
      </c>
      <c r="M102" s="456">
        <v>24.73740055</v>
      </c>
      <c r="N102" s="456">
        <v>24.429039620000001</v>
      </c>
      <c r="O102" s="461">
        <v>24.446082830000002</v>
      </c>
      <c r="P102" s="65">
        <v>24.427363239999998</v>
      </c>
      <c r="Q102" s="461">
        <v>22.868981080000001</v>
      </c>
      <c r="R102" s="461">
        <v>22.886024290000002</v>
      </c>
      <c r="S102" s="65"/>
      <c r="T102" s="65"/>
      <c r="U102" s="461">
        <v>27.50855103</v>
      </c>
      <c r="V102" s="461">
        <v>28.86660569</v>
      </c>
      <c r="W102" s="65">
        <v>26.6958789</v>
      </c>
      <c r="X102" s="65"/>
      <c r="Y102" s="461">
        <v>26.31263964</v>
      </c>
      <c r="Z102" s="461">
        <v>26.991015050000001</v>
      </c>
      <c r="AA102" s="461">
        <v>24.853347360000001</v>
      </c>
      <c r="AB102" s="461"/>
      <c r="AC102" s="65">
        <v>25.186042709999999</v>
      </c>
      <c r="AD102" s="65"/>
      <c r="AE102" s="65">
        <v>25.12604271</v>
      </c>
      <c r="AF102" s="65"/>
      <c r="AG102" s="461">
        <v>22.953845780000002</v>
      </c>
      <c r="AH102" s="65">
        <v>22.953845780000002</v>
      </c>
      <c r="AI102" s="461"/>
      <c r="AK102" s="65">
        <v>26.988500479999999</v>
      </c>
      <c r="AL102" s="461">
        <v>25.24031192</v>
      </c>
      <c r="AM102" s="65">
        <v>23.146287000000001</v>
      </c>
      <c r="AN102" s="65">
        <v>24.676354100000001</v>
      </c>
      <c r="AO102" s="461"/>
      <c r="AP102" s="461">
        <v>23.228751020000001</v>
      </c>
      <c r="AQ102" s="461">
        <v>23.899207329999999</v>
      </c>
      <c r="AR102" s="461"/>
      <c r="AS102" s="461">
        <v>25.290419920000001</v>
      </c>
      <c r="AT102" s="461">
        <v>25.94038999</v>
      </c>
      <c r="AU102" s="461"/>
      <c r="AV102" s="461"/>
      <c r="AW102" s="461"/>
      <c r="AX102" s="461"/>
      <c r="AY102" s="461"/>
      <c r="AZ102" s="461"/>
      <c r="BA102" s="461"/>
      <c r="BB102" s="461"/>
      <c r="BC102" s="461"/>
      <c r="BD102" s="461"/>
      <c r="BE102" s="461"/>
      <c r="BF102" s="461"/>
      <c r="BG102" s="461"/>
      <c r="BH102" s="461"/>
      <c r="BI102" s="461"/>
    </row>
    <row r="103" spans="5:61">
      <c r="E103" s="461"/>
      <c r="F103" s="461"/>
      <c r="G103" s="461"/>
      <c r="H103" s="65"/>
      <c r="I103" s="461"/>
      <c r="J103" s="461">
        <v>120</v>
      </c>
      <c r="K103" s="461">
        <v>23.7347386</v>
      </c>
      <c r="L103" s="461">
        <v>24.41600111</v>
      </c>
      <c r="M103" s="456">
        <v>24.430157210000001</v>
      </c>
      <c r="N103" s="456">
        <v>24.433603099999999</v>
      </c>
      <c r="O103" s="461">
        <v>24.4396567</v>
      </c>
      <c r="P103" s="65">
        <v>24.428760230000002</v>
      </c>
      <c r="Q103" s="461">
        <v>22.87354457</v>
      </c>
      <c r="R103" s="461">
        <v>22.87959816</v>
      </c>
      <c r="S103" s="65"/>
      <c r="T103" s="65"/>
      <c r="U103" s="461">
        <v>27.516094750000001</v>
      </c>
      <c r="V103" s="461">
        <v>28.867537009999999</v>
      </c>
      <c r="W103" s="65">
        <v>26.696810230000001</v>
      </c>
      <c r="X103" s="65"/>
      <c r="Y103" s="461">
        <v>26.019831809999999</v>
      </c>
      <c r="Z103" s="461">
        <v>26.995299129999999</v>
      </c>
      <c r="AA103" s="461">
        <v>24.85763145</v>
      </c>
      <c r="AB103" s="461"/>
      <c r="AC103" s="65">
        <v>25.249093250000001</v>
      </c>
      <c r="AD103" s="65"/>
      <c r="AE103" s="65">
        <v>25.089093250000001</v>
      </c>
      <c r="AF103" s="65"/>
      <c r="AG103" s="461">
        <v>23.016896320000001</v>
      </c>
      <c r="AH103" s="65">
        <v>22.916896319999999</v>
      </c>
      <c r="AI103" s="461"/>
      <c r="AK103" s="65">
        <v>26.920210480000001</v>
      </c>
      <c r="AL103" s="461">
        <v>25.172021919999999</v>
      </c>
      <c r="AM103" s="65">
        <v>23.146659530000001</v>
      </c>
      <c r="AN103" s="65">
        <v>24.676726630000001</v>
      </c>
      <c r="AO103" s="461"/>
      <c r="AP103" s="461">
        <v>23.231917509999999</v>
      </c>
      <c r="AQ103" s="461">
        <v>23.902373829999998</v>
      </c>
      <c r="AR103" s="461"/>
      <c r="AS103" s="461">
        <v>25.419221839999999</v>
      </c>
      <c r="AT103" s="461">
        <v>26.1201112</v>
      </c>
      <c r="AU103" s="461"/>
      <c r="AV103" s="461"/>
      <c r="AW103" s="461"/>
      <c r="AX103" s="461"/>
      <c r="AY103" s="461"/>
      <c r="AZ103" s="461"/>
      <c r="BA103" s="461"/>
      <c r="BB103" s="461"/>
      <c r="BC103" s="461" t="s">
        <v>168</v>
      </c>
      <c r="BD103" s="461"/>
      <c r="BE103" s="461" t="s">
        <v>169</v>
      </c>
      <c r="BF103" s="461"/>
      <c r="BG103" s="461" t="s">
        <v>170</v>
      </c>
      <c r="BH103" s="461"/>
      <c r="BI103" s="461"/>
    </row>
    <row r="104" spans="5:61">
      <c r="E104" s="461"/>
      <c r="F104" s="461"/>
      <c r="G104" s="461"/>
      <c r="H104" s="461"/>
      <c r="I104" s="461"/>
      <c r="J104" s="461"/>
      <c r="K104" s="461">
        <v>1.1919998300000001</v>
      </c>
      <c r="L104" s="461">
        <v>1.532398256</v>
      </c>
      <c r="M104" s="461"/>
      <c r="N104" s="461"/>
      <c r="O104" s="461"/>
      <c r="P104" s="461"/>
      <c r="Q104" s="461"/>
      <c r="R104" s="461"/>
      <c r="S104" s="461"/>
      <c r="T104" s="461"/>
      <c r="U104" s="461"/>
      <c r="V104" s="461"/>
      <c r="W104" s="461">
        <v>3.1368808829999999</v>
      </c>
      <c r="X104" s="461"/>
      <c r="Y104" s="461"/>
      <c r="Z104" s="461"/>
      <c r="AA104" s="461">
        <v>1.6322360419999999</v>
      </c>
      <c r="AB104" s="461"/>
      <c r="AC104" s="461"/>
      <c r="AD104" s="461"/>
      <c r="AE104" s="461"/>
      <c r="AF104" s="461"/>
      <c r="AG104" s="461"/>
      <c r="AH104" s="461"/>
      <c r="AI104" s="461"/>
      <c r="AL104" s="461">
        <v>2.2884219159999999</v>
      </c>
      <c r="AM104" s="461">
        <v>1.3300458989999999</v>
      </c>
      <c r="AN104" s="461"/>
      <c r="AO104" s="461"/>
      <c r="AP104" s="461">
        <v>0.69381192300000005</v>
      </c>
      <c r="AQ104" s="461"/>
      <c r="AR104" s="461"/>
      <c r="AS104" s="461">
        <v>2.223998441</v>
      </c>
      <c r="AT104" s="461">
        <v>2.042180213</v>
      </c>
      <c r="AU104" s="461"/>
      <c r="AV104" s="461"/>
      <c r="AW104" s="461"/>
      <c r="AX104" s="461"/>
      <c r="AY104" s="461"/>
      <c r="AZ104" s="461"/>
      <c r="BA104" s="461"/>
      <c r="BB104" s="461"/>
      <c r="BC104" s="461" t="s">
        <v>96</v>
      </c>
      <c r="BD104" s="461" t="s">
        <v>97</v>
      </c>
      <c r="BE104" s="461" t="s">
        <v>96</v>
      </c>
      <c r="BF104" s="461" t="s">
        <v>97</v>
      </c>
      <c r="BG104" s="461" t="s">
        <v>96</v>
      </c>
      <c r="BH104" s="461" t="s">
        <v>97</v>
      </c>
      <c r="BI104" s="461"/>
    </row>
    <row r="105" spans="5:61">
      <c r="E105" s="461"/>
      <c r="F105" s="461"/>
      <c r="G105" s="461"/>
      <c r="H105" s="461"/>
      <c r="I105" s="461"/>
      <c r="J105" s="461"/>
      <c r="K105" s="461">
        <v>12.16326357</v>
      </c>
      <c r="L105" s="461">
        <v>15.6367169</v>
      </c>
      <c r="M105" s="461"/>
      <c r="N105" s="461"/>
      <c r="O105" s="461"/>
      <c r="P105" s="461"/>
      <c r="Q105" s="461"/>
      <c r="R105" s="461"/>
      <c r="S105" s="461"/>
      <c r="T105" s="461"/>
      <c r="U105" s="461"/>
      <c r="V105" s="461"/>
      <c r="W105" s="461"/>
      <c r="X105" s="461"/>
      <c r="Y105" s="461"/>
      <c r="Z105" s="461"/>
      <c r="AA105" s="461"/>
      <c r="AB105" s="461"/>
      <c r="AC105" s="461"/>
      <c r="AD105" s="461"/>
      <c r="AE105" s="461"/>
      <c r="AF105" s="461"/>
      <c r="AG105" s="461"/>
      <c r="AH105" s="461"/>
      <c r="AI105" s="461"/>
      <c r="AL105" s="461">
        <v>49.213374539999997</v>
      </c>
      <c r="AM105" s="461">
        <v>13.71181339</v>
      </c>
      <c r="AN105" s="461"/>
      <c r="AO105" s="461"/>
      <c r="AP105" s="461">
        <v>14.454415060000001</v>
      </c>
      <c r="AQ105" s="461"/>
      <c r="AR105" s="461"/>
      <c r="AS105" s="461">
        <v>22.927818980000001</v>
      </c>
      <c r="AT105" s="461"/>
      <c r="AU105" s="461"/>
      <c r="AV105" s="461"/>
      <c r="AW105" s="461"/>
      <c r="AX105" s="461"/>
      <c r="AY105" s="461"/>
      <c r="AZ105" s="461"/>
      <c r="BA105" s="461"/>
      <c r="BB105" s="461"/>
      <c r="BC105" s="461">
        <v>22.8</v>
      </c>
      <c r="BD105" s="461">
        <v>0.12584899999999999</v>
      </c>
      <c r="BE105" s="461">
        <v>22.8</v>
      </c>
      <c r="BF105" s="461">
        <v>0.102587</v>
      </c>
      <c r="BG105" s="461">
        <v>22.8</v>
      </c>
      <c r="BH105" s="461">
        <v>0.12598000000000001</v>
      </c>
      <c r="BI105" s="461"/>
    </row>
    <row r="106" spans="5:61">
      <c r="E106" s="461"/>
      <c r="F106" s="461"/>
      <c r="G106" s="461"/>
      <c r="H106" s="461"/>
      <c r="I106" s="461"/>
      <c r="J106" s="461"/>
      <c r="K106" s="461"/>
      <c r="L106" s="461"/>
      <c r="M106" s="461"/>
      <c r="N106" s="461"/>
      <c r="O106" s="461"/>
      <c r="P106" s="461"/>
      <c r="Q106" s="461"/>
      <c r="R106" s="461"/>
      <c r="S106" s="461"/>
      <c r="T106" s="461"/>
      <c r="U106" s="461"/>
      <c r="V106" s="461"/>
      <c r="W106" s="461"/>
      <c r="X106" s="461"/>
      <c r="Y106" s="461"/>
      <c r="Z106" s="461"/>
      <c r="AA106" s="461"/>
      <c r="AB106" s="461"/>
      <c r="AC106" s="461"/>
      <c r="AD106" s="461"/>
      <c r="AE106" s="461"/>
      <c r="AF106" s="461"/>
      <c r="AG106" s="461"/>
      <c r="AH106" s="461"/>
      <c r="AI106" s="461"/>
      <c r="AL106" s="461"/>
      <c r="AM106" s="461"/>
      <c r="AN106" s="461"/>
      <c r="AO106" s="461"/>
      <c r="AP106" s="461"/>
      <c r="AQ106" s="461"/>
      <c r="AR106" s="461"/>
      <c r="AS106" s="461"/>
      <c r="AT106" s="461"/>
      <c r="AU106" s="461"/>
      <c r="AV106" s="461"/>
      <c r="AW106" s="461"/>
      <c r="AX106" s="461"/>
      <c r="AY106" s="461"/>
      <c r="AZ106" s="461"/>
      <c r="BA106" s="461"/>
      <c r="BB106" s="461"/>
      <c r="BC106" s="461">
        <v>22.805122269999998</v>
      </c>
      <c r="BD106" s="461">
        <v>0.16794999999999999</v>
      </c>
      <c r="BE106" s="461">
        <v>22.80121072</v>
      </c>
      <c r="BF106" s="461">
        <v>0.15987399999999999</v>
      </c>
      <c r="BG106" s="461">
        <v>24.67391426</v>
      </c>
      <c r="BH106" s="461">
        <v>0.18956100000000001</v>
      </c>
      <c r="BI106" s="461"/>
    </row>
    <row r="107" spans="5:61">
      <c r="E107" s="461"/>
      <c r="F107" s="461"/>
      <c r="G107" s="461"/>
      <c r="H107" s="461"/>
      <c r="I107" s="461"/>
      <c r="J107" s="461"/>
      <c r="K107" s="461"/>
      <c r="L107" s="461"/>
      <c r="M107" s="461"/>
      <c r="N107" s="461"/>
      <c r="O107" s="461"/>
      <c r="P107" s="461"/>
      <c r="Q107" s="461"/>
      <c r="R107" s="461"/>
      <c r="S107" s="461"/>
      <c r="T107" s="461"/>
      <c r="U107" s="461"/>
      <c r="V107" s="461"/>
      <c r="W107" s="461"/>
      <c r="X107" s="461"/>
      <c r="Y107" s="461"/>
      <c r="Z107" s="461"/>
      <c r="AA107" s="461"/>
      <c r="AB107" s="461"/>
      <c r="AC107" s="461"/>
      <c r="AD107" s="461"/>
      <c r="AE107" s="461"/>
      <c r="AF107" s="461"/>
      <c r="AG107" s="461"/>
      <c r="AH107" s="461"/>
      <c r="AI107" s="461"/>
      <c r="AL107" s="461"/>
      <c r="AM107" s="461"/>
      <c r="AN107" s="461"/>
      <c r="AO107" s="461"/>
      <c r="AP107" s="461"/>
      <c r="AQ107" s="461"/>
      <c r="AR107" s="461"/>
      <c r="AS107" s="461"/>
      <c r="AT107" s="461"/>
      <c r="AU107" s="461"/>
      <c r="AV107" s="461"/>
      <c r="AW107" s="461"/>
      <c r="AX107" s="461"/>
      <c r="AY107" s="461"/>
      <c r="AZ107" s="461"/>
      <c r="BA107" s="461"/>
      <c r="BB107" s="461"/>
      <c r="BC107" s="461">
        <v>22.80279397</v>
      </c>
      <c r="BD107" s="461">
        <v>0.15987456</v>
      </c>
      <c r="BE107" s="461">
        <v>22.81071021</v>
      </c>
      <c r="BF107" s="461">
        <v>0.11365289000000001</v>
      </c>
      <c r="BG107" s="461">
        <v>24.93719917</v>
      </c>
      <c r="BH107" s="461">
        <v>0.15264478100000001</v>
      </c>
      <c r="BI107" s="461"/>
    </row>
    <row r="108" spans="5:61">
      <c r="E108" s="461"/>
      <c r="F108" s="461"/>
      <c r="G108" s="461"/>
      <c r="H108" s="461"/>
      <c r="I108" s="461"/>
      <c r="J108" s="461"/>
      <c r="K108" s="461"/>
      <c r="L108" s="461" t="s">
        <v>89</v>
      </c>
      <c r="M108" s="461" t="s">
        <v>90</v>
      </c>
      <c r="N108" s="461" t="s">
        <v>91</v>
      </c>
      <c r="O108" s="461" t="s">
        <v>92</v>
      </c>
      <c r="P108" s="461" t="s">
        <v>93</v>
      </c>
      <c r="Q108" s="461"/>
      <c r="R108" s="461"/>
      <c r="S108" s="461" t="s">
        <v>94</v>
      </c>
      <c r="T108" s="461"/>
      <c r="U108" s="461"/>
      <c r="V108" s="461"/>
      <c r="W108" s="461"/>
      <c r="X108" s="461"/>
      <c r="Y108" s="461"/>
      <c r="Z108" s="461"/>
      <c r="AA108" s="461"/>
      <c r="AB108" s="461"/>
      <c r="AC108" s="461"/>
      <c r="AD108" s="461"/>
      <c r="AE108" s="461"/>
      <c r="AF108" s="461"/>
      <c r="AG108" s="461"/>
      <c r="AH108" s="461"/>
      <c r="AI108" s="461"/>
      <c r="AL108" s="461"/>
      <c r="AM108" s="461"/>
      <c r="AN108" s="461"/>
      <c r="AO108" s="461"/>
      <c r="AP108" s="461"/>
      <c r="AQ108" s="461"/>
      <c r="AR108" s="461"/>
      <c r="AS108" s="461"/>
      <c r="AT108" s="461"/>
      <c r="AU108" s="461"/>
      <c r="AV108" s="461"/>
      <c r="AW108" s="461"/>
      <c r="AX108" s="461"/>
      <c r="AY108" s="461"/>
      <c r="AZ108" s="461"/>
      <c r="BA108" s="461"/>
      <c r="BB108" s="461"/>
      <c r="BC108" s="461">
        <v>22.805308539999999</v>
      </c>
      <c r="BD108" s="461">
        <v>0.21584900000000001</v>
      </c>
      <c r="BE108" s="461">
        <v>23.041305690000002</v>
      </c>
      <c r="BF108" s="461">
        <v>0.102336524</v>
      </c>
      <c r="BG108" s="461">
        <v>25.019062430000002</v>
      </c>
      <c r="BH108" s="461">
        <v>0.125614</v>
      </c>
      <c r="BI108" s="461"/>
    </row>
    <row r="109" spans="5:61">
      <c r="E109" s="461"/>
      <c r="F109" s="461"/>
      <c r="G109" s="461"/>
      <c r="H109" s="461"/>
      <c r="I109" s="461"/>
      <c r="J109" s="461"/>
      <c r="K109" s="461"/>
      <c r="L109" s="461" t="s">
        <v>80</v>
      </c>
      <c r="M109" s="461" t="s">
        <v>80</v>
      </c>
      <c r="N109" s="461"/>
      <c r="O109" s="461"/>
      <c r="P109" s="461"/>
      <c r="Q109" s="461"/>
      <c r="R109" s="461"/>
      <c r="S109" s="461"/>
      <c r="T109" s="461"/>
      <c r="U109" s="461"/>
      <c r="V109" s="461"/>
      <c r="W109" s="461"/>
      <c r="X109" s="461"/>
      <c r="Y109" s="461"/>
      <c r="Z109" s="461"/>
      <c r="AA109" s="461"/>
      <c r="AB109" s="461"/>
      <c r="AC109" s="461"/>
      <c r="AD109" s="461"/>
      <c r="AE109" s="461"/>
      <c r="AF109" s="461"/>
      <c r="AG109" s="461"/>
      <c r="AH109" s="461"/>
      <c r="AI109" s="461"/>
      <c r="AL109" s="461"/>
      <c r="AM109" s="461"/>
      <c r="AN109" s="461"/>
      <c r="AO109" s="461"/>
      <c r="AP109" s="461"/>
      <c r="AQ109" s="461"/>
      <c r="AR109" s="461"/>
      <c r="AS109" s="461"/>
      <c r="AT109" s="461"/>
      <c r="AU109" s="461"/>
      <c r="AV109" s="461"/>
      <c r="AW109" s="461"/>
      <c r="AX109" s="461"/>
      <c r="AY109" s="461"/>
      <c r="AZ109" s="461"/>
      <c r="BA109" s="461"/>
      <c r="BB109" s="461"/>
      <c r="BC109" s="461">
        <v>22.882328919999999</v>
      </c>
      <c r="BD109" s="461">
        <v>0.19784199999999999</v>
      </c>
      <c r="BE109" s="461">
        <v>23.12326208</v>
      </c>
      <c r="BF109" s="461">
        <v>0.115468</v>
      </c>
      <c r="BG109" s="461">
        <v>25.01440582</v>
      </c>
      <c r="BH109" s="461">
        <v>0.13652086999999999</v>
      </c>
      <c r="BI109" s="461"/>
    </row>
    <row r="110" spans="5:61">
      <c r="E110" s="461"/>
      <c r="F110" s="461"/>
      <c r="G110" s="461"/>
      <c r="H110" s="461"/>
      <c r="I110" s="461"/>
      <c r="J110" s="461"/>
      <c r="K110" s="461"/>
      <c r="L110" s="461"/>
      <c r="M110" s="461"/>
      <c r="N110" s="461"/>
      <c r="O110" s="461"/>
      <c r="P110" s="461"/>
      <c r="Q110" s="461"/>
      <c r="R110" s="461"/>
      <c r="S110" s="461"/>
      <c r="T110" s="461"/>
      <c r="U110" s="461"/>
      <c r="V110" s="461"/>
      <c r="W110" s="461"/>
      <c r="X110" s="461"/>
      <c r="Y110" s="461"/>
      <c r="Z110" s="461"/>
      <c r="AA110" s="461"/>
      <c r="AB110" s="461"/>
      <c r="AC110" s="461"/>
      <c r="AD110" s="461"/>
      <c r="AE110" s="461"/>
      <c r="AF110" s="461"/>
      <c r="AG110" s="461"/>
      <c r="AH110" s="461"/>
      <c r="AI110" s="461"/>
      <c r="AL110" s="461"/>
      <c r="AM110" s="461"/>
      <c r="AN110" s="461"/>
      <c r="AO110" s="461"/>
      <c r="AP110" s="461"/>
      <c r="AQ110" s="461"/>
      <c r="AR110" s="461"/>
      <c r="AS110" s="461"/>
      <c r="AT110" s="461"/>
      <c r="AU110" s="461"/>
      <c r="AV110" s="461"/>
      <c r="AW110" s="461"/>
      <c r="AX110" s="461"/>
      <c r="AY110" s="461"/>
      <c r="AZ110" s="461"/>
      <c r="BA110" s="461"/>
      <c r="BB110" s="461"/>
      <c r="BC110" s="461">
        <v>22.8551343</v>
      </c>
      <c r="BD110" s="461">
        <v>0.135628</v>
      </c>
      <c r="BE110" s="461">
        <v>23.15054984</v>
      </c>
      <c r="BF110" s="461">
        <v>0.169854</v>
      </c>
      <c r="BG110" s="461">
        <v>25.017572309999998</v>
      </c>
      <c r="BH110" s="461">
        <v>0.159243</v>
      </c>
      <c r="BI110" s="461"/>
    </row>
    <row r="111" spans="5:61">
      <c r="E111" s="461"/>
      <c r="F111" s="461"/>
      <c r="G111" s="461"/>
      <c r="H111" s="461"/>
      <c r="I111" s="461"/>
      <c r="J111" s="461"/>
      <c r="K111" s="461"/>
      <c r="L111" s="461">
        <v>22.883602849999999</v>
      </c>
      <c r="M111" s="461">
        <v>22.883600000000001</v>
      </c>
      <c r="N111" s="461">
        <v>22.883600000000001</v>
      </c>
      <c r="O111" s="461">
        <v>22.883600000000001</v>
      </c>
      <c r="P111" s="461">
        <v>22.883602849999999</v>
      </c>
      <c r="Q111" s="461"/>
      <c r="R111" s="461"/>
      <c r="S111" s="461">
        <v>22.883600000000001</v>
      </c>
      <c r="T111" s="461"/>
      <c r="U111" s="461"/>
      <c r="V111" s="461"/>
      <c r="W111" s="461"/>
      <c r="X111" s="461"/>
      <c r="Y111" s="461"/>
      <c r="Z111" s="461"/>
      <c r="AA111" s="461"/>
      <c r="AB111" s="461"/>
      <c r="AC111" s="461"/>
      <c r="AD111" s="461"/>
      <c r="AE111" s="461"/>
      <c r="AF111" s="461"/>
      <c r="AG111" s="461"/>
      <c r="AH111" s="461"/>
      <c r="AI111" s="461"/>
      <c r="AL111" s="461"/>
      <c r="AM111" s="461"/>
      <c r="AN111" s="461"/>
      <c r="AO111" s="461"/>
      <c r="AP111" s="461"/>
      <c r="AQ111" s="461"/>
      <c r="AR111" s="461"/>
      <c r="AS111" s="461"/>
      <c r="AT111" s="461"/>
      <c r="AU111" s="461"/>
      <c r="AV111" s="461"/>
      <c r="AW111" s="461"/>
      <c r="AX111" s="461"/>
      <c r="AY111" s="461"/>
      <c r="AZ111" s="461"/>
      <c r="BA111" s="461"/>
      <c r="BB111" s="461"/>
      <c r="BC111" s="461">
        <v>22.8</v>
      </c>
      <c r="BD111" s="461">
        <v>0.16623874</v>
      </c>
      <c r="BE111" s="461">
        <v>23.150829229999999</v>
      </c>
      <c r="BF111" s="461">
        <v>0.11274869999999999</v>
      </c>
      <c r="BG111" s="461">
        <v>25.35471111</v>
      </c>
      <c r="BH111" s="461">
        <v>0.1128849</v>
      </c>
      <c r="BI111" s="461"/>
    </row>
    <row r="112" spans="5:61">
      <c r="E112" s="461"/>
      <c r="F112" s="461"/>
      <c r="G112" s="461"/>
      <c r="H112" s="461"/>
      <c r="I112" s="461"/>
      <c r="J112" s="461"/>
      <c r="K112" s="461"/>
      <c r="L112" s="461">
        <v>23.21161468</v>
      </c>
      <c r="M112" s="461">
        <v>23.11906548</v>
      </c>
      <c r="N112" s="461">
        <v>22.893472020000001</v>
      </c>
      <c r="O112" s="461">
        <v>22.883472019999999</v>
      </c>
      <c r="P112" s="461">
        <v>24.312531159999999</v>
      </c>
      <c r="Q112" s="461"/>
      <c r="R112" s="461"/>
      <c r="S112" s="461">
        <v>23.83615679</v>
      </c>
      <c r="T112" s="461"/>
      <c r="U112" s="461"/>
      <c r="V112" s="461"/>
      <c r="W112" s="461"/>
      <c r="X112" s="461"/>
      <c r="Y112" s="461"/>
      <c r="Z112" s="461"/>
      <c r="AA112" s="461"/>
      <c r="AB112" s="461"/>
      <c r="AC112" s="461"/>
      <c r="AD112" s="461"/>
      <c r="AE112" s="461"/>
      <c r="AF112" s="461"/>
      <c r="AG112" s="461"/>
      <c r="AH112" s="461"/>
      <c r="AI112" s="461"/>
      <c r="AL112" s="461"/>
      <c r="AM112" s="461"/>
      <c r="AN112" s="461"/>
      <c r="AO112" s="461"/>
      <c r="AP112" s="461"/>
      <c r="AQ112" s="461"/>
      <c r="AR112" s="461"/>
      <c r="AS112" s="461"/>
      <c r="AT112" s="461"/>
      <c r="AU112" s="461"/>
      <c r="AV112" s="461"/>
      <c r="AW112" s="461"/>
      <c r="AX112" s="461"/>
      <c r="AY112" s="461"/>
      <c r="AZ112" s="461"/>
      <c r="BA112" s="461"/>
      <c r="BB112" s="461"/>
      <c r="BC112" s="461"/>
      <c r="BD112" s="461"/>
      <c r="BE112" s="461"/>
      <c r="BF112" s="461"/>
      <c r="BG112" s="461"/>
      <c r="BH112" s="461"/>
      <c r="BI112" s="461"/>
    </row>
    <row r="113" spans="5:61">
      <c r="E113" s="461"/>
      <c r="F113" s="461"/>
      <c r="G113" s="461"/>
      <c r="H113" s="461"/>
      <c r="I113" s="461"/>
      <c r="J113" s="461"/>
      <c r="K113" s="461"/>
      <c r="L113" s="461">
        <v>23.56942884</v>
      </c>
      <c r="M113" s="461">
        <v>23.088776509999999</v>
      </c>
      <c r="N113" s="461">
        <v>22.891888770000001</v>
      </c>
      <c r="O113" s="461">
        <v>22.79188877</v>
      </c>
      <c r="P113" s="461">
        <v>25.16441197</v>
      </c>
      <c r="Q113" s="461"/>
      <c r="R113" s="461"/>
      <c r="S113" s="461">
        <v>24.171060399999998</v>
      </c>
      <c r="T113" s="461"/>
      <c r="U113" s="461"/>
      <c r="V113" s="461"/>
      <c r="W113" s="461"/>
      <c r="X113" s="461"/>
      <c r="Y113" s="461"/>
      <c r="Z113" s="461"/>
      <c r="AA113" s="461"/>
      <c r="AB113" s="461"/>
      <c r="AC113" s="461"/>
      <c r="AD113" s="461"/>
      <c r="AE113" s="461"/>
      <c r="AF113" s="461"/>
      <c r="AG113" s="461"/>
      <c r="AH113" s="461"/>
      <c r="AI113" s="461"/>
      <c r="AL113" s="461">
        <v>1.652145709</v>
      </c>
      <c r="AM113" s="461"/>
      <c r="AN113" s="461"/>
      <c r="AO113" s="461"/>
      <c r="AP113" s="461"/>
      <c r="AQ113" s="461"/>
      <c r="AR113" s="461"/>
      <c r="AS113" s="461"/>
      <c r="AT113" s="461"/>
      <c r="AU113" s="461"/>
      <c r="AV113" s="461"/>
      <c r="AW113" s="461"/>
      <c r="AX113" s="461"/>
      <c r="AY113" s="461"/>
      <c r="AZ113" s="461"/>
      <c r="BA113" s="461"/>
      <c r="BB113" s="461"/>
      <c r="BC113" s="461"/>
      <c r="BD113" s="461"/>
      <c r="BE113" s="461"/>
      <c r="BF113" s="461"/>
      <c r="BG113" s="461"/>
      <c r="BH113" s="461"/>
      <c r="BI113" s="461"/>
    </row>
    <row r="114" spans="5:61">
      <c r="E114" s="461"/>
      <c r="F114" s="461"/>
      <c r="G114" s="461"/>
      <c r="H114" s="461"/>
      <c r="I114" s="461"/>
      <c r="J114" s="461"/>
      <c r="K114" s="461"/>
      <c r="L114" s="461">
        <v>23.566355470000001</v>
      </c>
      <c r="M114" s="461">
        <v>23.08873148</v>
      </c>
      <c r="N114" s="461">
        <v>22.896079719999999</v>
      </c>
      <c r="O114" s="461">
        <v>22.896079719999999</v>
      </c>
      <c r="P114" s="461">
        <v>25.340338819999999</v>
      </c>
      <c r="Q114" s="461"/>
      <c r="R114" s="461"/>
      <c r="S114" s="461">
        <v>24.41143477</v>
      </c>
      <c r="T114" s="461"/>
      <c r="U114" s="461"/>
      <c r="V114" s="461"/>
      <c r="W114" s="461"/>
      <c r="X114" s="461"/>
      <c r="Y114" s="461"/>
      <c r="Z114" s="461"/>
      <c r="AA114" s="461"/>
      <c r="AB114" s="461"/>
      <c r="AC114" s="461"/>
      <c r="AD114" s="461"/>
      <c r="AE114" s="461"/>
      <c r="AF114" s="461"/>
      <c r="AG114" s="461"/>
      <c r="AH114" s="461"/>
      <c r="AI114" s="461"/>
      <c r="AL114" s="461">
        <v>3.8907312219999999</v>
      </c>
      <c r="AM114" s="461"/>
      <c r="AN114" s="461"/>
      <c r="AO114" s="461"/>
      <c r="AP114" s="461"/>
      <c r="AQ114" s="461"/>
      <c r="AR114" s="461"/>
      <c r="AS114" s="461"/>
      <c r="AT114" s="461"/>
      <c r="AU114" s="461"/>
      <c r="AV114" s="461"/>
      <c r="AW114" s="461"/>
      <c r="AX114" s="461"/>
      <c r="AY114" s="461"/>
      <c r="AZ114" s="461"/>
      <c r="BA114" s="461"/>
      <c r="BB114" s="461"/>
      <c r="BC114" s="461"/>
      <c r="BD114" s="461"/>
      <c r="BE114" s="461"/>
      <c r="BF114" s="461"/>
      <c r="BG114" s="461"/>
      <c r="BH114" s="461"/>
      <c r="BI114" s="461"/>
    </row>
    <row r="115" spans="5:61">
      <c r="E115" s="461"/>
      <c r="F115" s="461"/>
      <c r="G115" s="461"/>
      <c r="H115" s="461"/>
      <c r="I115" s="461"/>
      <c r="J115" s="461"/>
      <c r="K115" s="461"/>
      <c r="L115" s="461">
        <v>23.739581479999998</v>
      </c>
      <c r="M115" s="461">
        <v>23.223959529999998</v>
      </c>
      <c r="N115" s="461">
        <v>22.882761810000002</v>
      </c>
      <c r="O115" s="461">
        <v>22.922761810000001</v>
      </c>
      <c r="P115" s="461">
        <v>25.674404240000001</v>
      </c>
      <c r="Q115" s="461"/>
      <c r="R115" s="461"/>
      <c r="S115" s="461">
        <v>24.519561329999998</v>
      </c>
      <c r="T115" s="461"/>
      <c r="U115" s="461"/>
      <c r="V115" s="461"/>
      <c r="W115" s="461"/>
      <c r="X115" s="461"/>
      <c r="Y115" s="461"/>
      <c r="Z115" s="461"/>
      <c r="AA115" s="461"/>
      <c r="AB115" s="461"/>
      <c r="AC115" s="461"/>
      <c r="AD115" s="461"/>
      <c r="AE115" s="461"/>
      <c r="AF115" s="461"/>
      <c r="AG115" s="461"/>
      <c r="AH115" s="461"/>
      <c r="AI115" s="461"/>
      <c r="AK115" s="65">
        <v>0.76</v>
      </c>
      <c r="AL115" s="461">
        <v>1.66</v>
      </c>
      <c r="AM115" s="461"/>
      <c r="AN115" s="461"/>
      <c r="AO115" s="461"/>
      <c r="AP115" s="461"/>
      <c r="AQ115" s="461"/>
      <c r="AR115" s="461"/>
      <c r="AS115" s="461"/>
      <c r="AT115" s="461"/>
      <c r="AU115" s="461"/>
      <c r="AV115" s="461"/>
      <c r="AW115" s="461"/>
      <c r="AX115" s="461"/>
      <c r="AY115" s="461"/>
      <c r="AZ115" s="461"/>
      <c r="BA115" s="461"/>
      <c r="BB115" s="461"/>
      <c r="BC115" s="461"/>
      <c r="BD115" s="461"/>
      <c r="BE115" s="461"/>
      <c r="BF115" s="461"/>
      <c r="BG115" s="461"/>
      <c r="BH115" s="461"/>
      <c r="BI115" s="461"/>
    </row>
    <row r="116" spans="5:61">
      <c r="E116" s="461"/>
      <c r="F116" s="461"/>
      <c r="G116" s="461"/>
      <c r="H116" s="461"/>
      <c r="I116" s="461"/>
      <c r="J116" s="461"/>
      <c r="K116" s="461"/>
      <c r="L116" s="461">
        <v>23.733714150000001</v>
      </c>
      <c r="M116" s="461">
        <v>23.38514743</v>
      </c>
      <c r="N116" s="461">
        <v>22.889467329999999</v>
      </c>
      <c r="O116" s="461">
        <v>22.909467329999998</v>
      </c>
      <c r="P116" s="461">
        <v>25.67719821</v>
      </c>
      <c r="Q116" s="461"/>
      <c r="R116" s="461"/>
      <c r="S116" s="461">
        <v>24.574229970000001</v>
      </c>
      <c r="T116" s="461"/>
      <c r="U116" s="461"/>
      <c r="V116" s="461"/>
      <c r="W116" s="461"/>
      <c r="X116" s="461"/>
      <c r="Y116" s="461"/>
      <c r="Z116" s="461"/>
      <c r="AA116" s="461"/>
      <c r="AB116" s="461"/>
      <c r="AC116" s="461"/>
      <c r="AD116" s="461"/>
      <c r="AE116" s="461"/>
      <c r="AF116" s="461"/>
      <c r="AG116" s="461"/>
      <c r="AH116" s="461"/>
      <c r="AI116" s="461"/>
      <c r="AK116" s="65">
        <v>0.55882352899999999</v>
      </c>
      <c r="AL116" s="461">
        <v>0.74439461900000004</v>
      </c>
      <c r="AM116" s="461"/>
      <c r="AN116" s="461"/>
      <c r="AO116" s="461"/>
      <c r="AP116" s="461"/>
      <c r="AQ116" s="461"/>
      <c r="AR116" s="461"/>
      <c r="AS116" s="461"/>
      <c r="AT116" s="461"/>
      <c r="AU116" s="461"/>
      <c r="AV116" s="461"/>
      <c r="AW116" s="461"/>
      <c r="AX116" s="461"/>
      <c r="AY116" s="461"/>
      <c r="AZ116" s="461"/>
      <c r="BA116" s="461"/>
      <c r="BB116" s="461"/>
      <c r="BC116" s="461"/>
      <c r="BD116" s="461"/>
      <c r="BE116" s="461"/>
      <c r="BF116" s="461"/>
      <c r="BG116" s="461"/>
      <c r="BH116" s="461"/>
      <c r="BI116" s="461"/>
    </row>
    <row r="117" spans="5:61">
      <c r="E117" s="461"/>
      <c r="F117" s="461"/>
      <c r="G117" s="461"/>
      <c r="H117" s="461"/>
      <c r="I117" s="461"/>
      <c r="J117" s="461"/>
      <c r="K117" s="461"/>
      <c r="L117" s="461">
        <v>23.736880639999999</v>
      </c>
      <c r="M117" s="461">
        <v>23.35998073</v>
      </c>
      <c r="N117" s="461">
        <v>22.888815409999999</v>
      </c>
      <c r="O117" s="461">
        <v>22.94181541</v>
      </c>
      <c r="P117" s="461">
        <v>26.020483729999999</v>
      </c>
      <c r="Q117" s="461"/>
      <c r="R117" s="461"/>
      <c r="S117" s="461">
        <v>24.51583604</v>
      </c>
      <c r="T117" s="461"/>
      <c r="U117" s="461"/>
      <c r="V117" s="461"/>
      <c r="W117" s="461"/>
      <c r="X117" s="461"/>
      <c r="Y117" s="461"/>
      <c r="Z117" s="461"/>
      <c r="AA117" s="461"/>
      <c r="AB117" s="461"/>
      <c r="AC117" s="461"/>
      <c r="AD117" s="461"/>
      <c r="AE117" s="461"/>
      <c r="AF117" s="461"/>
      <c r="AG117" s="461"/>
      <c r="AH117" s="461"/>
      <c r="AI117" s="461"/>
      <c r="AL117" s="461"/>
      <c r="AM117" s="461"/>
      <c r="AN117" s="461"/>
      <c r="AO117" s="461"/>
      <c r="AP117" s="461"/>
      <c r="AQ117" s="461"/>
      <c r="AR117" s="461"/>
      <c r="AS117" s="461"/>
      <c r="AT117" s="461"/>
      <c r="AU117" s="461"/>
      <c r="AV117" s="461"/>
      <c r="AW117" s="461"/>
      <c r="AX117" s="461"/>
      <c r="AY117" s="461"/>
      <c r="AZ117" s="461"/>
      <c r="BA117" s="461"/>
      <c r="BB117" s="461"/>
      <c r="BC117" s="461"/>
      <c r="BD117" s="461"/>
      <c r="BE117" s="461"/>
      <c r="BF117" s="461"/>
      <c r="BG117" s="461"/>
      <c r="BH117" s="461"/>
      <c r="BI117" s="461"/>
    </row>
    <row r="118" spans="5:61">
      <c r="E118" s="461"/>
      <c r="F118" s="461"/>
      <c r="G118" s="461"/>
      <c r="H118" s="461"/>
      <c r="I118" s="461"/>
      <c r="J118" s="461"/>
      <c r="K118" s="461"/>
      <c r="L118" s="461">
        <v>23.736414979999999</v>
      </c>
      <c r="M118" s="461">
        <v>23.35318208</v>
      </c>
      <c r="N118" s="461">
        <v>22.890398659999999</v>
      </c>
      <c r="O118" s="461">
        <v>22.92039866</v>
      </c>
      <c r="P118" s="461">
        <v>26.0261648</v>
      </c>
      <c r="Q118" s="461"/>
      <c r="R118" s="461"/>
      <c r="S118" s="461">
        <v>24.66540646</v>
      </c>
      <c r="T118" s="461"/>
      <c r="U118" s="461"/>
      <c r="V118" s="461"/>
      <c r="W118" s="461"/>
      <c r="X118" s="461"/>
      <c r="Y118" s="461"/>
      <c r="Z118" s="461"/>
      <c r="AA118" s="461"/>
      <c r="AB118" s="461"/>
      <c r="AC118" s="461"/>
      <c r="AD118" s="461"/>
      <c r="AE118" s="461"/>
      <c r="AF118" s="461"/>
      <c r="AG118" s="461"/>
      <c r="AH118" s="461"/>
      <c r="AI118" s="461"/>
      <c r="AL118" s="461"/>
      <c r="AM118" s="461"/>
      <c r="AN118" s="461"/>
      <c r="AO118" s="461"/>
      <c r="AP118" s="461"/>
      <c r="AQ118" s="461"/>
      <c r="AR118" s="461"/>
      <c r="AS118" s="461"/>
      <c r="AT118" s="461"/>
      <c r="AU118" s="461"/>
      <c r="AV118" s="461"/>
      <c r="AW118" s="461"/>
      <c r="AX118" s="461"/>
      <c r="AY118" s="461"/>
      <c r="AZ118" s="461"/>
      <c r="BA118" s="461"/>
      <c r="BB118" s="461"/>
      <c r="BC118" s="461"/>
      <c r="BD118" s="461"/>
      <c r="BE118" s="461"/>
      <c r="BF118" s="461"/>
      <c r="BG118" s="461"/>
      <c r="BH118" s="461"/>
      <c r="BI118" s="461"/>
    </row>
    <row r="119" spans="5:61">
      <c r="E119" s="461"/>
      <c r="F119" s="461"/>
      <c r="G119" s="461"/>
      <c r="H119" s="461"/>
      <c r="I119" s="461"/>
      <c r="J119" s="461"/>
      <c r="K119" s="461"/>
      <c r="L119" s="461">
        <v>23.745076279999999</v>
      </c>
      <c r="M119" s="461">
        <v>23.25690737</v>
      </c>
      <c r="N119" s="461">
        <v>22.890305519999998</v>
      </c>
      <c r="O119" s="461">
        <v>22.94130552</v>
      </c>
      <c r="P119" s="461">
        <v>26.363769250000001</v>
      </c>
      <c r="Q119" s="461"/>
      <c r="R119" s="461"/>
      <c r="S119" s="461">
        <v>24.52533553</v>
      </c>
      <c r="T119" s="461"/>
      <c r="U119" s="461"/>
      <c r="V119" s="461"/>
      <c r="W119" s="461"/>
      <c r="X119" s="461"/>
      <c r="Y119" s="461"/>
      <c r="Z119" s="461"/>
      <c r="AA119" s="461"/>
      <c r="AB119" s="461"/>
      <c r="AC119" s="461"/>
      <c r="AD119" s="461"/>
      <c r="AE119" s="461"/>
      <c r="AF119" s="461"/>
      <c r="AG119" s="461"/>
      <c r="AH119" s="461"/>
      <c r="AI119" s="461"/>
      <c r="AL119" s="461"/>
      <c r="AM119" s="461"/>
      <c r="AN119" s="461"/>
      <c r="AO119" s="461"/>
      <c r="AP119" s="461"/>
      <c r="AQ119" s="461"/>
      <c r="AR119" s="461"/>
      <c r="AS119" s="461"/>
      <c r="AT119" s="461"/>
      <c r="AU119" s="461"/>
      <c r="AV119" s="461"/>
      <c r="AW119" s="461"/>
      <c r="AX119" s="461"/>
      <c r="AY119" s="461"/>
      <c r="AZ119" s="461"/>
      <c r="BA119" s="461"/>
      <c r="BB119" s="461"/>
      <c r="BC119" s="461"/>
      <c r="BD119" s="461"/>
      <c r="BE119" s="461"/>
      <c r="BF119" s="461"/>
      <c r="BG119" s="461"/>
      <c r="BH119" s="461"/>
      <c r="BI119" s="461"/>
    </row>
    <row r="120" spans="5:61">
      <c r="E120" s="461"/>
      <c r="F120" s="461"/>
      <c r="G120" s="461"/>
      <c r="H120" s="461"/>
      <c r="I120" s="461"/>
      <c r="J120" s="461"/>
      <c r="K120" s="461"/>
      <c r="L120" s="461">
        <v>23.870991100000001</v>
      </c>
      <c r="M120" s="461">
        <v>23.455510390000001</v>
      </c>
      <c r="N120" s="461">
        <v>22.888536009999999</v>
      </c>
      <c r="O120" s="461">
        <v>22.899536009999998</v>
      </c>
      <c r="P120" s="461">
        <v>26.359764569999999</v>
      </c>
      <c r="Q120" s="461"/>
      <c r="R120" s="461"/>
      <c r="S120" s="461">
        <v>24.519561329999998</v>
      </c>
      <c r="T120" s="461"/>
      <c r="U120" s="461"/>
      <c r="V120" s="461"/>
      <c r="W120" s="461"/>
      <c r="X120" s="461"/>
      <c r="Y120" s="461"/>
      <c r="Z120" s="461"/>
      <c r="AA120" s="461"/>
      <c r="AB120" s="461"/>
      <c r="AC120" s="461"/>
      <c r="AD120" s="461"/>
      <c r="AE120" s="461"/>
      <c r="AF120" s="461"/>
      <c r="AG120" s="461"/>
      <c r="AH120" s="461"/>
      <c r="AI120" s="461"/>
      <c r="AL120" s="461"/>
      <c r="AM120" s="461"/>
      <c r="AN120" s="461"/>
      <c r="AO120" s="461"/>
      <c r="AP120" s="461"/>
      <c r="AQ120" s="461"/>
      <c r="AR120" s="461"/>
      <c r="AS120" s="461"/>
      <c r="AT120" s="461"/>
      <c r="AU120" s="461"/>
      <c r="AV120" s="461"/>
      <c r="AW120" s="461"/>
      <c r="AX120" s="461"/>
      <c r="AY120" s="461"/>
      <c r="AZ120" s="461"/>
      <c r="BA120" s="461"/>
      <c r="BB120" s="461"/>
      <c r="BC120" s="461"/>
      <c r="BD120" s="461"/>
      <c r="BE120" s="461"/>
      <c r="BF120" s="461"/>
      <c r="BG120" s="461"/>
      <c r="BH120" s="461"/>
      <c r="BI120" s="461"/>
    </row>
    <row r="121" spans="5:61">
      <c r="E121" s="461"/>
      <c r="F121" s="461"/>
      <c r="G121" s="461"/>
      <c r="H121" s="461"/>
      <c r="I121" s="461"/>
      <c r="J121" s="461"/>
      <c r="K121" s="461"/>
      <c r="L121" s="461">
        <v>24.070946070000002</v>
      </c>
      <c r="M121" s="461">
        <v>23.504963620000002</v>
      </c>
      <c r="N121" s="461">
        <v>22.893472020000001</v>
      </c>
      <c r="O121" s="461">
        <v>22.893472020000001</v>
      </c>
      <c r="P121" s="461">
        <v>26.369822849999998</v>
      </c>
      <c r="Q121" s="461"/>
      <c r="R121" s="461"/>
      <c r="S121" s="461">
        <v>24.599841340000001</v>
      </c>
      <c r="T121" s="461"/>
      <c r="U121" s="461"/>
      <c r="V121" s="461"/>
      <c r="W121" s="461"/>
      <c r="X121" s="461"/>
      <c r="Y121" s="461"/>
      <c r="Z121" s="461"/>
      <c r="AA121" s="461"/>
      <c r="AB121" s="461"/>
      <c r="AC121" s="461"/>
      <c r="AD121" s="461"/>
      <c r="AE121" s="461"/>
      <c r="AF121" s="461"/>
      <c r="AG121" s="461"/>
      <c r="AH121" s="461"/>
      <c r="AI121" s="461"/>
      <c r="AL121" s="461"/>
      <c r="AM121" s="461"/>
      <c r="AN121" s="461"/>
      <c r="AO121" s="461"/>
      <c r="AP121" s="461"/>
      <c r="AQ121" s="461"/>
      <c r="AR121" s="461"/>
      <c r="AS121" s="461"/>
      <c r="AT121" s="461"/>
      <c r="AU121" s="461"/>
      <c r="AV121" s="461"/>
      <c r="AW121" s="461"/>
      <c r="AX121" s="461"/>
      <c r="AY121" s="461"/>
      <c r="AZ121" s="461"/>
      <c r="BA121" s="461"/>
      <c r="BB121" s="461"/>
      <c r="BC121" s="461"/>
      <c r="BD121" s="461"/>
      <c r="BE121" s="461"/>
      <c r="BF121" s="461"/>
      <c r="BG121" s="461"/>
      <c r="BH121" s="461"/>
      <c r="BI121" s="461"/>
    </row>
    <row r="122" spans="5:61">
      <c r="E122" s="461"/>
      <c r="F122" s="461"/>
      <c r="G122" s="461"/>
      <c r="H122" s="461"/>
      <c r="I122" s="461"/>
      <c r="J122" s="461"/>
      <c r="K122" s="461"/>
      <c r="L122" s="461">
        <v>24.079141709999998</v>
      </c>
      <c r="M122" s="461">
        <v>23.44715253</v>
      </c>
      <c r="N122" s="461">
        <v>22.890212389999999</v>
      </c>
      <c r="O122" s="461">
        <v>22.890212389999999</v>
      </c>
      <c r="P122" s="461">
        <v>26.36628383</v>
      </c>
      <c r="Q122" s="461"/>
      <c r="R122" s="461"/>
      <c r="S122" s="461">
        <v>24.858562769999999</v>
      </c>
      <c r="T122" s="461"/>
      <c r="U122" s="461"/>
      <c r="V122" s="461"/>
      <c r="W122" s="461"/>
      <c r="X122" s="461"/>
      <c r="Y122" s="461"/>
      <c r="Z122" s="461"/>
      <c r="AA122" s="461"/>
      <c r="AB122" s="461"/>
      <c r="AC122" s="461"/>
      <c r="AD122" s="461"/>
      <c r="AE122" s="461"/>
      <c r="AF122" s="461"/>
      <c r="AG122" s="461"/>
      <c r="AH122" s="461"/>
      <c r="AI122" s="461"/>
      <c r="AL122" s="461"/>
      <c r="AM122" s="461"/>
      <c r="AN122" s="461"/>
      <c r="AO122" s="461"/>
      <c r="AP122" s="461"/>
      <c r="AQ122" s="461"/>
      <c r="AR122" s="461"/>
      <c r="AS122" s="461"/>
      <c r="AT122" s="461"/>
      <c r="AU122" s="461"/>
      <c r="AV122" s="461"/>
      <c r="AW122" s="461"/>
      <c r="AX122" s="461"/>
      <c r="AY122" s="461"/>
      <c r="AZ122" s="461"/>
      <c r="BA122" s="461"/>
      <c r="BB122" s="461"/>
      <c r="BC122" s="461"/>
      <c r="BD122" s="461"/>
      <c r="BE122" s="461"/>
      <c r="BF122" s="461"/>
      <c r="BG122" s="461"/>
      <c r="BH122" s="461"/>
      <c r="BI122" s="461"/>
    </row>
    <row r="123" spans="5:61">
      <c r="E123" s="461"/>
      <c r="F123" s="461"/>
      <c r="G123" s="461"/>
      <c r="H123" s="461"/>
      <c r="I123" s="461"/>
      <c r="J123" s="461"/>
      <c r="K123" s="461"/>
      <c r="L123" s="461">
        <v>24.070852940000002</v>
      </c>
      <c r="M123" s="461">
        <v>23.668329629999999</v>
      </c>
      <c r="N123" s="461">
        <v>22.88658023</v>
      </c>
      <c r="O123" s="461">
        <v>22.88658023</v>
      </c>
      <c r="P123" s="461">
        <v>26.365166240000001</v>
      </c>
      <c r="Q123" s="461"/>
      <c r="R123" s="461"/>
      <c r="S123" s="461">
        <v>24.73385867</v>
      </c>
      <c r="T123" s="461"/>
      <c r="U123" s="461"/>
      <c r="V123" s="461"/>
      <c r="W123" s="461"/>
      <c r="X123" s="461"/>
      <c r="Y123" s="461"/>
      <c r="Z123" s="461"/>
      <c r="AA123" s="461"/>
      <c r="AB123" s="461"/>
      <c r="AC123" s="461"/>
      <c r="AD123" s="461"/>
      <c r="AE123" s="461"/>
      <c r="AF123" s="461"/>
      <c r="AG123" s="461"/>
      <c r="AH123" s="461"/>
      <c r="AI123" s="461"/>
      <c r="AL123" s="461"/>
      <c r="AM123" s="461"/>
      <c r="AN123" s="461"/>
      <c r="AO123" s="461"/>
      <c r="AP123" s="461"/>
      <c r="AQ123" s="461"/>
      <c r="AR123" s="461"/>
      <c r="AS123" s="461"/>
      <c r="AT123" s="461"/>
      <c r="AU123" s="461"/>
      <c r="AV123" s="461"/>
      <c r="AW123" s="461"/>
      <c r="AX123" s="461"/>
      <c r="AY123" s="461"/>
      <c r="AZ123" s="461"/>
      <c r="BA123" s="461"/>
      <c r="BB123" s="461"/>
      <c r="BC123" s="461"/>
      <c r="BD123" s="461"/>
      <c r="BE123" s="461"/>
      <c r="BF123" s="461"/>
      <c r="BG123" s="461"/>
      <c r="BH123" s="461"/>
      <c r="BI123" s="461"/>
    </row>
    <row r="124" spans="5:61">
      <c r="E124" s="461"/>
      <c r="F124" s="461"/>
      <c r="G124" s="461"/>
      <c r="H124" s="461"/>
      <c r="I124" s="461"/>
      <c r="J124" s="461"/>
      <c r="K124" s="461"/>
      <c r="L124" s="461">
        <v>24.069828480000002</v>
      </c>
      <c r="M124" s="461">
        <v>23.401403609999999</v>
      </c>
      <c r="N124" s="461">
        <v>22.891981900000001</v>
      </c>
      <c r="O124" s="461">
        <v>22.891981900000001</v>
      </c>
      <c r="P124" s="461">
        <v>26.526564449999999</v>
      </c>
      <c r="Q124" s="461"/>
      <c r="R124" s="461"/>
      <c r="S124" s="461">
        <v>24.85763145</v>
      </c>
      <c r="T124" s="461"/>
      <c r="U124" s="461"/>
      <c r="V124" s="461"/>
      <c r="W124" s="461"/>
      <c r="X124" s="461"/>
      <c r="Y124" s="461"/>
      <c r="Z124" s="461"/>
      <c r="AA124" s="461"/>
      <c r="AB124" s="461"/>
      <c r="AC124" s="461"/>
      <c r="AD124" s="461"/>
      <c r="AE124" s="461"/>
      <c r="AF124" s="461"/>
      <c r="AG124" s="461"/>
      <c r="AH124" s="461"/>
      <c r="AI124" s="461"/>
      <c r="AL124" s="461"/>
      <c r="AM124" s="461"/>
      <c r="AN124" s="461"/>
      <c r="AO124" s="461"/>
      <c r="AP124" s="461"/>
      <c r="AQ124" s="461"/>
      <c r="AR124" s="461"/>
      <c r="AS124" s="461"/>
      <c r="AT124" s="461"/>
      <c r="AU124" s="461"/>
      <c r="AV124" s="461"/>
      <c r="AW124" s="461"/>
      <c r="AX124" s="461"/>
      <c r="AY124" s="461"/>
      <c r="AZ124" s="461"/>
      <c r="BA124" s="461"/>
      <c r="BB124" s="461"/>
      <c r="BC124" s="461"/>
      <c r="BD124" s="461"/>
      <c r="BE124" s="461"/>
      <c r="BF124" s="461"/>
      <c r="BG124" s="461"/>
      <c r="BH124" s="461"/>
      <c r="BI124" s="461"/>
    </row>
    <row r="125" spans="5:61">
      <c r="E125" s="461"/>
      <c r="F125" s="461"/>
      <c r="G125" s="461"/>
      <c r="H125" s="461"/>
      <c r="I125" s="461"/>
      <c r="J125" s="461"/>
      <c r="K125" s="461"/>
      <c r="L125" s="461">
        <v>24.081470020000001</v>
      </c>
      <c r="M125" s="461">
        <v>23.402521199999999</v>
      </c>
      <c r="N125" s="461">
        <v>22.890491789999999</v>
      </c>
      <c r="O125" s="461">
        <v>22.890491789999999</v>
      </c>
      <c r="P125" s="461">
        <v>26.703329490000002</v>
      </c>
      <c r="Q125" s="461"/>
      <c r="R125" s="461"/>
      <c r="S125" s="461">
        <v>24.852509170000001</v>
      </c>
      <c r="T125" s="461"/>
      <c r="U125" s="461"/>
      <c r="V125" s="461"/>
      <c r="W125" s="461"/>
      <c r="X125" s="461"/>
      <c r="Y125" s="461"/>
      <c r="Z125" s="461"/>
      <c r="AA125" s="461"/>
      <c r="AB125" s="461"/>
      <c r="AC125" s="461"/>
      <c r="AD125" s="461"/>
      <c r="AE125" s="461"/>
      <c r="AF125" s="461"/>
      <c r="AG125" s="461"/>
      <c r="AH125" s="461"/>
      <c r="AI125" s="461"/>
      <c r="AL125" s="461"/>
      <c r="AM125" s="461"/>
      <c r="AN125" s="461"/>
      <c r="AO125" s="461"/>
      <c r="AP125" s="461"/>
      <c r="AQ125" s="461"/>
      <c r="AR125" s="461"/>
      <c r="AS125" s="461"/>
      <c r="AT125" s="461"/>
      <c r="AU125" s="461"/>
      <c r="AV125" s="461"/>
      <c r="AW125" s="461"/>
      <c r="AX125" s="461"/>
      <c r="AY125" s="461"/>
      <c r="AZ125" s="461"/>
      <c r="BA125" s="461"/>
      <c r="BB125" s="461"/>
      <c r="BC125" s="461"/>
      <c r="BD125" s="461"/>
      <c r="BE125" s="461"/>
      <c r="BF125" s="461"/>
      <c r="BG125" s="461"/>
      <c r="BH125" s="461"/>
      <c r="BI125" s="461"/>
    </row>
    <row r="126" spans="5:61">
      <c r="E126" s="461"/>
      <c r="F126" s="461"/>
      <c r="G126" s="461"/>
      <c r="H126" s="461"/>
      <c r="I126" s="461"/>
      <c r="J126" s="461"/>
      <c r="K126" s="461"/>
      <c r="L126" s="461">
        <v>24.07429883</v>
      </c>
      <c r="M126" s="461">
        <v>23.40820227</v>
      </c>
      <c r="N126" s="461">
        <v>22.971784840000002</v>
      </c>
      <c r="O126" s="461">
        <v>22.962784840000001</v>
      </c>
      <c r="P126" s="461">
        <v>26.67194391</v>
      </c>
      <c r="Q126" s="461"/>
      <c r="R126" s="461"/>
      <c r="S126" s="461">
        <v>24.851484719999998</v>
      </c>
      <c r="T126" s="461"/>
      <c r="U126" s="461"/>
      <c r="V126" s="461"/>
      <c r="W126" s="461"/>
      <c r="X126" s="461"/>
      <c r="Y126" s="461"/>
      <c r="Z126" s="461"/>
      <c r="AA126" s="461"/>
      <c r="AB126" s="461"/>
      <c r="AC126" s="461"/>
      <c r="AD126" s="461"/>
      <c r="AE126" s="461"/>
      <c r="AF126" s="461"/>
      <c r="AG126" s="461"/>
      <c r="AH126" s="461"/>
      <c r="AI126" s="461"/>
      <c r="AL126" s="461"/>
      <c r="AM126" s="461"/>
      <c r="AN126" s="461"/>
      <c r="AO126" s="461"/>
      <c r="AP126" s="461"/>
      <c r="AQ126" s="461"/>
      <c r="AR126" s="461"/>
      <c r="AS126" s="461"/>
      <c r="AT126" s="461"/>
      <c r="AU126" s="461"/>
      <c r="AV126" s="461"/>
      <c r="AW126" s="461"/>
      <c r="AX126" s="461"/>
      <c r="AY126" s="461"/>
      <c r="AZ126" s="461"/>
      <c r="BA126" s="461"/>
      <c r="BB126" s="461"/>
      <c r="BC126" s="461"/>
      <c r="BD126" s="461"/>
      <c r="BE126" s="461"/>
      <c r="BF126" s="461"/>
      <c r="BG126" s="461"/>
      <c r="BH126" s="461"/>
      <c r="BI126" s="461"/>
    </row>
    <row r="127" spans="5:61">
      <c r="E127" s="461"/>
      <c r="F127" s="461"/>
      <c r="G127" s="461"/>
      <c r="H127" s="461"/>
      <c r="I127" s="461"/>
      <c r="J127" s="461"/>
      <c r="K127" s="461"/>
      <c r="L127" s="461">
        <v>24.230015980000001</v>
      </c>
      <c r="M127" s="461">
        <v>23.405780830000001</v>
      </c>
      <c r="N127" s="461">
        <v>22.928489750000001</v>
      </c>
      <c r="O127" s="461">
        <v>22.928489750000001</v>
      </c>
      <c r="P127" s="461">
        <v>26.697927809999999</v>
      </c>
      <c r="Q127" s="461"/>
      <c r="R127" s="461"/>
      <c r="S127" s="461">
        <v>24.846455580000001</v>
      </c>
      <c r="T127" s="461"/>
      <c r="U127" s="461"/>
      <c r="V127" s="461"/>
      <c r="W127" s="461"/>
      <c r="X127" s="461"/>
      <c r="Y127" s="461"/>
      <c r="Z127" s="461"/>
      <c r="AA127" s="461"/>
      <c r="AB127" s="461"/>
      <c r="AC127" s="461"/>
      <c r="AD127" s="461"/>
      <c r="AE127" s="461"/>
      <c r="AF127" s="461"/>
      <c r="AG127" s="461"/>
      <c r="AH127" s="461"/>
      <c r="AI127" s="461"/>
      <c r="AL127" s="461"/>
      <c r="AM127" s="461"/>
      <c r="AN127" s="461"/>
      <c r="AO127" s="461"/>
      <c r="AP127" s="461"/>
      <c r="AQ127" s="461"/>
      <c r="AR127" s="461"/>
      <c r="AS127" s="461"/>
      <c r="AT127" s="461"/>
      <c r="AU127" s="461"/>
      <c r="AV127" s="461"/>
      <c r="AW127" s="461"/>
      <c r="AX127" s="461"/>
      <c r="AY127" s="461"/>
      <c r="AZ127" s="461"/>
      <c r="BA127" s="461"/>
      <c r="BB127" s="461"/>
      <c r="BC127" s="461"/>
      <c r="BD127" s="461"/>
      <c r="BE127" s="461"/>
      <c r="BF127" s="461"/>
      <c r="BG127" s="461"/>
      <c r="BH127" s="461"/>
      <c r="BI127" s="461"/>
    </row>
    <row r="128" spans="5:61">
      <c r="E128" s="461"/>
      <c r="F128" s="461"/>
      <c r="G128" s="461"/>
      <c r="H128" s="461"/>
      <c r="I128" s="461"/>
      <c r="J128" s="461"/>
      <c r="K128" s="461"/>
      <c r="L128" s="461">
        <v>24.07485763</v>
      </c>
      <c r="M128" s="461">
        <v>23.50571175</v>
      </c>
      <c r="N128" s="461">
        <v>23.056756929999999</v>
      </c>
      <c r="O128" s="461">
        <v>22.85675693</v>
      </c>
      <c r="P128" s="461">
        <v>26.70612345</v>
      </c>
      <c r="Q128" s="461"/>
      <c r="R128" s="461"/>
      <c r="S128" s="461">
        <v>24.850553390000002</v>
      </c>
      <c r="T128" s="461"/>
      <c r="U128" s="461"/>
      <c r="V128" s="461"/>
      <c r="W128" s="461"/>
      <c r="X128" s="461"/>
      <c r="Y128" s="461"/>
      <c r="Z128" s="461"/>
      <c r="AA128" s="461"/>
      <c r="AB128" s="461"/>
      <c r="AC128" s="461"/>
      <c r="AD128" s="461"/>
      <c r="AE128" s="461"/>
      <c r="AF128" s="461"/>
      <c r="AG128" s="461"/>
      <c r="AH128" s="461"/>
      <c r="AI128" s="461"/>
      <c r="AL128" s="461"/>
      <c r="AM128" s="461"/>
      <c r="AN128" s="461"/>
      <c r="AO128" s="461"/>
      <c r="AP128" s="461"/>
      <c r="AQ128" s="461"/>
      <c r="AR128" s="461"/>
      <c r="AS128" s="461"/>
      <c r="AT128" s="461"/>
      <c r="AU128" s="461"/>
      <c r="AV128" s="461"/>
      <c r="AW128" s="461"/>
      <c r="AX128" s="461"/>
      <c r="AY128" s="461"/>
      <c r="AZ128" s="461"/>
      <c r="BA128" s="461"/>
      <c r="BB128" s="461"/>
      <c r="BC128" s="461"/>
      <c r="BD128" s="461"/>
      <c r="BE128" s="461"/>
      <c r="BF128" s="461"/>
      <c r="BG128" s="461"/>
      <c r="BH128" s="461"/>
      <c r="BI128" s="461"/>
    </row>
    <row r="129" spans="5:61">
      <c r="E129" s="461"/>
      <c r="F129" s="461"/>
      <c r="G129" s="461"/>
      <c r="H129" s="461"/>
      <c r="I129" s="461"/>
      <c r="J129" s="461"/>
      <c r="K129" s="461"/>
      <c r="L129" s="461">
        <v>24.135021070000001</v>
      </c>
      <c r="M129" s="461">
        <v>23.728111590000001</v>
      </c>
      <c r="N129" s="461">
        <v>22.93349791</v>
      </c>
      <c r="O129" s="461">
        <v>22.833497909999998</v>
      </c>
      <c r="P129" s="461">
        <v>26.7045402</v>
      </c>
      <c r="Q129" s="461"/>
      <c r="R129" s="461"/>
      <c r="S129" s="461">
        <v>24.8563276</v>
      </c>
      <c r="T129" s="461"/>
      <c r="U129" s="461"/>
      <c r="V129" s="461"/>
      <c r="W129" s="461"/>
      <c r="X129" s="461"/>
      <c r="Y129" s="461"/>
      <c r="Z129" s="461"/>
      <c r="AA129" s="461"/>
      <c r="AB129" s="461"/>
      <c r="AC129" s="461"/>
      <c r="AD129" s="461"/>
      <c r="AE129" s="461"/>
      <c r="AF129" s="461"/>
      <c r="AG129" s="461"/>
      <c r="AH129" s="461"/>
      <c r="AI129" s="461"/>
      <c r="AL129" s="461"/>
      <c r="AM129" s="461"/>
      <c r="AN129" s="461"/>
      <c r="AO129" s="461"/>
      <c r="AP129" s="461"/>
      <c r="AQ129" s="461"/>
      <c r="AR129" s="461"/>
      <c r="AS129" s="461"/>
      <c r="AT129" s="461"/>
      <c r="AU129" s="461"/>
      <c r="AV129" s="461"/>
      <c r="AW129" s="461"/>
      <c r="AX129" s="461"/>
      <c r="AY129" s="461"/>
      <c r="AZ129" s="461"/>
      <c r="BA129" s="461"/>
      <c r="BB129" s="461"/>
      <c r="BC129" s="461"/>
      <c r="BD129" s="461"/>
      <c r="BE129" s="461"/>
      <c r="BF129" s="461"/>
      <c r="BG129" s="461"/>
      <c r="BH129" s="461"/>
      <c r="BI129" s="461"/>
    </row>
    <row r="130" spans="5:61">
      <c r="E130" s="461"/>
      <c r="F130" s="461"/>
      <c r="G130" s="461"/>
      <c r="H130" s="461"/>
      <c r="I130" s="461"/>
      <c r="J130" s="461"/>
      <c r="K130" s="461"/>
      <c r="L130" s="461">
        <v>24.139957079999999</v>
      </c>
      <c r="M130" s="461">
        <v>23.680148469999999</v>
      </c>
      <c r="N130" s="461">
        <v>22.893192620000001</v>
      </c>
      <c r="O130" s="461">
        <v>22.893192620000001</v>
      </c>
      <c r="P130" s="461">
        <v>26.703050090000001</v>
      </c>
      <c r="Q130" s="461"/>
      <c r="R130" s="461"/>
      <c r="S130" s="461">
        <v>24.85530314</v>
      </c>
      <c r="T130" s="461"/>
      <c r="U130" s="461"/>
      <c r="V130" s="461"/>
      <c r="W130" s="461"/>
      <c r="X130" s="461"/>
      <c r="Y130" s="461"/>
      <c r="Z130" s="461"/>
      <c r="AA130" s="461"/>
      <c r="AB130" s="461"/>
      <c r="AC130" s="461"/>
      <c r="AD130" s="461"/>
      <c r="AE130" s="461"/>
      <c r="AF130" s="461"/>
      <c r="AG130" s="461"/>
      <c r="AH130" s="461"/>
      <c r="AI130" s="461"/>
      <c r="AL130" s="461"/>
      <c r="AM130" s="461"/>
      <c r="AN130" s="461"/>
      <c r="AO130" s="461"/>
      <c r="AP130" s="461"/>
      <c r="AQ130" s="461"/>
      <c r="AR130" s="461"/>
      <c r="AS130" s="461"/>
      <c r="AT130" s="461"/>
      <c r="AU130" s="461"/>
      <c r="AV130" s="461"/>
      <c r="AW130" s="461"/>
      <c r="AX130" s="461"/>
      <c r="AY130" s="461"/>
      <c r="AZ130" s="461"/>
      <c r="BA130" s="461"/>
      <c r="BB130" s="461"/>
      <c r="BC130" s="461"/>
      <c r="BD130" s="461"/>
      <c r="BE130" s="461"/>
      <c r="BF130" s="461"/>
      <c r="BG130" s="461"/>
      <c r="BH130" s="461"/>
      <c r="BI130" s="461"/>
    </row>
    <row r="131" spans="5:61">
      <c r="E131" s="461"/>
      <c r="F131" s="461"/>
      <c r="G131" s="461"/>
      <c r="H131" s="461"/>
      <c r="I131" s="461"/>
      <c r="J131" s="461"/>
      <c r="K131" s="461"/>
      <c r="L131" s="461">
        <v>24.375954230000001</v>
      </c>
      <c r="M131" s="461">
        <v>23.74003252</v>
      </c>
      <c r="N131" s="461">
        <v>22.94290427</v>
      </c>
      <c r="O131" s="461">
        <v>22.94290427</v>
      </c>
      <c r="P131" s="461">
        <v>26.696344570000001</v>
      </c>
      <c r="Q131" s="461"/>
      <c r="R131" s="461"/>
      <c r="S131" s="461">
        <v>24.861356740000002</v>
      </c>
      <c r="T131" s="461"/>
      <c r="U131" s="461"/>
      <c r="V131" s="461"/>
      <c r="W131" s="461"/>
      <c r="X131" s="461"/>
      <c r="Y131" s="461"/>
      <c r="Z131" s="461"/>
      <c r="AA131" s="461"/>
      <c r="AB131" s="461"/>
      <c r="AC131" s="461"/>
      <c r="AD131" s="461"/>
      <c r="AE131" s="461"/>
      <c r="AF131" s="461"/>
      <c r="AG131" s="461"/>
      <c r="AH131" s="461"/>
      <c r="AI131" s="461"/>
      <c r="AL131" s="461"/>
      <c r="AM131" s="461"/>
      <c r="AN131" s="461"/>
      <c r="AO131" s="461"/>
      <c r="AP131" s="461"/>
      <c r="AQ131" s="461"/>
      <c r="AR131" s="461"/>
      <c r="AS131" s="461"/>
      <c r="AT131" s="461"/>
      <c r="AU131" s="461"/>
      <c r="AV131" s="461"/>
      <c r="AW131" s="461"/>
      <c r="AX131" s="461"/>
      <c r="AY131" s="461"/>
      <c r="AZ131" s="461"/>
      <c r="BA131" s="461"/>
      <c r="BB131" s="461"/>
      <c r="BC131" s="461"/>
      <c r="BD131" s="461"/>
      <c r="BE131" s="461"/>
      <c r="BF131" s="461"/>
      <c r="BG131" s="461"/>
      <c r="BH131" s="461"/>
      <c r="BI131" s="461"/>
    </row>
    <row r="132" spans="5:61">
      <c r="E132" s="461"/>
      <c r="F132" s="461"/>
      <c r="G132" s="461"/>
      <c r="H132" s="461"/>
      <c r="I132" s="461"/>
      <c r="J132" s="461"/>
      <c r="K132" s="461"/>
      <c r="L132" s="461">
        <v>24.411437630000002</v>
      </c>
      <c r="M132" s="461">
        <v>23.731557479999999</v>
      </c>
      <c r="N132" s="461">
        <v>22.899059959999999</v>
      </c>
      <c r="O132" s="461">
        <v>22.899059959999999</v>
      </c>
      <c r="P132" s="461">
        <v>26.701559970000002</v>
      </c>
      <c r="Q132" s="461"/>
      <c r="R132" s="461"/>
      <c r="S132" s="461">
        <v>24.861915530000001</v>
      </c>
      <c r="T132" s="461"/>
      <c r="U132" s="461"/>
      <c r="V132" s="461"/>
      <c r="W132" s="461"/>
      <c r="X132" s="461"/>
      <c r="Y132" s="461"/>
      <c r="Z132" s="461"/>
      <c r="AA132" s="461"/>
      <c r="AB132" s="461"/>
      <c r="AC132" s="461"/>
      <c r="AD132" s="461"/>
      <c r="AE132" s="461"/>
      <c r="AF132" s="461"/>
      <c r="AG132" s="461"/>
      <c r="AH132" s="461"/>
      <c r="AI132" s="461"/>
      <c r="AL132" s="461"/>
      <c r="AM132" s="461"/>
      <c r="AN132" s="461"/>
      <c r="AO132" s="461"/>
      <c r="AP132" s="461"/>
      <c r="AQ132" s="461"/>
      <c r="AR132" s="461"/>
      <c r="AS132" s="461"/>
      <c r="AT132" s="461"/>
      <c r="AU132" s="461"/>
      <c r="AV132" s="461"/>
      <c r="AW132" s="461"/>
      <c r="AX132" s="461"/>
      <c r="AY132" s="461"/>
      <c r="AZ132" s="461"/>
      <c r="BA132" s="461"/>
      <c r="BB132" s="461"/>
      <c r="BC132" s="461"/>
      <c r="BD132" s="461"/>
      <c r="BE132" s="461"/>
      <c r="BF132" s="461"/>
      <c r="BG132" s="461"/>
      <c r="BH132" s="461"/>
      <c r="BI132" s="461"/>
    </row>
    <row r="133" spans="5:61">
      <c r="E133" s="461"/>
      <c r="F133" s="461"/>
      <c r="G133" s="461"/>
      <c r="H133" s="461"/>
      <c r="I133" s="461"/>
      <c r="J133" s="461"/>
      <c r="K133" s="461"/>
      <c r="L133" s="461">
        <v>24.414324730000001</v>
      </c>
      <c r="M133" s="461">
        <v>23.736400360000001</v>
      </c>
      <c r="N133" s="461">
        <v>22.967419039999999</v>
      </c>
      <c r="O133" s="461">
        <v>22.967419039999999</v>
      </c>
      <c r="P133" s="461">
        <v>26.700628649999999</v>
      </c>
      <c r="Q133" s="461"/>
      <c r="R133" s="461"/>
      <c r="S133" s="461">
        <v>24.85455808</v>
      </c>
      <c r="T133" s="461"/>
      <c r="U133" s="461"/>
      <c r="V133" s="461"/>
      <c r="W133" s="461"/>
      <c r="X133" s="461"/>
      <c r="Y133" s="461"/>
      <c r="Z133" s="461"/>
      <c r="AA133" s="461"/>
      <c r="AB133" s="461"/>
      <c r="AC133" s="461"/>
      <c r="AD133" s="461"/>
      <c r="AE133" s="461"/>
      <c r="AF133" s="461"/>
      <c r="AG133" s="461"/>
      <c r="AH133" s="461"/>
      <c r="AI133" s="461"/>
      <c r="AL133" s="461"/>
      <c r="AM133" s="461"/>
      <c r="AN133" s="461"/>
      <c r="AO133" s="461"/>
      <c r="AP133" s="461"/>
      <c r="AQ133" s="461"/>
      <c r="AR133" s="461"/>
      <c r="AS133" s="461"/>
      <c r="AT133" s="461"/>
      <c r="AU133" s="461"/>
      <c r="AV133" s="461"/>
      <c r="AW133" s="461"/>
      <c r="AX133" s="461"/>
      <c r="AY133" s="461"/>
      <c r="AZ133" s="461"/>
      <c r="BA133" s="461"/>
      <c r="BB133" s="461"/>
      <c r="BC133" s="461"/>
      <c r="BD133" s="461"/>
      <c r="BE133" s="461"/>
      <c r="BF133" s="461"/>
      <c r="BG133" s="461"/>
      <c r="BH133" s="461"/>
      <c r="BI133" s="461"/>
    </row>
    <row r="134" spans="5:61">
      <c r="E134" s="461"/>
      <c r="F134" s="461"/>
      <c r="G134" s="461"/>
      <c r="H134" s="461"/>
      <c r="I134" s="461"/>
      <c r="J134" s="461"/>
      <c r="K134" s="461"/>
      <c r="L134" s="461">
        <v>24.40594282</v>
      </c>
      <c r="M134" s="461">
        <v>23.74031192</v>
      </c>
      <c r="N134" s="461">
        <v>22.953845780000002</v>
      </c>
      <c r="O134" s="461">
        <v>22.953845780000002</v>
      </c>
      <c r="P134" s="461">
        <v>26.6958789</v>
      </c>
      <c r="Q134" s="461"/>
      <c r="R134" s="461"/>
      <c r="S134" s="461">
        <v>24.853347360000001</v>
      </c>
      <c r="T134" s="461"/>
      <c r="U134" s="461"/>
      <c r="V134" s="461"/>
      <c r="W134" s="461"/>
      <c r="X134" s="461"/>
      <c r="Y134" s="461"/>
      <c r="Z134" s="461"/>
      <c r="AA134" s="461"/>
      <c r="AB134" s="461"/>
      <c r="AC134" s="461"/>
      <c r="AD134" s="461"/>
      <c r="AE134" s="461"/>
      <c r="AF134" s="461"/>
      <c r="AG134" s="461"/>
      <c r="AH134" s="461"/>
      <c r="AI134" s="461"/>
      <c r="AL134" s="461"/>
      <c r="AM134" s="461"/>
      <c r="AN134" s="461"/>
      <c r="AO134" s="461"/>
      <c r="AP134" s="461"/>
      <c r="AQ134" s="461"/>
      <c r="AR134" s="461"/>
      <c r="AS134" s="461"/>
      <c r="AT134" s="461"/>
      <c r="AU134" s="461"/>
      <c r="AV134" s="461"/>
      <c r="AW134" s="461"/>
      <c r="AX134" s="461"/>
      <c r="AY134" s="461"/>
      <c r="AZ134" s="461"/>
      <c r="BA134" s="461"/>
      <c r="BB134" s="461"/>
      <c r="BC134" s="461"/>
      <c r="BD134" s="461"/>
      <c r="BE134" s="461"/>
      <c r="BF134" s="461"/>
      <c r="BG134" s="461"/>
      <c r="BH134" s="461"/>
      <c r="BI134" s="461"/>
    </row>
    <row r="135" spans="5:61">
      <c r="E135" s="461"/>
      <c r="F135" s="461"/>
      <c r="G135" s="461"/>
      <c r="H135" s="461"/>
      <c r="I135" s="461"/>
      <c r="J135" s="461"/>
      <c r="K135" s="461"/>
      <c r="L135" s="461">
        <v>24.41600111</v>
      </c>
      <c r="M135" s="461">
        <v>23.729600000000001</v>
      </c>
      <c r="N135" s="461">
        <v>23.016896320000001</v>
      </c>
      <c r="O135" s="461">
        <v>22.916896319999999</v>
      </c>
      <c r="P135" s="461">
        <v>26.696810230000001</v>
      </c>
      <c r="Q135" s="461"/>
      <c r="R135" s="461"/>
      <c r="S135" s="461">
        <v>24.85763145</v>
      </c>
      <c r="T135" s="461"/>
      <c r="U135" s="461"/>
      <c r="V135" s="461"/>
      <c r="W135" s="461"/>
      <c r="X135" s="461"/>
      <c r="Y135" s="461"/>
      <c r="Z135" s="461"/>
      <c r="AA135" s="461"/>
      <c r="AB135" s="461"/>
      <c r="AC135" s="461"/>
      <c r="AD135" s="461"/>
      <c r="AE135" s="461"/>
      <c r="AF135" s="461"/>
      <c r="AG135" s="461"/>
      <c r="AH135" s="461"/>
      <c r="AI135" s="461"/>
      <c r="AL135" s="461"/>
      <c r="AM135" s="461"/>
      <c r="AN135" s="461"/>
      <c r="AO135" s="461"/>
      <c r="AP135" s="461"/>
      <c r="AQ135" s="461"/>
      <c r="AR135" s="461"/>
      <c r="AS135" s="461"/>
      <c r="AT135" s="461"/>
      <c r="AU135" s="461"/>
      <c r="AV135" s="461"/>
      <c r="AW135" s="461"/>
      <c r="AX135" s="461"/>
      <c r="AY135" s="461"/>
      <c r="AZ135" s="461"/>
      <c r="BA135" s="461"/>
      <c r="BB135" s="461"/>
      <c r="BC135" s="461"/>
      <c r="BD135" s="461"/>
      <c r="BE135" s="461"/>
      <c r="BF135" s="461"/>
      <c r="BG135" s="461"/>
      <c r="BH135" s="461"/>
      <c r="BI135" s="461"/>
    </row>
    <row r="136" spans="5:61">
      <c r="E136" s="461"/>
      <c r="F136" s="461"/>
      <c r="G136" s="461"/>
      <c r="H136" s="461"/>
      <c r="I136" s="461"/>
      <c r="J136" s="461"/>
      <c r="K136" s="461"/>
      <c r="L136" s="461">
        <v>1.532398256</v>
      </c>
      <c r="M136" s="461">
        <v>0.84599999999999997</v>
      </c>
      <c r="N136" s="461">
        <v>0.133296319</v>
      </c>
      <c r="O136" s="461">
        <v>3.3296318999999998E-2</v>
      </c>
      <c r="P136" s="461">
        <v>3.8132073769999999</v>
      </c>
      <c r="Q136" s="461"/>
      <c r="R136" s="461"/>
      <c r="S136" s="461">
        <v>1.974031447</v>
      </c>
      <c r="T136" s="461"/>
      <c r="U136" s="461"/>
      <c r="V136" s="461"/>
      <c r="W136" s="461"/>
      <c r="X136" s="461"/>
      <c r="Y136" s="461"/>
      <c r="Z136" s="461"/>
      <c r="AA136" s="461"/>
      <c r="AB136" s="461"/>
      <c r="AC136" s="461"/>
      <c r="AD136" s="461"/>
      <c r="AE136" s="461"/>
      <c r="AF136" s="461"/>
      <c r="AG136" s="461"/>
      <c r="AH136" s="461"/>
      <c r="AI136" s="461"/>
      <c r="AL136" s="461"/>
      <c r="AM136" s="461"/>
      <c r="AN136" s="461"/>
      <c r="AO136" s="461"/>
      <c r="AP136" s="461"/>
      <c r="AQ136" s="461"/>
      <c r="AR136" s="461"/>
      <c r="AS136" s="461"/>
      <c r="AT136" s="461"/>
      <c r="AU136" s="461"/>
      <c r="AV136" s="461"/>
      <c r="AW136" s="461"/>
      <c r="AX136" s="461"/>
      <c r="AY136" s="461"/>
      <c r="AZ136" s="461"/>
      <c r="BA136" s="461"/>
      <c r="BB136" s="461"/>
      <c r="BC136" s="461"/>
      <c r="BD136" s="461"/>
      <c r="BE136" s="461"/>
      <c r="BF136" s="461"/>
      <c r="BG136" s="461"/>
      <c r="BH136" s="461"/>
      <c r="BI136" s="461"/>
    </row>
  </sheetData>
  <phoneticPr fontId="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Y102"/>
  <sheetViews>
    <sheetView topLeftCell="A7" workbookViewId="0">
      <selection activeCell="D11" sqref="D11"/>
    </sheetView>
  </sheetViews>
  <sheetFormatPr defaultColWidth="9.140625" defaultRowHeight="15"/>
  <cols>
    <col min="1" max="3" width="9.140625" style="13"/>
    <col min="4" max="4" width="31.140625" style="13" customWidth="1"/>
    <col min="5" max="7" width="13.5703125" style="13" customWidth="1"/>
    <col min="8" max="8" width="9.140625" style="13"/>
    <col min="9" max="9" width="11.5703125" style="13" bestFit="1" customWidth="1"/>
    <col min="10" max="12" width="9.140625" style="13"/>
    <col min="13" max="13" width="11.42578125" style="13" customWidth="1"/>
    <col min="14" max="14" width="9.140625" style="13"/>
    <col min="15" max="15" width="23.140625" style="13" customWidth="1"/>
    <col min="16" max="16384" width="9.140625" style="13"/>
  </cols>
  <sheetData>
    <row r="2" spans="3:25">
      <c r="C2" s="260" t="s">
        <v>28</v>
      </c>
      <c r="D2" s="260"/>
      <c r="O2" s="13">
        <v>1.3789543</v>
      </c>
    </row>
    <row r="3" spans="3:25">
      <c r="O3" s="13">
        <v>1.6872339999999999</v>
      </c>
    </row>
    <row r="4" spans="3:25">
      <c r="D4" s="16" t="s">
        <v>29</v>
      </c>
      <c r="E4" s="16" t="s">
        <v>30</v>
      </c>
      <c r="F4" s="16"/>
      <c r="G4" s="16"/>
      <c r="X4" s="13">
        <v>0</v>
      </c>
      <c r="Y4" s="13">
        <v>0</v>
      </c>
    </row>
    <row r="5" spans="3:25">
      <c r="D5" s="16" t="s">
        <v>24</v>
      </c>
      <c r="E5" s="16">
        <v>106.8</v>
      </c>
      <c r="F5" s="16"/>
      <c r="G5" s="16"/>
      <c r="H5" s="33"/>
      <c r="I5" s="33"/>
      <c r="X5" s="13">
        <v>2.1399999999999999E-2</v>
      </c>
      <c r="Y5" s="13">
        <v>0.67</v>
      </c>
    </row>
    <row r="6" spans="3:25">
      <c r="D6" s="16" t="s">
        <v>25</v>
      </c>
      <c r="E6" s="16">
        <v>20</v>
      </c>
      <c r="F6" s="16"/>
      <c r="G6" s="16"/>
      <c r="X6" s="13">
        <v>5.5320000000000001E-2</v>
      </c>
      <c r="Y6" s="13">
        <v>1.3614074207191109</v>
      </c>
    </row>
    <row r="7" spans="3:25">
      <c r="D7" s="263"/>
      <c r="E7" s="508" t="s">
        <v>7</v>
      </c>
      <c r="F7" s="512"/>
      <c r="G7" s="512"/>
      <c r="H7" s="509"/>
      <c r="I7" s="510"/>
      <c r="J7" s="508" t="s">
        <v>48</v>
      </c>
      <c r="K7" s="512"/>
      <c r="L7" s="509"/>
      <c r="M7" s="510"/>
      <c r="N7" s="23"/>
      <c r="P7" s="508" t="s">
        <v>7</v>
      </c>
      <c r="Q7" s="509"/>
      <c r="R7" s="509"/>
      <c r="S7" s="508" t="s">
        <v>7</v>
      </c>
      <c r="T7" s="509"/>
      <c r="U7" s="511"/>
      <c r="X7" s="13">
        <v>0.1148</v>
      </c>
      <c r="Y7" s="13">
        <v>3.4894560867223801</v>
      </c>
    </row>
    <row r="8" spans="3:25">
      <c r="D8" s="264" t="s">
        <v>23</v>
      </c>
      <c r="E8" s="36" t="s">
        <v>76</v>
      </c>
      <c r="F8" s="430" t="s">
        <v>84</v>
      </c>
      <c r="G8" s="433" t="s">
        <v>85</v>
      </c>
      <c r="H8" s="388" t="s">
        <v>77</v>
      </c>
      <c r="I8" s="266" t="s">
        <v>56</v>
      </c>
      <c r="J8" s="36" t="s">
        <v>76</v>
      </c>
      <c r="K8" s="430" t="s">
        <v>84</v>
      </c>
      <c r="L8" s="430" t="s">
        <v>84</v>
      </c>
      <c r="M8" s="266" t="s">
        <v>56</v>
      </c>
      <c r="N8" s="33"/>
      <c r="O8" s="366" t="s">
        <v>61</v>
      </c>
      <c r="P8" s="36" t="s">
        <v>76</v>
      </c>
      <c r="Q8" s="430" t="s">
        <v>84</v>
      </c>
      <c r="R8" s="266" t="s">
        <v>56</v>
      </c>
      <c r="S8" s="36" t="s">
        <v>76</v>
      </c>
      <c r="T8" s="430" t="s">
        <v>84</v>
      </c>
      <c r="U8" s="266" t="s">
        <v>56</v>
      </c>
      <c r="X8" s="13">
        <v>0.26200000000000001</v>
      </c>
      <c r="Y8" s="13">
        <v>8.0103059417191709</v>
      </c>
    </row>
    <row r="9" spans="3:25">
      <c r="D9" s="264">
        <v>0</v>
      </c>
      <c r="E9" s="33">
        <v>1.1736471028352085</v>
      </c>
      <c r="F9" s="33">
        <v>1.2189262999999999</v>
      </c>
      <c r="G9" s="33">
        <v>1.365489</v>
      </c>
      <c r="H9" s="33">
        <v>1.4993391400660521</v>
      </c>
      <c r="I9" s="261">
        <v>1.6263052376714999</v>
      </c>
      <c r="J9" s="290">
        <v>0</v>
      </c>
      <c r="K9" s="429">
        <v>0</v>
      </c>
      <c r="L9" s="387">
        <v>0</v>
      </c>
      <c r="M9" s="261">
        <v>0</v>
      </c>
      <c r="N9" s="352"/>
      <c r="O9" s="363">
        <v>0</v>
      </c>
      <c r="P9" s="290">
        <v>1.1736471028352085</v>
      </c>
      <c r="Q9" s="387">
        <v>1.4993391400660521</v>
      </c>
      <c r="R9" s="261">
        <v>1.6263052376714999</v>
      </c>
      <c r="S9" s="290">
        <v>0</v>
      </c>
      <c r="T9" s="387">
        <v>0</v>
      </c>
      <c r="U9" s="261">
        <v>0</v>
      </c>
      <c r="X9" s="13">
        <v>0.37890000000000001</v>
      </c>
      <c r="Y9" s="13">
        <v>11.033379199110207</v>
      </c>
    </row>
    <row r="10" spans="3:25">
      <c r="D10" s="264">
        <v>8.9999999999999993E-3</v>
      </c>
      <c r="E10" s="33">
        <v>1.3343413700000002</v>
      </c>
      <c r="F10" s="33">
        <v>1.501973349933948</v>
      </c>
      <c r="G10" s="33">
        <v>1.643294</v>
      </c>
      <c r="H10" s="16">
        <v>1.7823861900000002</v>
      </c>
      <c r="I10" s="35">
        <v>1.9895931100000004</v>
      </c>
      <c r="J10" s="32">
        <f>E10-$E$9</f>
        <v>0.16069426716479174</v>
      </c>
      <c r="K10" s="33">
        <f>F10-$F$9</f>
        <v>0.28304704993394814</v>
      </c>
      <c r="L10" s="33">
        <f>H10-$H$9</f>
        <v>0.28304704993394814</v>
      </c>
      <c r="M10" s="35">
        <f>I10-$I$9</f>
        <v>0.36328787232850046</v>
      </c>
      <c r="N10" s="352"/>
      <c r="O10" s="363">
        <v>1.0500000000000001E-2</v>
      </c>
      <c r="P10" s="269">
        <v>1.3789543</v>
      </c>
      <c r="Q10" s="352">
        <v>1.6872339999999999</v>
      </c>
      <c r="R10" s="270">
        <v>1.9099630896819999</v>
      </c>
      <c r="S10" s="269">
        <f>P10-$P$9</f>
        <v>0.20530719716479151</v>
      </c>
      <c r="T10" s="352">
        <f>Q10-$Q$9</f>
        <v>0.18789485993394783</v>
      </c>
      <c r="U10" s="270">
        <f>R10-$R$9</f>
        <v>0.28365785201049998</v>
      </c>
      <c r="X10" s="13">
        <v>0.51200000000000001</v>
      </c>
      <c r="Y10" s="13">
        <v>14.654214212549601</v>
      </c>
    </row>
    <row r="11" spans="3:25">
      <c r="D11" s="264">
        <v>2.8700000000000003E-2</v>
      </c>
      <c r="E11" s="33">
        <v>1.7249762758929506</v>
      </c>
      <c r="F11" s="33">
        <v>2.0481225419709475</v>
      </c>
      <c r="G11" s="33">
        <v>2.112355</v>
      </c>
      <c r="H11" s="33">
        <v>2.3285353820369998</v>
      </c>
      <c r="I11" s="35">
        <v>2.7689926673889378</v>
      </c>
      <c r="J11" s="32">
        <f t="shared" ref="J11:J18" si="0">E11-$E$9</f>
        <v>0.55132917305774209</v>
      </c>
      <c r="K11" s="33">
        <f t="shared" ref="K11:K18" si="1">F11-$F$9</f>
        <v>0.82919624197094755</v>
      </c>
      <c r="L11" s="33">
        <f t="shared" ref="L11:L17" si="2">H11-$H$9</f>
        <v>0.82919624197094777</v>
      </c>
      <c r="M11" s="35">
        <f t="shared" ref="M11:M17" si="3">I11-$I$9</f>
        <v>1.1426874297174379</v>
      </c>
      <c r="N11" s="352">
        <f>0.0562*15+1.2</f>
        <v>2.0430000000000001</v>
      </c>
      <c r="O11" s="363">
        <v>0.03</v>
      </c>
      <c r="P11" s="269">
        <v>1.7117540499999986</v>
      </c>
      <c r="Q11" s="352">
        <v>2.04</v>
      </c>
      <c r="R11" s="270">
        <v>2.4329730151062363</v>
      </c>
      <c r="S11" s="269">
        <f t="shared" ref="S11:S14" si="4">P11-$P$9</f>
        <v>0.53810694716479013</v>
      </c>
      <c r="T11" s="352">
        <f t="shared" ref="T11:T14" si="5">Q11-$Q$9</f>
        <v>0.54066085993394797</v>
      </c>
      <c r="U11" s="270">
        <f t="shared" ref="U11:U14" si="6">R11-$R$9</f>
        <v>0.80666777743473639</v>
      </c>
      <c r="X11" s="13">
        <v>0.65700000000000003</v>
      </c>
      <c r="Y11" s="13">
        <v>17.46</v>
      </c>
    </row>
    <row r="12" spans="3:25">
      <c r="D12" s="264">
        <v>4.2350000000000006E-2</v>
      </c>
      <c r="E12" s="33">
        <v>2.1662460608207272</v>
      </c>
      <c r="F12" s="33">
        <v>2.5521958597169974</v>
      </c>
      <c r="G12" s="33">
        <v>2.6348878999999998</v>
      </c>
      <c r="H12" s="16">
        <v>2.8326086997830493</v>
      </c>
      <c r="I12" s="35">
        <v>2.9916858688063712</v>
      </c>
      <c r="J12" s="32">
        <f t="shared" si="0"/>
        <v>0.99259895798551878</v>
      </c>
      <c r="K12" s="33">
        <f t="shared" si="1"/>
        <v>1.3332695597169975</v>
      </c>
      <c r="L12" s="33">
        <f t="shared" si="2"/>
        <v>1.3332695597169972</v>
      </c>
      <c r="M12" s="35">
        <f t="shared" si="3"/>
        <v>1.3653806311348713</v>
      </c>
      <c r="N12" s="352"/>
      <c r="O12" s="363">
        <v>0.06</v>
      </c>
      <c r="P12" s="367">
        <v>1.982092969999999</v>
      </c>
      <c r="Q12" s="364">
        <v>2.4449711100000018</v>
      </c>
      <c r="R12" s="365">
        <v>2.7817025200000023</v>
      </c>
      <c r="S12" s="367">
        <f t="shared" si="4"/>
        <v>0.8084458671647905</v>
      </c>
      <c r="T12" s="364">
        <f t="shared" si="5"/>
        <v>0.94563196993394971</v>
      </c>
      <c r="U12" s="365">
        <f t="shared" si="6"/>
        <v>1.1553972823285024</v>
      </c>
      <c r="X12" s="13">
        <v>7.8E-2</v>
      </c>
      <c r="Y12" s="13">
        <v>1.82</v>
      </c>
    </row>
    <row r="13" spans="3:25">
      <c r="D13" s="264">
        <v>5.5024875621890554E-2</v>
      </c>
      <c r="E13" s="33">
        <v>2.3988182980577211</v>
      </c>
      <c r="F13" s="33">
        <v>2.9010495749029461</v>
      </c>
      <c r="G13" s="33">
        <v>3.0489480000000002</v>
      </c>
      <c r="H13" s="33">
        <v>3.1814624149689981</v>
      </c>
      <c r="I13" s="35">
        <v>3.5476817610031639</v>
      </c>
      <c r="J13" s="32">
        <f t="shared" si="0"/>
        <v>1.2251711952225126</v>
      </c>
      <c r="K13" s="33">
        <f t="shared" si="1"/>
        <v>1.6821232749029462</v>
      </c>
      <c r="L13" s="33">
        <f t="shared" si="2"/>
        <v>1.682123274902946</v>
      </c>
      <c r="M13" s="35">
        <f t="shared" si="3"/>
        <v>1.921376523331664</v>
      </c>
      <c r="N13" s="352"/>
      <c r="O13" s="363">
        <v>0.09</v>
      </c>
      <c r="P13" s="367">
        <v>2.7113155199999999</v>
      </c>
      <c r="Q13" s="364">
        <v>2.9770807600000002</v>
      </c>
      <c r="R13" s="365">
        <v>3.3717644999999998</v>
      </c>
      <c r="S13" s="367">
        <f t="shared" si="4"/>
        <v>1.5376684171647914</v>
      </c>
      <c r="T13" s="364">
        <f t="shared" si="5"/>
        <v>1.4777416199339481</v>
      </c>
      <c r="U13" s="365">
        <f t="shared" si="6"/>
        <v>1.7454592623284999</v>
      </c>
      <c r="W13" s="13">
        <f>Y13-J14</f>
        <v>0.19082784499893823</v>
      </c>
      <c r="X13" s="13">
        <v>6.8949999999999997E-2</v>
      </c>
      <c r="Y13" s="13">
        <f>X13*27.87</f>
        <v>1.9216365</v>
      </c>
    </row>
    <row r="14" spans="3:25">
      <c r="D14" s="264">
        <v>6.8950000000000011E-2</v>
      </c>
      <c r="E14" s="33">
        <v>2.9044557578362702</v>
      </c>
      <c r="F14" s="33">
        <v>3.2101067674293811</v>
      </c>
      <c r="G14" s="33">
        <v>3.3485999999999998</v>
      </c>
      <c r="H14" s="33">
        <v>3.490519607495433</v>
      </c>
      <c r="I14" s="35">
        <v>4.0676500000000004</v>
      </c>
      <c r="J14" s="32">
        <f t="shared" si="0"/>
        <v>1.7308086550010617</v>
      </c>
      <c r="K14" s="33">
        <f t="shared" si="1"/>
        <v>1.9911804674293812</v>
      </c>
      <c r="L14" s="33">
        <f t="shared" si="2"/>
        <v>1.9911804674293809</v>
      </c>
      <c r="M14" s="35">
        <f t="shared" si="3"/>
        <v>2.4413447623285007</v>
      </c>
      <c r="N14" s="352"/>
      <c r="O14" s="32">
        <v>0.15</v>
      </c>
      <c r="P14" s="269">
        <v>3.6588002400000001</v>
      </c>
      <c r="Q14" s="352">
        <v>4.2141929400000002</v>
      </c>
      <c r="R14" s="270">
        <v>5.4858628399999958</v>
      </c>
      <c r="S14" s="269">
        <f t="shared" si="4"/>
        <v>2.4851531371647919</v>
      </c>
      <c r="T14" s="352">
        <f t="shared" si="5"/>
        <v>2.7148537999339482</v>
      </c>
      <c r="U14" s="270">
        <f t="shared" si="6"/>
        <v>3.8595576023284961</v>
      </c>
      <c r="W14" s="13">
        <f>Y14-J17</f>
        <v>-0.71047714404506035</v>
      </c>
      <c r="X14" s="13">
        <v>0.23039999999999999</v>
      </c>
      <c r="Y14" s="13">
        <f>X14*27.87</f>
        <v>6.4212480000000003</v>
      </c>
    </row>
    <row r="15" spans="3:25">
      <c r="C15" s="33"/>
      <c r="D15" s="32">
        <v>9.4500000000000001E-2</v>
      </c>
      <c r="E15" s="33">
        <v>3.8242827061451239</v>
      </c>
      <c r="F15" s="33">
        <v>3.8376194285714256</v>
      </c>
      <c r="G15" s="33">
        <v>4.4896174999999996</v>
      </c>
      <c r="H15" s="33">
        <v>4.83761942857143</v>
      </c>
      <c r="I15" s="35">
        <v>5.4744564489795904</v>
      </c>
      <c r="J15" s="32"/>
      <c r="K15" s="33">
        <f t="shared" si="1"/>
        <v>2.6186931285714259</v>
      </c>
      <c r="L15" s="33"/>
      <c r="M15" s="35"/>
      <c r="N15" s="352"/>
      <c r="O15" s="264">
        <v>0.24</v>
      </c>
      <c r="P15" s="269">
        <v>5.3898216999999997</v>
      </c>
      <c r="Q15" s="352">
        <v>5.7426832149999996</v>
      </c>
      <c r="R15" s="270">
        <v>7.1453873999999997</v>
      </c>
      <c r="S15" s="269">
        <f>P15-$P$9</f>
        <v>4.216174597164791</v>
      </c>
      <c r="T15" s="352">
        <f>Q15-$Q$9</f>
        <v>4.2433440749339475</v>
      </c>
      <c r="U15" s="270">
        <f>R15-$R$9</f>
        <v>5.5190821623285</v>
      </c>
    </row>
    <row r="16" spans="3:25">
      <c r="D16" s="32">
        <v>0.1575</v>
      </c>
      <c r="E16" s="32">
        <v>5.3535144661451257</v>
      </c>
      <c r="F16" s="33">
        <v>6.4598465047638811</v>
      </c>
      <c r="G16" s="33">
        <v>6.2364870000000003</v>
      </c>
      <c r="H16" s="33">
        <v>6.7402593448299335</v>
      </c>
      <c r="I16" s="35">
        <v>7.437512630089099</v>
      </c>
      <c r="J16" s="32">
        <f t="shared" si="0"/>
        <v>4.179867363309917</v>
      </c>
      <c r="K16" s="33">
        <f t="shared" si="1"/>
        <v>5.2409202047638814</v>
      </c>
      <c r="L16" s="33">
        <f t="shared" si="2"/>
        <v>5.2409202047638814</v>
      </c>
      <c r="M16" s="35">
        <f t="shared" si="3"/>
        <v>5.8112073924175993</v>
      </c>
      <c r="N16" s="352"/>
      <c r="O16" s="32">
        <v>0.3</v>
      </c>
      <c r="P16" s="34">
        <v>6.5257996</v>
      </c>
      <c r="Q16" s="352">
        <v>7.7170046374999997</v>
      </c>
      <c r="R16" s="270">
        <v>8.2857213437500086</v>
      </c>
      <c r="S16" s="34">
        <f>P16-$P$9</f>
        <v>5.3521524971647914</v>
      </c>
      <c r="T16" s="352">
        <f>Q16-$Q$9</f>
        <v>6.2176654974339476</v>
      </c>
      <c r="U16" s="270">
        <f>R16-$R$9</f>
        <v>6.6594161060785089</v>
      </c>
    </row>
    <row r="17" spans="4:21">
      <c r="D17" s="265">
        <v>0.252</v>
      </c>
      <c r="E17" s="37">
        <v>8.3053722468802693</v>
      </c>
      <c r="F17" s="37">
        <v>9.4272762267992505</v>
      </c>
      <c r="G17" s="37">
        <v>9.9257055770000004</v>
      </c>
      <c r="H17" s="37">
        <v>10.9076890668653</v>
      </c>
      <c r="I17" s="38">
        <v>10.722464304722958</v>
      </c>
      <c r="J17" s="36">
        <f t="shared" si="0"/>
        <v>7.1317251440450606</v>
      </c>
      <c r="K17" s="33">
        <f t="shared" si="1"/>
        <v>8.2083499267992508</v>
      </c>
      <c r="L17" s="37">
        <f t="shared" si="2"/>
        <v>9.4083499267992483</v>
      </c>
      <c r="M17" s="38">
        <f t="shared" si="3"/>
        <v>9.0961590670514578</v>
      </c>
      <c r="N17" s="352"/>
      <c r="O17" s="36">
        <v>0.4</v>
      </c>
      <c r="P17" s="368">
        <v>8.4768810999999893</v>
      </c>
      <c r="Q17" s="15">
        <v>9.6964380299999995</v>
      </c>
      <c r="R17" s="262">
        <v>10.782519840000001</v>
      </c>
      <c r="S17" s="368">
        <f>P17-$P$9</f>
        <v>7.3032339971647806</v>
      </c>
      <c r="T17" s="15">
        <f>Q17-$Q$9</f>
        <v>8.1970988899339474</v>
      </c>
      <c r="U17" s="262">
        <f>R17-$R$9</f>
        <v>9.1562146023285003</v>
      </c>
    </row>
    <row r="18" spans="4:21">
      <c r="D18" s="264">
        <v>0.24</v>
      </c>
      <c r="E18" s="37">
        <v>7.9320968899999977</v>
      </c>
      <c r="F18" s="37">
        <v>8.3698891</v>
      </c>
      <c r="G18" s="13">
        <v>8.6673241500000007</v>
      </c>
      <c r="H18" s="37">
        <v>10.095930629</v>
      </c>
      <c r="I18" s="33"/>
      <c r="J18" s="33">
        <f t="shared" si="0"/>
        <v>6.7584497871647891</v>
      </c>
      <c r="K18" s="33">
        <f t="shared" si="1"/>
        <v>7.1509628000000003</v>
      </c>
      <c r="L18" s="33"/>
      <c r="M18" s="33"/>
      <c r="N18" s="352"/>
      <c r="O18" s="32"/>
      <c r="P18" s="34"/>
      <c r="Q18" s="352"/>
      <c r="R18" s="270"/>
      <c r="S18" s="34"/>
      <c r="T18" s="352"/>
      <c r="U18" s="270"/>
    </row>
    <row r="19" spans="4:21">
      <c r="D19" s="263" t="s">
        <v>32</v>
      </c>
      <c r="E19" s="512" t="s">
        <v>7</v>
      </c>
      <c r="F19" s="512"/>
      <c r="G19" s="512"/>
      <c r="H19" s="510"/>
      <c r="I19" s="23"/>
    </row>
    <row r="20" spans="4:21">
      <c r="D20" s="264" t="s">
        <v>31</v>
      </c>
      <c r="E20" s="41" t="s">
        <v>26</v>
      </c>
      <c r="F20" s="430"/>
      <c r="G20" s="433"/>
      <c r="H20" s="266" t="s">
        <v>27</v>
      </c>
      <c r="I20" s="33"/>
    </row>
    <row r="21" spans="4:21">
      <c r="D21" s="264">
        <v>1</v>
      </c>
      <c r="E21" s="33">
        <v>1.1342442002377313</v>
      </c>
      <c r="F21" s="33"/>
      <c r="G21" s="33"/>
      <c r="H21" s="35">
        <v>1.5485959486335901</v>
      </c>
      <c r="I21" s="33"/>
    </row>
    <row r="22" spans="4:21">
      <c r="D22" s="264">
        <v>2</v>
      </c>
      <c r="E22" s="33">
        <v>1.2978148393009481</v>
      </c>
      <c r="F22" s="33"/>
      <c r="G22" s="33"/>
      <c r="H22" s="35">
        <v>1.6498069685849213</v>
      </c>
      <c r="I22" s="33"/>
    </row>
    <row r="23" spans="4:21">
      <c r="D23" s="264">
        <v>3</v>
      </c>
      <c r="E23" s="33">
        <v>1.2688813888530617</v>
      </c>
      <c r="F23" s="33"/>
      <c r="G23" s="33"/>
      <c r="H23" s="35">
        <v>1.6780412911624547</v>
      </c>
      <c r="I23" s="33"/>
    </row>
    <row r="24" spans="4:21">
      <c r="D24" s="264">
        <v>4</v>
      </c>
      <c r="E24" s="33">
        <v>1.2808484139807248</v>
      </c>
      <c r="F24" s="33"/>
      <c r="G24" s="33"/>
      <c r="H24" s="35">
        <v>1.6220214811418123</v>
      </c>
      <c r="I24" s="33"/>
    </row>
    <row r="25" spans="4:21">
      <c r="D25" s="264">
        <v>5</v>
      </c>
      <c r="E25" s="33">
        <v>1.28879649965322</v>
      </c>
      <c r="F25" s="33"/>
      <c r="G25" s="33"/>
      <c r="H25" s="35">
        <v>1.6404650399388401</v>
      </c>
      <c r="I25" s="33"/>
    </row>
    <row r="26" spans="4:21">
      <c r="D26" s="265">
        <v>6</v>
      </c>
      <c r="E26" s="37">
        <v>1.3196532087964921</v>
      </c>
      <c r="F26" s="37"/>
      <c r="G26" s="37"/>
      <c r="H26" s="38">
        <v>1.6388440465039935</v>
      </c>
      <c r="I26" s="33"/>
    </row>
    <row r="27" spans="4:21">
      <c r="D27" s="263" t="s">
        <v>33</v>
      </c>
      <c r="E27" s="512" t="s">
        <v>7</v>
      </c>
      <c r="F27" s="512"/>
      <c r="G27" s="512"/>
      <c r="H27" s="510"/>
      <c r="I27" s="23"/>
    </row>
    <row r="28" spans="4:21">
      <c r="D28" s="264" t="s">
        <v>31</v>
      </c>
      <c r="E28" s="41" t="s">
        <v>26</v>
      </c>
      <c r="F28" s="430"/>
      <c r="G28" s="433"/>
      <c r="H28" s="266" t="s">
        <v>27</v>
      </c>
      <c r="I28" s="33"/>
    </row>
    <row r="29" spans="4:21">
      <c r="D29" s="264" t="s">
        <v>34</v>
      </c>
      <c r="E29" s="33">
        <v>1.1736471028352085</v>
      </c>
      <c r="F29" s="33"/>
      <c r="G29" s="33"/>
      <c r="H29" s="261">
        <v>1.4993391400660521</v>
      </c>
      <c r="I29" s="33"/>
    </row>
    <row r="30" spans="4:21">
      <c r="D30" s="264" t="s">
        <v>35</v>
      </c>
      <c r="E30" s="33">
        <v>1.1388218210383352</v>
      </c>
      <c r="F30" s="33"/>
      <c r="G30" s="33"/>
      <c r="H30" s="35">
        <v>1.4753829895456967</v>
      </c>
      <c r="I30" s="33"/>
    </row>
    <row r="31" spans="4:21">
      <c r="D31" s="264" t="s">
        <v>36</v>
      </c>
      <c r="E31" s="16">
        <v>1.2002475116135443</v>
      </c>
      <c r="F31" s="16"/>
      <c r="G31" s="16"/>
      <c r="H31" s="35">
        <v>1.6419038865442734</v>
      </c>
      <c r="I31" s="33"/>
    </row>
    <row r="32" spans="4:21">
      <c r="D32" s="265" t="s">
        <v>37</v>
      </c>
      <c r="E32" s="37">
        <v>1.2095285037324219</v>
      </c>
      <c r="F32" s="37"/>
      <c r="G32" s="37"/>
      <c r="H32" s="38">
        <v>1.5436404972903739</v>
      </c>
      <c r="I32" s="33"/>
    </row>
    <row r="45" spans="12:12">
      <c r="L45" s="13">
        <f>26/20</f>
        <v>1.3</v>
      </c>
    </row>
    <row r="102" spans="16:16">
      <c r="P102" s="13" t="e">
        <f>#REF!+Plot!E17*0.07</f>
        <v>#REF!</v>
      </c>
    </row>
  </sheetData>
  <mergeCells count="6">
    <mergeCell ref="S7:U7"/>
    <mergeCell ref="E19:H19"/>
    <mergeCell ref="E27:H27"/>
    <mergeCell ref="E7:I7"/>
    <mergeCell ref="J7:M7"/>
    <mergeCell ref="P7:R7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0"/>
  <sheetViews>
    <sheetView tabSelected="1" workbookViewId="0">
      <selection activeCell="L31" sqref="L31"/>
    </sheetView>
  </sheetViews>
  <sheetFormatPr defaultRowHeight="15"/>
  <cols>
    <col min="7" max="7" width="12" customWidth="1"/>
    <col min="15" max="15" width="9.140625" style="371"/>
  </cols>
  <sheetData>
    <row r="1" spans="1:20">
      <c r="A1" s="470" t="s">
        <v>370</v>
      </c>
      <c r="B1" s="62"/>
      <c r="C1" s="62"/>
      <c r="D1" s="62"/>
      <c r="E1" s="62"/>
      <c r="F1" s="62"/>
      <c r="G1" s="62"/>
      <c r="H1" t="s">
        <v>350</v>
      </c>
    </row>
    <row r="2" spans="1:20">
      <c r="A2" t="s">
        <v>349</v>
      </c>
    </row>
    <row r="3" spans="1:20">
      <c r="L3" s="440"/>
      <c r="M3" s="440"/>
      <c r="N3" s="440"/>
      <c r="O3" s="440"/>
      <c r="P3" s="440"/>
      <c r="Q3" s="440"/>
    </row>
    <row r="4" spans="1:20" ht="18.75">
      <c r="B4" s="465"/>
      <c r="C4" s="466"/>
      <c r="D4" s="323" t="s">
        <v>0</v>
      </c>
      <c r="E4" s="324" t="s">
        <v>1</v>
      </c>
      <c r="F4" s="324" t="s">
        <v>49</v>
      </c>
      <c r="G4" s="324" t="s">
        <v>6</v>
      </c>
      <c r="H4" s="325" t="s">
        <v>7</v>
      </c>
      <c r="I4" s="233"/>
      <c r="J4" s="299"/>
      <c r="L4" s="440"/>
      <c r="M4" s="440"/>
      <c r="N4" s="440"/>
      <c r="O4" s="440"/>
      <c r="P4" s="440"/>
      <c r="Q4" s="440"/>
    </row>
    <row r="5" spans="1:20" ht="15.75">
      <c r="B5" s="465" t="s">
        <v>351</v>
      </c>
      <c r="C5" s="466">
        <v>9.8299999999999998E-2</v>
      </c>
      <c r="D5" s="326">
        <v>20</v>
      </c>
      <c r="E5" s="327">
        <v>100</v>
      </c>
      <c r="F5" s="466">
        <v>22.194796629999999</v>
      </c>
      <c r="G5" s="466">
        <v>25.232103779999999</v>
      </c>
      <c r="H5" s="356">
        <f>G5-F5</f>
        <v>3.0373071500000002</v>
      </c>
      <c r="I5" s="233"/>
      <c r="J5" s="299"/>
      <c r="L5" s="440"/>
      <c r="M5" s="440"/>
      <c r="N5" s="440"/>
      <c r="O5" s="440"/>
      <c r="P5" s="440"/>
      <c r="Q5" s="440"/>
    </row>
    <row r="6" spans="1:20" ht="15.75">
      <c r="B6" s="465" t="s">
        <v>352</v>
      </c>
      <c r="C6" s="466">
        <f>0.3*0.1</f>
        <v>0.03</v>
      </c>
      <c r="D6" s="329">
        <v>15</v>
      </c>
      <c r="E6" s="330">
        <v>133</v>
      </c>
      <c r="F6" s="330">
        <v>22.195634819999999</v>
      </c>
      <c r="G6" s="466">
        <v>25.698417019749701</v>
      </c>
      <c r="H6" s="46">
        <f>G6-F6</f>
        <v>3.5027821997497028</v>
      </c>
      <c r="I6" s="233"/>
      <c r="J6" s="299"/>
      <c r="L6" s="440"/>
      <c r="M6" s="440"/>
      <c r="N6" s="440"/>
      <c r="O6" s="440"/>
      <c r="P6" s="440"/>
      <c r="Q6" s="440"/>
      <c r="S6" s="386"/>
      <c r="T6" s="386"/>
    </row>
    <row r="7" spans="1:20" ht="15.75">
      <c r="B7" s="465" t="s">
        <v>353</v>
      </c>
      <c r="C7" s="465" t="s">
        <v>63</v>
      </c>
      <c r="D7" s="332">
        <v>30</v>
      </c>
      <c r="E7" s="333">
        <v>130</v>
      </c>
      <c r="F7" s="333">
        <v>21.825434080000001</v>
      </c>
      <c r="G7" s="333">
        <v>25.741071600000001</v>
      </c>
      <c r="H7" s="358">
        <f>G7-F7</f>
        <v>3.9156375200000006</v>
      </c>
      <c r="I7" s="233"/>
      <c r="J7" s="299"/>
      <c r="L7" s="440"/>
      <c r="M7" s="440"/>
      <c r="N7" s="440"/>
      <c r="O7" s="440"/>
      <c r="P7" s="440"/>
      <c r="Q7" s="440"/>
    </row>
    <row r="8" spans="1:20">
      <c r="B8" s="465"/>
      <c r="C8" s="465"/>
      <c r="D8" s="465"/>
      <c r="E8" s="465"/>
      <c r="F8" s="465"/>
      <c r="G8" s="465"/>
      <c r="H8" s="465"/>
      <c r="I8" s="47"/>
      <c r="L8" s="440"/>
      <c r="M8" s="440"/>
      <c r="N8" s="440"/>
      <c r="O8" s="440"/>
      <c r="P8" s="440"/>
      <c r="Q8" s="440"/>
    </row>
    <row r="9" spans="1:20" ht="18.75">
      <c r="B9" s="465"/>
      <c r="C9" s="466"/>
      <c r="D9" s="323" t="s">
        <v>0</v>
      </c>
      <c r="E9" s="324" t="s">
        <v>1</v>
      </c>
      <c r="F9" s="324" t="s">
        <v>49</v>
      </c>
      <c r="G9" s="324" t="s">
        <v>6</v>
      </c>
      <c r="H9" s="325" t="s">
        <v>7</v>
      </c>
      <c r="I9" s="320"/>
      <c r="L9" s="440"/>
      <c r="M9" s="440"/>
      <c r="N9" s="440"/>
      <c r="O9" s="440"/>
      <c r="P9" s="440"/>
      <c r="Q9" s="440"/>
    </row>
    <row r="10" spans="1:20" ht="15.75">
      <c r="B10" s="465" t="s">
        <v>351</v>
      </c>
      <c r="C10" s="466">
        <v>0.10580000000000001</v>
      </c>
      <c r="D10" s="326">
        <v>20</v>
      </c>
      <c r="E10" s="327">
        <v>100</v>
      </c>
      <c r="F10" s="466">
        <v>22.537989020000001</v>
      </c>
      <c r="G10" s="466">
        <v>25.842375449999999</v>
      </c>
      <c r="H10" s="356">
        <f>G10-F10</f>
        <v>3.3043864299999974</v>
      </c>
      <c r="I10" s="233"/>
      <c r="J10" s="299"/>
      <c r="K10" s="299"/>
      <c r="L10" s="440"/>
      <c r="M10" s="440"/>
      <c r="N10" s="440"/>
      <c r="O10" s="440"/>
      <c r="P10" s="440"/>
      <c r="Q10" s="440"/>
    </row>
    <row r="11" spans="1:20" ht="15.75">
      <c r="B11" s="465" t="s">
        <v>352</v>
      </c>
      <c r="C11" s="466">
        <f>0.3*0.2</f>
        <v>0.06</v>
      </c>
      <c r="D11" s="329">
        <v>15</v>
      </c>
      <c r="E11" s="330">
        <v>133</v>
      </c>
      <c r="F11" s="330">
        <v>21.84555065</v>
      </c>
      <c r="G11" s="466">
        <v>25.733248490000001</v>
      </c>
      <c r="H11" s="46">
        <f>G11-F11</f>
        <v>3.8876978400000013</v>
      </c>
      <c r="I11" s="233"/>
      <c r="J11" s="299"/>
      <c r="K11" s="299"/>
      <c r="L11" s="440"/>
      <c r="M11" s="440"/>
      <c r="N11" s="440"/>
      <c r="O11" s="440"/>
      <c r="P11" s="440"/>
      <c r="Q11" s="440"/>
      <c r="R11" s="386"/>
    </row>
    <row r="12" spans="1:20" ht="15.75">
      <c r="B12" s="465" t="s">
        <v>353</v>
      </c>
      <c r="C12" s="465" t="s">
        <v>64</v>
      </c>
      <c r="D12" s="332">
        <v>30</v>
      </c>
      <c r="E12" s="333">
        <v>130</v>
      </c>
      <c r="F12" s="333">
        <v>21.725689419999998</v>
      </c>
      <c r="G12" s="333">
        <v>26.076627139999999</v>
      </c>
      <c r="H12" s="358">
        <f>G12-F12</f>
        <v>4.350937720000001</v>
      </c>
      <c r="I12" s="233"/>
      <c r="J12" s="299"/>
      <c r="K12" s="299"/>
      <c r="L12" s="440"/>
      <c r="M12" s="440"/>
      <c r="N12" s="440"/>
      <c r="O12" s="440"/>
      <c r="P12" s="440"/>
      <c r="Q12" s="440"/>
      <c r="R12" s="386"/>
    </row>
    <row r="13" spans="1:20" ht="18.75">
      <c r="B13" s="465"/>
      <c r="C13" s="466"/>
      <c r="D13" s="323" t="s">
        <v>0</v>
      </c>
      <c r="E13" s="324" t="s">
        <v>1</v>
      </c>
      <c r="F13" s="324" t="s">
        <v>49</v>
      </c>
      <c r="G13" s="324" t="s">
        <v>6</v>
      </c>
      <c r="H13" s="325" t="s">
        <v>7</v>
      </c>
      <c r="L13" s="440"/>
      <c r="M13" s="440"/>
      <c r="N13" s="440"/>
      <c r="O13" s="440"/>
      <c r="P13" s="440"/>
      <c r="Q13" s="440"/>
    </row>
    <row r="14" spans="1:20" ht="15.75">
      <c r="B14" s="465" t="s">
        <v>351</v>
      </c>
      <c r="C14" s="466">
        <f>0.0969</f>
        <v>9.69E-2</v>
      </c>
      <c r="D14" s="326">
        <v>20</v>
      </c>
      <c r="E14" s="327">
        <v>100</v>
      </c>
      <c r="F14" s="466">
        <v>22.199825780000001</v>
      </c>
      <c r="G14" s="466">
        <v>27.610506300000001</v>
      </c>
      <c r="H14" s="356">
        <f t="shared" ref="H14:H19" si="0">G14-F14</f>
        <v>5.4106805199999997</v>
      </c>
      <c r="I14" s="204"/>
    </row>
    <row r="15" spans="1:20" ht="15.75">
      <c r="B15" s="465" t="s">
        <v>352</v>
      </c>
      <c r="C15" s="466">
        <f>0.3*0.5</f>
        <v>0.15</v>
      </c>
      <c r="D15" s="329">
        <v>15</v>
      </c>
      <c r="E15" s="330">
        <v>133</v>
      </c>
      <c r="F15" s="330">
        <v>21.857657840000002</v>
      </c>
      <c r="G15" s="466">
        <v>28.19055809</v>
      </c>
      <c r="H15" s="46">
        <f t="shared" si="0"/>
        <v>6.332900249999998</v>
      </c>
      <c r="I15" s="233"/>
      <c r="K15" s="386"/>
    </row>
    <row r="16" spans="1:20" ht="15.75">
      <c r="B16" s="465" t="s">
        <v>353</v>
      </c>
      <c r="C16" s="465" t="s">
        <v>65</v>
      </c>
      <c r="D16" s="332">
        <v>30</v>
      </c>
      <c r="E16" s="333">
        <v>130</v>
      </c>
      <c r="F16" s="333">
        <v>21.86222132</v>
      </c>
      <c r="G16" s="333">
        <v>28.595007460000001</v>
      </c>
      <c r="H16" s="358">
        <f t="shared" si="0"/>
        <v>6.7327861400000018</v>
      </c>
      <c r="I16" s="233"/>
      <c r="J16" s="373"/>
      <c r="K16" s="386"/>
      <c r="L16" s="386"/>
      <c r="M16" s="386"/>
    </row>
    <row r="17" spans="1:19" ht="15.75">
      <c r="A17" s="372"/>
      <c r="B17" s="465" t="s">
        <v>351</v>
      </c>
      <c r="C17" s="466">
        <f>0.0974</f>
        <v>9.74E-2</v>
      </c>
      <c r="D17" s="326">
        <v>20</v>
      </c>
      <c r="E17" s="327">
        <v>100</v>
      </c>
      <c r="F17" s="466">
        <v>21.850021000000002</v>
      </c>
      <c r="G17" s="466">
        <v>26.91499456</v>
      </c>
      <c r="H17" s="356">
        <f t="shared" si="0"/>
        <v>5.0649735599999985</v>
      </c>
      <c r="I17" s="233"/>
      <c r="J17" s="373"/>
      <c r="K17" s="386"/>
      <c r="L17" s="386"/>
      <c r="M17" s="386"/>
    </row>
    <row r="18" spans="1:19" s="372" customFormat="1" ht="15.75">
      <c r="B18" s="465" t="s">
        <v>352</v>
      </c>
      <c r="C18" s="466">
        <f>0.3*0.5</f>
        <v>0.15</v>
      </c>
      <c r="D18" s="329">
        <v>15</v>
      </c>
      <c r="E18" s="330">
        <v>133</v>
      </c>
      <c r="F18" s="330">
        <v>21.865294689999999</v>
      </c>
      <c r="G18" s="466">
        <v>28.10929251</v>
      </c>
      <c r="H18" s="46">
        <f t="shared" si="0"/>
        <v>6.2439978200000006</v>
      </c>
      <c r="I18" s="233"/>
    </row>
    <row r="19" spans="1:19" s="372" customFormat="1" ht="15.75">
      <c r="B19" s="465" t="s">
        <v>353</v>
      </c>
      <c r="C19" s="465" t="s">
        <v>65</v>
      </c>
      <c r="D19" s="332">
        <v>30</v>
      </c>
      <c r="E19" s="333">
        <v>130</v>
      </c>
      <c r="F19" s="333">
        <v>21.815658259999999</v>
      </c>
      <c r="G19" s="333">
        <v>28.588388930000001</v>
      </c>
      <c r="H19" s="358">
        <f t="shared" si="0"/>
        <v>6.7727306700000014</v>
      </c>
      <c r="I19" s="233"/>
      <c r="M19" s="461"/>
      <c r="N19" s="461"/>
      <c r="O19" s="461"/>
      <c r="P19" s="461"/>
      <c r="Q19" s="461"/>
      <c r="R19" s="461"/>
      <c r="S19" s="461"/>
    </row>
    <row r="20" spans="1:19" s="372" customFormat="1">
      <c r="I20" s="233"/>
      <c r="M20" s="461"/>
      <c r="N20" s="461"/>
      <c r="O20" s="461"/>
      <c r="P20" s="461"/>
      <c r="Q20" s="461"/>
      <c r="R20" s="461"/>
      <c r="S20" s="461"/>
    </row>
    <row r="21" spans="1:19">
      <c r="A21" s="470" t="s">
        <v>369</v>
      </c>
      <c r="B21" s="62"/>
      <c r="C21" s="62"/>
      <c r="D21" s="62"/>
      <c r="E21" s="62"/>
      <c r="F21" s="62"/>
      <c r="G21" s="62"/>
      <c r="H21" s="461" t="s">
        <v>350</v>
      </c>
      <c r="M21" s="461"/>
      <c r="N21" s="461"/>
      <c r="O21" s="461"/>
      <c r="P21" s="461"/>
      <c r="Q21" s="461"/>
      <c r="R21" s="461"/>
      <c r="S21" s="461"/>
    </row>
    <row r="22" spans="1:19">
      <c r="A22" s="461" t="s">
        <v>349</v>
      </c>
      <c r="B22" s="465"/>
      <c r="C22" s="466"/>
      <c r="I22" s="204"/>
      <c r="L22" s="13"/>
      <c r="M22" s="461"/>
      <c r="N22" s="461"/>
      <c r="O22" s="461"/>
      <c r="P22" s="461"/>
      <c r="Q22" s="461"/>
      <c r="R22" s="461"/>
      <c r="S22" s="461"/>
    </row>
    <row r="23" spans="1:19" ht="18.75">
      <c r="D23" s="323" t="s">
        <v>0</v>
      </c>
      <c r="E23" s="324" t="s">
        <v>1</v>
      </c>
      <c r="F23" s="324" t="s">
        <v>49</v>
      </c>
      <c r="G23" s="324" t="s">
        <v>6</v>
      </c>
      <c r="H23" s="325" t="s">
        <v>7</v>
      </c>
      <c r="I23" s="233"/>
      <c r="J23" s="440"/>
      <c r="L23" s="13"/>
      <c r="M23" s="461"/>
      <c r="N23" s="461"/>
      <c r="O23" s="461"/>
      <c r="P23" s="461"/>
      <c r="Q23" s="461"/>
      <c r="R23" s="461"/>
      <c r="S23" s="461"/>
    </row>
    <row r="24" spans="1:19" ht="15.75">
      <c r="C24" s="465" t="s">
        <v>351</v>
      </c>
      <c r="D24" s="466">
        <v>0.1021</v>
      </c>
      <c r="E24" s="327">
        <v>100</v>
      </c>
      <c r="F24" s="466">
        <v>22.20960466</v>
      </c>
      <c r="G24" s="466">
        <v>23.632755700000001</v>
      </c>
      <c r="H24" s="356">
        <f>G24-F24</f>
        <v>1.4231510400000005</v>
      </c>
      <c r="I24" s="233"/>
      <c r="J24" s="440"/>
      <c r="L24" s="13"/>
      <c r="M24" s="461"/>
      <c r="N24" s="461"/>
      <c r="O24" s="461"/>
      <c r="P24" s="461"/>
      <c r="Q24" s="461"/>
      <c r="R24" s="461"/>
      <c r="S24" s="461"/>
    </row>
    <row r="25" spans="1:19" ht="15.75">
      <c r="C25" s="465" t="s">
        <v>352</v>
      </c>
      <c r="D25" s="466">
        <f>0.3*0.03</f>
        <v>8.9999999999999993E-3</v>
      </c>
      <c r="E25" s="330">
        <v>133</v>
      </c>
      <c r="F25" s="330">
        <v>22.196286749999999</v>
      </c>
      <c r="G25" s="466">
        <v>23.72013905</v>
      </c>
      <c r="H25" s="46">
        <f>G25-F25</f>
        <v>1.5238523000000015</v>
      </c>
      <c r="I25" s="233"/>
      <c r="J25" s="432"/>
      <c r="L25" s="13"/>
      <c r="M25" s="461"/>
      <c r="N25" s="461"/>
      <c r="O25" s="461"/>
      <c r="P25" s="461"/>
      <c r="Q25" s="461"/>
      <c r="R25" s="461"/>
      <c r="S25" s="461"/>
    </row>
    <row r="26" spans="1:19" ht="15.75">
      <c r="C26" s="465" t="s">
        <v>353</v>
      </c>
      <c r="D26" s="465" t="s">
        <v>87</v>
      </c>
      <c r="E26" s="333">
        <v>130</v>
      </c>
      <c r="F26" s="333">
        <v>22.20317854</v>
      </c>
      <c r="G26" s="333">
        <v>24.153365050000001</v>
      </c>
      <c r="H26" s="358">
        <f>G26-F26</f>
        <v>1.9501865100000018</v>
      </c>
      <c r="M26" s="461"/>
      <c r="N26" s="461"/>
      <c r="O26" s="461"/>
      <c r="P26" s="461"/>
      <c r="Q26" s="461"/>
      <c r="R26" s="461"/>
      <c r="S26" s="461"/>
    </row>
    <row r="27" spans="1:19">
      <c r="A27" s="470" t="s">
        <v>371</v>
      </c>
      <c r="B27" s="62"/>
      <c r="C27" s="62"/>
      <c r="D27" s="62"/>
      <c r="E27" s="62"/>
      <c r="F27" s="62"/>
      <c r="G27" s="62"/>
      <c r="H27" s="461" t="s">
        <v>350</v>
      </c>
      <c r="I27" s="204"/>
      <c r="M27" s="461"/>
      <c r="N27" s="461"/>
      <c r="O27" s="461"/>
      <c r="P27" s="461"/>
      <c r="Q27" s="461"/>
      <c r="R27" s="461"/>
      <c r="S27" s="461"/>
    </row>
    <row r="28" spans="1:19">
      <c r="A28" s="461" t="s">
        <v>349</v>
      </c>
      <c r="I28" s="233"/>
      <c r="J28" s="440"/>
      <c r="M28" s="461"/>
      <c r="N28" s="461"/>
      <c r="O28" s="461"/>
      <c r="P28" s="461"/>
      <c r="Q28" s="461"/>
      <c r="R28" s="461"/>
      <c r="S28" s="461"/>
    </row>
    <row r="29" spans="1:19" ht="15.75">
      <c r="B29" s="466"/>
      <c r="C29" s="466"/>
      <c r="D29" s="323" t="s">
        <v>0</v>
      </c>
      <c r="E29" s="324" t="s">
        <v>1</v>
      </c>
      <c r="F29" s="324" t="s">
        <v>11</v>
      </c>
      <c r="G29" s="324" t="s">
        <v>6</v>
      </c>
      <c r="H29" s="325" t="s">
        <v>7</v>
      </c>
      <c r="I29" s="233"/>
      <c r="J29" s="386"/>
      <c r="M29" s="461"/>
      <c r="N29" s="461"/>
      <c r="O29" s="461"/>
      <c r="P29" s="461"/>
      <c r="Q29" s="461"/>
      <c r="R29" s="461"/>
      <c r="S29" s="461"/>
    </row>
    <row r="30" spans="1:19" ht="15.75">
      <c r="B30" s="465" t="s">
        <v>351</v>
      </c>
      <c r="C30" s="466">
        <v>9.8299999999999998E-2</v>
      </c>
      <c r="D30" s="326">
        <v>20</v>
      </c>
      <c r="E30" s="327">
        <v>100</v>
      </c>
      <c r="F30" s="466">
        <v>22.893940529999998</v>
      </c>
      <c r="G30" s="466">
        <v>24.197581899999999</v>
      </c>
      <c r="H30" s="356">
        <f>G30-F30</f>
        <v>1.3036413700000011</v>
      </c>
      <c r="I30" s="233"/>
      <c r="J30" s="386"/>
    </row>
    <row r="31" spans="1:19" ht="15.75">
      <c r="B31" s="465" t="s">
        <v>352</v>
      </c>
      <c r="C31" s="466">
        <f>(1.4/4)*0.03</f>
        <v>1.0499999999999999E-2</v>
      </c>
      <c r="D31" s="329">
        <v>15</v>
      </c>
      <c r="E31" s="330">
        <v>133</v>
      </c>
      <c r="F31" s="330">
        <v>23.225398259999999</v>
      </c>
      <c r="G31" s="466">
        <v>24.683338445</v>
      </c>
      <c r="H31" s="46">
        <f>G31-F31</f>
        <v>1.4579401850000018</v>
      </c>
    </row>
    <row r="32" spans="1:19" ht="15.75">
      <c r="B32" s="465" t="s">
        <v>353</v>
      </c>
      <c r="C32" s="466" t="s">
        <v>354</v>
      </c>
      <c r="D32" s="332">
        <v>30</v>
      </c>
      <c r="E32" s="333">
        <v>130</v>
      </c>
      <c r="F32" s="333">
        <v>23.21273227</v>
      </c>
      <c r="G32" s="333">
        <v>25.21202538</v>
      </c>
      <c r="H32" s="358">
        <f>G32-F32</f>
        <v>1.99929311</v>
      </c>
    </row>
    <row r="33" spans="1:12" s="461" customFormat="1">
      <c r="B33" s="465"/>
      <c r="C33" s="13"/>
    </row>
    <row r="34" spans="1:12" s="461" customFormat="1">
      <c r="A34" s="470" t="s">
        <v>372</v>
      </c>
      <c r="B34" s="501"/>
      <c r="C34" s="438"/>
      <c r="D34" s="62"/>
      <c r="E34" s="62"/>
      <c r="F34" s="62"/>
      <c r="G34" s="62"/>
      <c r="H34" s="461" t="s">
        <v>350</v>
      </c>
    </row>
    <row r="35" spans="1:12">
      <c r="A35" s="461" t="s">
        <v>349</v>
      </c>
      <c r="C35">
        <f>6.3/20</f>
        <v>0.315</v>
      </c>
      <c r="D35" t="s">
        <v>355</v>
      </c>
      <c r="I35" s="461"/>
      <c r="J35" s="461"/>
    </row>
    <row r="36" spans="1:12">
      <c r="A36" s="461"/>
      <c r="H36" s="386"/>
      <c r="I36" s="461"/>
      <c r="J36" s="461"/>
    </row>
    <row r="37" spans="1:12" ht="18.75">
      <c r="B37" s="465"/>
      <c r="C37" s="465"/>
      <c r="D37" s="323" t="s">
        <v>0</v>
      </c>
      <c r="E37" s="324" t="s">
        <v>1</v>
      </c>
      <c r="F37" s="324" t="s">
        <v>49</v>
      </c>
      <c r="G37" s="324" t="s">
        <v>6</v>
      </c>
      <c r="H37" s="325" t="s">
        <v>7</v>
      </c>
      <c r="I37" s="461"/>
      <c r="J37" s="461"/>
    </row>
    <row r="38" spans="1:12" ht="15.75">
      <c r="B38" s="465" t="s">
        <v>351</v>
      </c>
      <c r="C38" s="466">
        <v>9.11E-2</v>
      </c>
      <c r="D38" s="326">
        <v>20</v>
      </c>
      <c r="E38" s="327">
        <v>100</v>
      </c>
      <c r="F38" s="466">
        <v>22.207742020000001</v>
      </c>
      <c r="G38" s="466">
        <v>29.309247989999999</v>
      </c>
      <c r="H38" s="356">
        <f>G38-F38</f>
        <v>7.1015059699999981</v>
      </c>
      <c r="I38" s="461"/>
      <c r="J38" s="461"/>
    </row>
    <row r="39" spans="1:12" ht="15.75">
      <c r="B39" s="465" t="s">
        <v>352</v>
      </c>
      <c r="C39" s="466">
        <f>0.3*0.8</f>
        <v>0.24</v>
      </c>
      <c r="D39" s="329">
        <v>15</v>
      </c>
      <c r="E39" s="330">
        <v>133</v>
      </c>
      <c r="F39" s="330">
        <v>22.537802760000002</v>
      </c>
      <c r="G39" s="466">
        <v>30.851611399999999</v>
      </c>
      <c r="H39" s="46">
        <f>G39-F39</f>
        <v>8.3138086399999978</v>
      </c>
      <c r="I39" s="461"/>
      <c r="J39" s="461"/>
    </row>
    <row r="40" spans="1:12" ht="15.75">
      <c r="B40" s="465" t="s">
        <v>353</v>
      </c>
      <c r="C40" s="465" t="s">
        <v>78</v>
      </c>
      <c r="D40" s="332">
        <v>30</v>
      </c>
      <c r="E40" s="333">
        <v>130</v>
      </c>
      <c r="F40" s="333">
        <v>23.2217661</v>
      </c>
      <c r="G40" s="333">
        <v>31.379911830000001</v>
      </c>
      <c r="H40" s="358">
        <f>G40-F40</f>
        <v>8.1581457300000011</v>
      </c>
      <c r="I40" s="461"/>
      <c r="J40" s="461"/>
    </row>
    <row r="41" spans="1:12">
      <c r="I41" s="461"/>
      <c r="J41" s="461"/>
    </row>
    <row r="42" spans="1:12">
      <c r="I42" s="461"/>
      <c r="J42" s="461"/>
    </row>
    <row r="43" spans="1:12" ht="18.75">
      <c r="B43" s="465"/>
      <c r="C43" s="465"/>
      <c r="D43" s="323" t="s">
        <v>0</v>
      </c>
      <c r="E43" s="324" t="s">
        <v>1</v>
      </c>
      <c r="F43" s="324" t="s">
        <v>49</v>
      </c>
      <c r="G43" s="324" t="s">
        <v>6</v>
      </c>
      <c r="H43" s="325" t="s">
        <v>7</v>
      </c>
      <c r="I43" s="461"/>
      <c r="J43" s="461"/>
    </row>
    <row r="44" spans="1:12" ht="15.75">
      <c r="B44" s="465" t="s">
        <v>351</v>
      </c>
      <c r="C44" s="466">
        <v>8.7499999999999994E-2</v>
      </c>
      <c r="D44" s="326">
        <v>20</v>
      </c>
      <c r="E44" s="327">
        <v>100</v>
      </c>
      <c r="F44" s="466">
        <v>21.691044219999998</v>
      </c>
      <c r="G44" s="466">
        <v>23.57874206</v>
      </c>
      <c r="H44" s="356">
        <f>G44-F44</f>
        <v>1.8876978400000013</v>
      </c>
      <c r="I44" s="461"/>
      <c r="J44" s="461"/>
      <c r="L44" s="385"/>
    </row>
    <row r="45" spans="1:12" ht="15.75">
      <c r="B45" s="465" t="s">
        <v>352</v>
      </c>
      <c r="C45" s="466">
        <f>0.315*0.2</f>
        <v>6.3E-2</v>
      </c>
      <c r="D45" s="329">
        <v>15</v>
      </c>
      <c r="E45" s="330">
        <v>133</v>
      </c>
      <c r="F45" s="330">
        <v>21.85356002</v>
      </c>
      <c r="G45" s="466">
        <v>23.949687870000002</v>
      </c>
      <c r="H45" s="46">
        <f>G45-F45</f>
        <v>2.096127850000002</v>
      </c>
      <c r="I45" s="461"/>
      <c r="J45" s="461"/>
      <c r="L45" s="385"/>
    </row>
    <row r="46" spans="1:12" ht="15.75">
      <c r="B46" s="465" t="s">
        <v>353</v>
      </c>
      <c r="C46" s="465" t="s">
        <v>64</v>
      </c>
      <c r="D46" s="332">
        <v>30</v>
      </c>
      <c r="E46" s="333">
        <v>130</v>
      </c>
      <c r="F46" s="333">
        <v>21.96820584</v>
      </c>
      <c r="G46" s="333">
        <v>24.140422740000002</v>
      </c>
      <c r="H46" s="358">
        <f>G46-F46</f>
        <v>2.1722169000000022</v>
      </c>
      <c r="I46" s="461"/>
      <c r="J46" s="461"/>
    </row>
    <row r="47" spans="1:12">
      <c r="B47" s="465"/>
      <c r="C47" s="465"/>
      <c r="D47" s="465"/>
      <c r="E47" s="465"/>
      <c r="F47" s="465"/>
      <c r="G47" s="465"/>
      <c r="H47" s="465"/>
      <c r="I47" s="461"/>
      <c r="J47" s="461"/>
    </row>
    <row r="48" spans="1:12" ht="18.75">
      <c r="B48" s="465"/>
      <c r="C48" s="465"/>
      <c r="D48" s="323" t="s">
        <v>0</v>
      </c>
      <c r="E48" s="324" t="s">
        <v>1</v>
      </c>
      <c r="F48" s="324" t="s">
        <v>49</v>
      </c>
      <c r="G48" s="324" t="s">
        <v>6</v>
      </c>
      <c r="H48" s="325" t="s">
        <v>7</v>
      </c>
      <c r="I48" s="461"/>
      <c r="J48" s="461"/>
    </row>
    <row r="49" spans="1:10" ht="15.75">
      <c r="B49" s="465" t="s">
        <v>351</v>
      </c>
      <c r="C49" s="466">
        <v>9.8000000000000004E-2</v>
      </c>
      <c r="D49" s="326">
        <v>20</v>
      </c>
      <c r="E49" s="327">
        <v>100</v>
      </c>
      <c r="F49" s="466">
        <v>21.8610106</v>
      </c>
      <c r="G49" s="466">
        <v>27.29764535</v>
      </c>
      <c r="H49" s="356">
        <f>G49-F49</f>
        <v>5.4366347499999996</v>
      </c>
      <c r="I49" s="461"/>
      <c r="J49" s="461"/>
    </row>
    <row r="50" spans="1:10" ht="15.75">
      <c r="B50" s="465" t="s">
        <v>352</v>
      </c>
      <c r="C50" s="466">
        <f>0.315*0.5</f>
        <v>0.1575</v>
      </c>
      <c r="D50" s="329">
        <v>15</v>
      </c>
      <c r="E50" s="330">
        <v>133</v>
      </c>
      <c r="F50" s="330">
        <v>22.15651927</v>
      </c>
      <c r="G50" s="466">
        <v>28.676029960000001</v>
      </c>
      <c r="H50" s="46">
        <f>G50-F50</f>
        <v>6.5195106900000006</v>
      </c>
      <c r="I50" s="461"/>
      <c r="J50" s="461"/>
    </row>
    <row r="51" spans="1:10" ht="15.75">
      <c r="B51" s="465" t="s">
        <v>353</v>
      </c>
      <c r="C51" s="465" t="s">
        <v>65</v>
      </c>
      <c r="D51" s="332">
        <v>30</v>
      </c>
      <c r="E51" s="333">
        <v>130</v>
      </c>
      <c r="F51" s="333">
        <v>22.54907176</v>
      </c>
      <c r="G51" s="333">
        <v>29.374828449999999</v>
      </c>
      <c r="H51" s="358">
        <f>G51-F51</f>
        <v>6.8257566899999986</v>
      </c>
      <c r="I51" s="461"/>
      <c r="J51" s="461"/>
    </row>
    <row r="52" spans="1:10">
      <c r="B52" s="465"/>
      <c r="C52" s="520"/>
      <c r="D52" s="465"/>
      <c r="E52" s="465"/>
      <c r="F52" s="465"/>
      <c r="G52" s="465"/>
      <c r="H52" s="465"/>
      <c r="I52" s="461"/>
      <c r="J52" s="461"/>
    </row>
    <row r="53" spans="1:10" ht="18.75">
      <c r="B53" s="465"/>
      <c r="C53" s="465"/>
      <c r="D53" s="323" t="s">
        <v>0</v>
      </c>
      <c r="E53" s="324" t="s">
        <v>1</v>
      </c>
      <c r="F53" s="324" t="s">
        <v>49</v>
      </c>
      <c r="G53" s="324" t="s">
        <v>6</v>
      </c>
      <c r="H53" s="325" t="s">
        <v>7</v>
      </c>
      <c r="I53" s="461"/>
      <c r="J53" s="461"/>
    </row>
    <row r="54" spans="1:10" ht="15.75">
      <c r="B54" s="465" t="s">
        <v>351</v>
      </c>
      <c r="C54" s="466">
        <v>9.8799999999999999E-2</v>
      </c>
      <c r="D54" s="326">
        <v>20</v>
      </c>
      <c r="E54" s="327">
        <v>100</v>
      </c>
      <c r="F54" s="466">
        <v>21.850393520000001</v>
      </c>
      <c r="G54" s="466">
        <v>24.757796509999999</v>
      </c>
      <c r="H54" s="356">
        <f>G54-F54</f>
        <v>2.9074029899999978</v>
      </c>
      <c r="I54" s="461"/>
    </row>
    <row r="55" spans="1:10" ht="15.75">
      <c r="B55" s="465" t="s">
        <v>352</v>
      </c>
      <c r="C55" s="466">
        <f>0.315*0.3</f>
        <v>9.4500000000000001E-2</v>
      </c>
      <c r="D55" s="329">
        <v>15</v>
      </c>
      <c r="E55" s="330">
        <v>133</v>
      </c>
      <c r="F55" s="330">
        <v>21.868554320000001</v>
      </c>
      <c r="G55" s="466">
        <v>25.629421359999998</v>
      </c>
      <c r="H55" s="46">
        <f>G55-F55</f>
        <v>3.7608670399999973</v>
      </c>
      <c r="I55" s="461"/>
    </row>
    <row r="56" spans="1:10" ht="15.75">
      <c r="B56" s="465" t="s">
        <v>353</v>
      </c>
      <c r="C56" s="465" t="s">
        <v>74</v>
      </c>
      <c r="D56" s="332">
        <v>30</v>
      </c>
      <c r="E56" s="333">
        <v>130</v>
      </c>
      <c r="F56" s="333">
        <v>22.216310190000002</v>
      </c>
      <c r="G56" s="333">
        <v>26.601277509999999</v>
      </c>
      <c r="H56" s="358">
        <f>G56-F56</f>
        <v>4.3849673199999977</v>
      </c>
      <c r="I56" s="461"/>
    </row>
    <row r="57" spans="1:10">
      <c r="I57" s="461"/>
    </row>
    <row r="58" spans="1:10">
      <c r="A58" s="470" t="s">
        <v>373</v>
      </c>
      <c r="B58" s="62"/>
      <c r="C58" s="62"/>
      <c r="D58" s="62"/>
      <c r="E58" s="62"/>
      <c r="F58" s="62"/>
      <c r="G58" s="62"/>
      <c r="H58" s="62"/>
      <c r="I58" s="461" t="s">
        <v>350</v>
      </c>
    </row>
    <row r="59" spans="1:10">
      <c r="A59" s="461" t="s">
        <v>349</v>
      </c>
      <c r="B59" s="461"/>
      <c r="C59" s="461">
        <f>6.3/20</f>
        <v>0.315</v>
      </c>
      <c r="D59" s="461" t="s">
        <v>355</v>
      </c>
      <c r="I59" s="461"/>
    </row>
    <row r="60" spans="1:10">
      <c r="I60" s="461"/>
    </row>
    <row r="61" spans="1:10" ht="18.75">
      <c r="B61" s="465"/>
      <c r="C61" s="466"/>
      <c r="D61" s="323" t="s">
        <v>0</v>
      </c>
      <c r="E61" s="324" t="s">
        <v>1</v>
      </c>
      <c r="F61" s="324" t="s">
        <v>49</v>
      </c>
      <c r="G61" s="324" t="s">
        <v>6</v>
      </c>
      <c r="H61" s="325" t="s">
        <v>7</v>
      </c>
      <c r="I61" s="461"/>
    </row>
    <row r="62" spans="1:10">
      <c r="B62" s="465" t="s">
        <v>351</v>
      </c>
      <c r="C62" s="466">
        <v>9.8799999999999999E-2</v>
      </c>
      <c r="D62" s="462">
        <v>20</v>
      </c>
      <c r="E62" s="463">
        <v>100</v>
      </c>
      <c r="F62" s="466">
        <v>23.591221789999999</v>
      </c>
      <c r="G62" s="466">
        <v>49.360173899999999</v>
      </c>
      <c r="H62" s="328">
        <f>G62-F62</f>
        <v>25.768952110000001</v>
      </c>
      <c r="I62" s="461"/>
      <c r="J62" s="440"/>
    </row>
    <row r="63" spans="1:10">
      <c r="A63" s="461"/>
      <c r="B63" s="465" t="s">
        <v>352</v>
      </c>
      <c r="C63" s="466">
        <f>0.315*2</f>
        <v>0.63</v>
      </c>
      <c r="D63" s="329">
        <v>15</v>
      </c>
      <c r="E63" s="330">
        <v>133</v>
      </c>
      <c r="F63" s="330">
        <v>26.982260610000001</v>
      </c>
      <c r="G63" s="466">
        <v>55.761061210000001</v>
      </c>
      <c r="H63" s="331">
        <f>G63-F63</f>
        <v>28.7788006</v>
      </c>
      <c r="I63" s="461"/>
      <c r="J63" s="440"/>
    </row>
    <row r="64" spans="1:10">
      <c r="A64" s="461"/>
      <c r="B64" s="465" t="s">
        <v>353</v>
      </c>
      <c r="C64" s="465" t="s">
        <v>67</v>
      </c>
      <c r="D64" s="329">
        <v>26</v>
      </c>
      <c r="E64" s="330">
        <v>100</v>
      </c>
      <c r="F64" s="330">
        <v>24.77241828</v>
      </c>
      <c r="G64" s="330">
        <v>53.665399020000002</v>
      </c>
      <c r="H64" s="331">
        <f>G64-F64</f>
        <v>28.892980740000002</v>
      </c>
      <c r="I64" s="461"/>
    </row>
    <row r="65" spans="1:11">
      <c r="A65" s="461"/>
      <c r="B65" s="465"/>
      <c r="C65" s="465"/>
      <c r="D65" s="332">
        <v>20</v>
      </c>
      <c r="E65" s="333">
        <v>130</v>
      </c>
      <c r="F65" s="333">
        <v>28.17798574</v>
      </c>
      <c r="G65" s="333">
        <v>61.448275979999998</v>
      </c>
      <c r="H65" s="331">
        <f>G65-F65</f>
        <v>33.270290239999994</v>
      </c>
      <c r="I65" s="461"/>
    </row>
    <row r="66" spans="1:11" ht="18.75">
      <c r="A66" s="461"/>
      <c r="B66" s="465"/>
      <c r="C66" s="466"/>
      <c r="D66" s="323" t="s">
        <v>0</v>
      </c>
      <c r="E66" s="324" t="s">
        <v>1</v>
      </c>
      <c r="F66" s="324" t="s">
        <v>49</v>
      </c>
      <c r="G66" s="324" t="s">
        <v>6</v>
      </c>
      <c r="H66" s="325" t="s">
        <v>7</v>
      </c>
      <c r="I66" s="461"/>
    </row>
    <row r="67" spans="1:11">
      <c r="B67" s="465" t="s">
        <v>351</v>
      </c>
      <c r="C67" s="466">
        <v>9.7799999999999998E-2</v>
      </c>
      <c r="D67" s="462">
        <v>20</v>
      </c>
      <c r="E67" s="463">
        <v>100</v>
      </c>
      <c r="F67" s="466">
        <v>23.237132920000001</v>
      </c>
      <c r="G67" s="466">
        <v>30.735770209999998</v>
      </c>
      <c r="H67" s="328">
        <f>G67-F67</f>
        <v>7.4986372899999978</v>
      </c>
    </row>
    <row r="68" spans="1:11">
      <c r="B68" s="465" t="s">
        <v>352</v>
      </c>
      <c r="C68" s="466">
        <f>0.315*0.8</f>
        <v>0.252</v>
      </c>
      <c r="D68" s="329">
        <v>15</v>
      </c>
      <c r="E68" s="330">
        <v>133</v>
      </c>
      <c r="F68" s="330">
        <v>24.572883940000001</v>
      </c>
      <c r="G68" s="466">
        <v>32.907263039999997</v>
      </c>
      <c r="H68" s="331">
        <f>G68-F68</f>
        <v>8.334379099999996</v>
      </c>
    </row>
    <row r="69" spans="1:11">
      <c r="B69" s="465" t="s">
        <v>353</v>
      </c>
      <c r="C69" s="465" t="s">
        <v>78</v>
      </c>
      <c r="D69" s="329">
        <v>26</v>
      </c>
      <c r="E69" s="330">
        <v>100</v>
      </c>
      <c r="F69" s="330">
        <v>24.098420090000001</v>
      </c>
      <c r="G69" s="330">
        <v>32.270124240000001</v>
      </c>
      <c r="H69" s="331">
        <f>G69-F69</f>
        <v>8.1717041500000001</v>
      </c>
      <c r="J69" s="424"/>
    </row>
    <row r="70" spans="1:11">
      <c r="B70" s="465"/>
      <c r="C70" s="465"/>
      <c r="D70" s="332">
        <v>20</v>
      </c>
      <c r="E70" s="333">
        <v>130</v>
      </c>
      <c r="F70" s="333">
        <v>25.116914520000002</v>
      </c>
      <c r="G70" s="333">
        <v>34.497568579999999</v>
      </c>
      <c r="H70" s="334">
        <f>G70-F70</f>
        <v>9.3806540599999977</v>
      </c>
      <c r="I70" s="416"/>
      <c r="J70" s="424"/>
      <c r="K70" s="424"/>
    </row>
    <row r="71" spans="1:11">
      <c r="B71" s="465"/>
      <c r="C71" s="465"/>
      <c r="D71" s="465"/>
      <c r="E71" s="465"/>
      <c r="F71" s="465"/>
      <c r="G71" s="465"/>
      <c r="H71" s="465"/>
      <c r="I71" s="416"/>
      <c r="J71" s="424"/>
      <c r="K71" s="424"/>
    </row>
    <row r="72" spans="1:11" ht="18.75">
      <c r="B72" s="465"/>
      <c r="C72" s="465"/>
      <c r="D72" s="323" t="s">
        <v>0</v>
      </c>
      <c r="E72" s="324" t="s">
        <v>1</v>
      </c>
      <c r="F72" s="324" t="s">
        <v>49</v>
      </c>
      <c r="G72" s="324" t="s">
        <v>6</v>
      </c>
      <c r="H72" s="325" t="s">
        <v>7</v>
      </c>
    </row>
    <row r="73" spans="1:11">
      <c r="B73" s="465" t="s">
        <v>351</v>
      </c>
      <c r="C73" s="466">
        <v>9.7500000000000003E-2</v>
      </c>
      <c r="D73" s="462">
        <v>20</v>
      </c>
      <c r="E73" s="463">
        <v>100</v>
      </c>
      <c r="F73" s="466">
        <v>23.587496489999999</v>
      </c>
      <c r="G73" s="466">
        <v>33.336395520000004</v>
      </c>
      <c r="H73" s="328">
        <f t="shared" ref="H73:H80" si="1">G73-F73</f>
        <v>9.748899030000004</v>
      </c>
      <c r="I73" s="47"/>
      <c r="J73" s="47"/>
    </row>
    <row r="74" spans="1:11">
      <c r="B74" s="465" t="s">
        <v>352</v>
      </c>
      <c r="C74" s="466">
        <f>0.315*1</f>
        <v>0.315</v>
      </c>
      <c r="D74" s="329">
        <v>15</v>
      </c>
      <c r="E74" s="330">
        <v>133</v>
      </c>
      <c r="F74" s="330">
        <v>25.117193910000001</v>
      </c>
      <c r="G74" s="466">
        <v>36.844636700000002</v>
      </c>
      <c r="H74" s="331">
        <f t="shared" si="1"/>
        <v>11.727442790000001</v>
      </c>
      <c r="I74" s="47"/>
      <c r="J74" s="47"/>
    </row>
    <row r="75" spans="1:11">
      <c r="B75" s="465" t="s">
        <v>353</v>
      </c>
      <c r="C75" s="465" t="s">
        <v>66</v>
      </c>
      <c r="D75" s="329">
        <v>26</v>
      </c>
      <c r="E75" s="330">
        <v>100</v>
      </c>
      <c r="F75" s="330">
        <v>24.428015169999998</v>
      </c>
      <c r="G75" s="466">
        <v>35.185070940000003</v>
      </c>
      <c r="H75" s="331">
        <f t="shared" si="1"/>
        <v>10.757055770000004</v>
      </c>
      <c r="I75" s="47"/>
      <c r="J75" s="47"/>
    </row>
    <row r="76" spans="1:11">
      <c r="B76" s="465"/>
      <c r="C76" s="465"/>
      <c r="D76" s="332">
        <v>20</v>
      </c>
      <c r="E76" s="333">
        <v>130</v>
      </c>
      <c r="F76" s="333">
        <v>24.774094659999999</v>
      </c>
      <c r="G76" s="333">
        <v>37.533400950000001</v>
      </c>
      <c r="H76" s="334">
        <f t="shared" si="1"/>
        <v>12.759306290000001</v>
      </c>
      <c r="I76" s="47"/>
      <c r="J76" s="47"/>
    </row>
    <row r="77" spans="1:11">
      <c r="B77" s="465"/>
      <c r="C77" s="466"/>
      <c r="D77" s="462">
        <v>20</v>
      </c>
      <c r="E77" s="463">
        <v>100</v>
      </c>
      <c r="F77" s="466">
        <v>23.596498740000001</v>
      </c>
      <c r="G77" s="466">
        <v>33.395523359999999</v>
      </c>
      <c r="H77" s="328">
        <f t="shared" si="1"/>
        <v>9.7990246199999973</v>
      </c>
    </row>
    <row r="78" spans="1:11">
      <c r="B78" s="465" t="s">
        <v>351</v>
      </c>
      <c r="C78" s="466">
        <v>9.8599999999999993E-2</v>
      </c>
      <c r="D78" s="329">
        <v>15</v>
      </c>
      <c r="E78" s="330">
        <v>133</v>
      </c>
      <c r="F78" s="330">
        <v>25.19391117</v>
      </c>
      <c r="G78" s="466">
        <v>36.763674408794003</v>
      </c>
      <c r="H78" s="331">
        <f t="shared" si="1"/>
        <v>11.569763238794003</v>
      </c>
      <c r="I78" s="415"/>
    </row>
    <row r="79" spans="1:11">
      <c r="B79" s="465" t="s">
        <v>352</v>
      </c>
      <c r="C79" s="466">
        <f>0.315*1</f>
        <v>0.315</v>
      </c>
      <c r="D79" s="329">
        <v>26</v>
      </c>
      <c r="E79" s="330">
        <v>100</v>
      </c>
      <c r="F79" s="330">
        <v>24.428015169999998</v>
      </c>
      <c r="G79" s="466">
        <v>35.185070940000003</v>
      </c>
      <c r="H79" s="331">
        <f t="shared" si="1"/>
        <v>10.757055770000004</v>
      </c>
      <c r="I79" s="415"/>
      <c r="J79" s="424"/>
    </row>
    <row r="80" spans="1:11">
      <c r="B80" s="465" t="s">
        <v>353</v>
      </c>
      <c r="C80" s="465" t="s">
        <v>66</v>
      </c>
      <c r="D80" s="332">
        <v>20</v>
      </c>
      <c r="E80" s="333">
        <v>130</v>
      </c>
      <c r="F80" s="333">
        <v>24.774094659999999</v>
      </c>
      <c r="G80" s="333">
        <v>37.533400950000001</v>
      </c>
      <c r="H80" s="334">
        <f t="shared" si="1"/>
        <v>12.759306290000001</v>
      </c>
      <c r="I80" s="415"/>
      <c r="J80" s="424"/>
    </row>
    <row r="81" spans="8:10">
      <c r="H81" s="233"/>
      <c r="I81" s="415"/>
      <c r="J81" s="424"/>
    </row>
    <row r="83" spans="8:10">
      <c r="H83" s="204"/>
      <c r="I83" s="417"/>
    </row>
    <row r="84" spans="8:10">
      <c r="H84" s="233"/>
      <c r="I84" s="417"/>
    </row>
    <row r="85" spans="8:10">
      <c r="H85" s="233"/>
      <c r="I85" s="417"/>
      <c r="J85" s="424"/>
    </row>
    <row r="86" spans="8:10">
      <c r="H86" s="233"/>
      <c r="I86" s="417"/>
      <c r="J86" s="424"/>
    </row>
    <row r="89" spans="8:10">
      <c r="H89" s="315"/>
    </row>
    <row r="90" spans="8:10">
      <c r="H90" s="233"/>
    </row>
    <row r="91" spans="8:10">
      <c r="H91" s="233"/>
      <c r="I91" s="424"/>
    </row>
    <row r="92" spans="8:10">
      <c r="H92" s="233"/>
      <c r="I92" s="424"/>
    </row>
    <row r="94" spans="8:10">
      <c r="I94" s="241"/>
    </row>
    <row r="95" spans="8:10">
      <c r="I95" s="320"/>
      <c r="J95" s="432"/>
    </row>
    <row r="96" spans="8:10">
      <c r="I96" s="320"/>
      <c r="J96" s="432"/>
    </row>
    <row r="97" spans="3:12">
      <c r="I97" s="320"/>
      <c r="J97" s="432"/>
    </row>
    <row r="98" spans="3:12">
      <c r="I98" s="320"/>
      <c r="J98" s="432"/>
    </row>
    <row r="99" spans="3:12">
      <c r="I99" s="241"/>
    </row>
    <row r="100" spans="3:12">
      <c r="I100" s="320"/>
    </row>
    <row r="101" spans="3:12">
      <c r="I101" s="320"/>
      <c r="J101" s="432"/>
    </row>
    <row r="102" spans="3:12">
      <c r="I102" s="320"/>
      <c r="J102" s="432"/>
    </row>
    <row r="103" spans="3:12">
      <c r="I103" s="320"/>
      <c r="J103" s="432"/>
    </row>
    <row r="104" spans="3:12">
      <c r="I104" s="427"/>
    </row>
    <row r="105" spans="3:12">
      <c r="I105" s="241"/>
    </row>
    <row r="106" spans="3:12">
      <c r="I106" s="320"/>
      <c r="J106" s="432"/>
    </row>
    <row r="107" spans="3:12">
      <c r="I107" s="320"/>
      <c r="J107" s="432"/>
      <c r="K107" s="432"/>
    </row>
    <row r="108" spans="3:12">
      <c r="I108" s="320"/>
      <c r="J108" s="432"/>
    </row>
    <row r="109" spans="3:12">
      <c r="I109" s="320"/>
      <c r="J109" s="432"/>
    </row>
    <row r="110" spans="3:12">
      <c r="C110" s="461"/>
      <c r="D110" s="461"/>
      <c r="E110" s="461"/>
      <c r="F110" s="461"/>
      <c r="G110" s="461"/>
      <c r="H110" s="461"/>
      <c r="I110" s="461"/>
      <c r="J110" s="461"/>
      <c r="K110" s="461"/>
      <c r="L110" s="461"/>
    </row>
    <row r="111" spans="3:12">
      <c r="C111" s="461"/>
      <c r="D111" s="461"/>
      <c r="E111" s="461"/>
      <c r="F111" s="461"/>
      <c r="G111" s="461"/>
      <c r="H111" s="461"/>
      <c r="I111" s="461"/>
      <c r="J111" s="461"/>
      <c r="K111" s="461"/>
      <c r="L111" s="461"/>
    </row>
    <row r="112" spans="3:12">
      <c r="C112" s="461"/>
      <c r="D112" s="461"/>
      <c r="E112" s="461"/>
      <c r="F112" s="461"/>
      <c r="G112" s="461"/>
      <c r="H112" s="461"/>
      <c r="I112" s="461"/>
      <c r="J112" s="461"/>
      <c r="K112" s="461"/>
      <c r="L112" s="461"/>
    </row>
    <row r="113" spans="3:13">
      <c r="C113" s="461"/>
      <c r="D113" s="461"/>
      <c r="E113" s="461"/>
      <c r="F113" s="461"/>
      <c r="G113" s="461"/>
      <c r="H113" s="461"/>
      <c r="I113" s="461"/>
      <c r="J113" s="461"/>
      <c r="K113" s="461"/>
      <c r="L113" s="461"/>
    </row>
    <row r="114" spans="3:13">
      <c r="C114" s="461"/>
      <c r="D114" s="461"/>
      <c r="E114" s="461"/>
      <c r="F114" s="461"/>
      <c r="G114" s="461"/>
      <c r="I114" s="461"/>
      <c r="J114" s="461"/>
      <c r="K114" s="461"/>
      <c r="L114" s="461"/>
    </row>
    <row r="115" spans="3:13">
      <c r="C115" s="461"/>
      <c r="D115" s="461"/>
      <c r="E115" s="461"/>
      <c r="F115" s="461"/>
      <c r="G115" s="461"/>
      <c r="H115" s="461"/>
      <c r="I115" s="461"/>
      <c r="J115" s="461"/>
      <c r="K115" s="461"/>
      <c r="L115" s="461"/>
    </row>
    <row r="116" spans="3:13">
      <c r="C116" s="461"/>
      <c r="D116" s="461"/>
      <c r="E116" s="461"/>
      <c r="F116" s="461"/>
      <c r="G116" s="461"/>
      <c r="H116" s="461"/>
      <c r="I116" s="461"/>
      <c r="J116" s="461"/>
      <c r="K116" s="461"/>
      <c r="L116" s="461"/>
    </row>
    <row r="117" spans="3:13">
      <c r="C117" s="461"/>
      <c r="D117" s="461"/>
      <c r="E117" s="461"/>
      <c r="F117" s="461"/>
      <c r="G117" s="461"/>
      <c r="H117" s="461"/>
      <c r="I117" s="461"/>
      <c r="J117" s="461"/>
      <c r="K117" s="461"/>
      <c r="L117" s="461"/>
    </row>
    <row r="118" spans="3:13">
      <c r="C118" s="461"/>
      <c r="D118" s="461"/>
      <c r="E118" s="461"/>
      <c r="F118" s="461"/>
      <c r="G118" s="461"/>
      <c r="H118" s="461"/>
      <c r="I118" s="461"/>
      <c r="J118" s="461"/>
      <c r="K118" s="461"/>
      <c r="L118" s="461"/>
    </row>
    <row r="119" spans="3:13">
      <c r="C119" s="461"/>
      <c r="D119" s="461"/>
      <c r="E119" s="461"/>
      <c r="F119" s="461"/>
      <c r="G119" s="461"/>
      <c r="H119" s="461"/>
      <c r="I119" s="461"/>
      <c r="J119" s="461"/>
      <c r="K119" s="461"/>
      <c r="L119" s="461"/>
    </row>
    <row r="120" spans="3:13">
      <c r="C120" s="461"/>
      <c r="D120" s="461"/>
      <c r="E120" s="461"/>
      <c r="F120" s="461"/>
      <c r="G120" s="461"/>
      <c r="H120" s="461"/>
      <c r="I120" s="461"/>
      <c r="J120" s="461"/>
      <c r="K120" s="461"/>
      <c r="L120" s="461"/>
      <c r="M120" s="432"/>
    </row>
    <row r="121" spans="3:13">
      <c r="C121" s="461"/>
      <c r="D121" s="461"/>
      <c r="E121" s="461"/>
      <c r="F121" s="461"/>
      <c r="G121" s="461"/>
      <c r="H121" s="461"/>
      <c r="I121" s="461"/>
      <c r="J121" s="461"/>
      <c r="K121" s="461"/>
      <c r="L121" s="461"/>
      <c r="M121" s="432"/>
    </row>
    <row r="122" spans="3:13">
      <c r="C122" s="461"/>
      <c r="D122" s="461"/>
      <c r="E122" s="461"/>
      <c r="F122" s="461"/>
      <c r="G122" s="461"/>
      <c r="H122" s="461"/>
      <c r="I122" s="461"/>
      <c r="J122" s="461"/>
      <c r="K122" s="461"/>
      <c r="L122" s="461"/>
    </row>
    <row r="123" spans="3:13">
      <c r="C123" s="461"/>
      <c r="D123" s="461"/>
      <c r="E123" s="461"/>
      <c r="F123" s="461"/>
      <c r="G123" s="461"/>
      <c r="H123" s="461"/>
      <c r="I123" s="461"/>
      <c r="J123" s="461"/>
      <c r="K123" s="461"/>
      <c r="L123" s="461"/>
      <c r="M123" s="432"/>
    </row>
    <row r="124" spans="3:13">
      <c r="C124" s="461"/>
      <c r="D124" s="461"/>
      <c r="E124" s="461"/>
      <c r="F124" s="461"/>
      <c r="G124" s="461"/>
      <c r="H124" s="461"/>
      <c r="I124" s="461"/>
      <c r="J124" s="461"/>
      <c r="K124" s="461"/>
      <c r="L124" s="461"/>
      <c r="M124" s="432"/>
    </row>
    <row r="125" spans="3:13">
      <c r="C125" s="461"/>
      <c r="D125" s="461"/>
      <c r="E125" s="461"/>
      <c r="F125" s="461"/>
      <c r="G125" s="461"/>
      <c r="H125" s="461"/>
      <c r="I125" s="461"/>
      <c r="J125" s="461"/>
      <c r="K125" s="461"/>
      <c r="L125" s="461"/>
    </row>
    <row r="126" spans="3:13">
      <c r="C126" s="461"/>
      <c r="D126" s="461"/>
      <c r="E126" s="461"/>
      <c r="F126" s="461"/>
      <c r="G126" s="461"/>
      <c r="H126" s="461"/>
      <c r="I126" s="461"/>
      <c r="J126" s="461"/>
      <c r="K126" s="461"/>
      <c r="L126" s="461"/>
    </row>
    <row r="127" spans="3:13">
      <c r="C127" s="461"/>
      <c r="D127" s="461"/>
      <c r="E127" s="461"/>
      <c r="F127" s="461"/>
      <c r="G127" s="461"/>
      <c r="H127" s="461"/>
      <c r="I127" s="461"/>
      <c r="J127" s="461"/>
      <c r="K127" s="461"/>
      <c r="L127" s="461"/>
    </row>
    <row r="128" spans="3:13">
      <c r="C128" s="461"/>
      <c r="D128" s="461"/>
      <c r="E128" s="461"/>
      <c r="F128" s="461"/>
      <c r="G128" s="461"/>
      <c r="H128" s="461"/>
      <c r="I128" s="461"/>
      <c r="J128" s="461"/>
      <c r="K128" s="461"/>
      <c r="L128" s="461"/>
    </row>
    <row r="129" spans="5:12">
      <c r="E129" s="461"/>
      <c r="F129" s="461"/>
      <c r="G129" s="461"/>
      <c r="H129" s="461"/>
      <c r="I129" s="461"/>
      <c r="J129" s="461"/>
      <c r="K129" s="461"/>
      <c r="L129" s="461"/>
    </row>
    <row r="130" spans="5:12">
      <c r="E130" s="461"/>
      <c r="F130" s="461"/>
      <c r="G130" s="461"/>
      <c r="H130" s="461"/>
      <c r="I130" s="461"/>
      <c r="J130" s="461"/>
      <c r="K130" s="461"/>
      <c r="L130" s="461"/>
    </row>
  </sheetData>
  <phoneticPr fontId="1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6"/>
  <sheetViews>
    <sheetView workbookViewId="0">
      <selection activeCell="I63" sqref="I63:Q72"/>
    </sheetView>
  </sheetViews>
  <sheetFormatPr defaultRowHeight="15"/>
  <cols>
    <col min="8" max="8" width="11" bestFit="1" customWidth="1"/>
    <col min="16" max="16" width="13.85546875" bestFit="1" customWidth="1"/>
  </cols>
  <sheetData>
    <row r="1" spans="1:17" s="461" customFormat="1">
      <c r="A1" s="471" t="s">
        <v>335</v>
      </c>
      <c r="B1" s="438"/>
      <c r="C1" s="438"/>
      <c r="D1" s="438"/>
      <c r="E1" s="438"/>
      <c r="F1" s="13" t="s">
        <v>297</v>
      </c>
      <c r="G1" s="13"/>
      <c r="H1"/>
    </row>
    <row r="2" spans="1:17" s="461" customFormat="1">
      <c r="A2" s="13" t="s">
        <v>337</v>
      </c>
      <c r="B2" s="13"/>
      <c r="C2" s="232"/>
      <c r="D2" s="232"/>
      <c r="E2" s="232"/>
      <c r="F2" s="232"/>
      <c r="G2" s="232"/>
      <c r="H2" s="495"/>
    </row>
    <row r="3" spans="1:17" s="461" customFormat="1">
      <c r="A3" s="13" t="s">
        <v>336</v>
      </c>
      <c r="B3" s="13"/>
      <c r="C3" s="13"/>
      <c r="D3" s="13"/>
      <c r="E3" s="13"/>
      <c r="F3" s="13"/>
      <c r="G3" s="13"/>
    </row>
    <row r="4" spans="1:17" s="461" customFormat="1" ht="15.75">
      <c r="A4"/>
      <c r="B4"/>
      <c r="C4" s="13" t="s">
        <v>315</v>
      </c>
      <c r="D4" s="323" t="s">
        <v>0</v>
      </c>
      <c r="E4" s="324" t="s">
        <v>1</v>
      </c>
      <c r="F4" s="324" t="s">
        <v>11</v>
      </c>
      <c r="G4" s="324" t="s">
        <v>6</v>
      </c>
      <c r="H4" s="325" t="s">
        <v>7</v>
      </c>
    </row>
    <row r="5" spans="1:17" s="461" customFormat="1" ht="15.75">
      <c r="A5"/>
      <c r="B5" t="s">
        <v>326</v>
      </c>
      <c r="C5" s="47">
        <f>0.1123-0.043</f>
        <v>6.93E-2</v>
      </c>
      <c r="D5" s="44">
        <v>15</v>
      </c>
      <c r="E5" s="45">
        <v>133</v>
      </c>
      <c r="F5" s="47">
        <v>22.888818257380624</v>
      </c>
      <c r="G5" s="47">
        <v>24.091993963241205</v>
      </c>
      <c r="H5" s="46">
        <f>G5-F5</f>
        <v>1.2031757058605805</v>
      </c>
    </row>
    <row r="6" spans="1:17" s="461" customFormat="1" ht="15.75">
      <c r="A6"/>
      <c r="B6"/>
      <c r="C6" s="47"/>
      <c r="D6" s="44">
        <v>20</v>
      </c>
      <c r="E6" s="45">
        <v>100</v>
      </c>
      <c r="F6" s="47">
        <v>23.225025726856337</v>
      </c>
      <c r="G6" s="47">
        <v>24.09087637608506</v>
      </c>
      <c r="H6" s="46">
        <f>G6-F6</f>
        <v>0.86585064922872235</v>
      </c>
    </row>
    <row r="7" spans="1:17" s="461" customFormat="1" ht="15.75">
      <c r="A7"/>
      <c r="C7" s="320" t="s">
        <v>315</v>
      </c>
      <c r="D7" s="323" t="s">
        <v>0</v>
      </c>
      <c r="E7" s="324" t="s">
        <v>1</v>
      </c>
      <c r="F7" s="324" t="s">
        <v>11</v>
      </c>
      <c r="G7" s="324" t="s">
        <v>6</v>
      </c>
      <c r="H7" s="325" t="s">
        <v>7</v>
      </c>
    </row>
    <row r="8" spans="1:17" s="461" customFormat="1" ht="15.75">
      <c r="A8"/>
      <c r="B8" s="461" t="s">
        <v>325</v>
      </c>
      <c r="C8" s="47">
        <f>0.1187-0.0407</f>
        <v>7.8E-2</v>
      </c>
      <c r="D8" s="326">
        <v>15</v>
      </c>
      <c r="E8" s="327">
        <v>133</v>
      </c>
      <c r="F8" s="496">
        <v>25.63081834499944</v>
      </c>
      <c r="G8" s="496">
        <v>27.510227412595007</v>
      </c>
      <c r="H8" s="356">
        <f>G8-F8</f>
        <v>1.8794090675955673</v>
      </c>
    </row>
    <row r="9" spans="1:17" s="461" customFormat="1" ht="15.75">
      <c r="A9"/>
      <c r="C9" s="47"/>
      <c r="D9" s="357">
        <v>20</v>
      </c>
      <c r="E9" s="497">
        <v>100</v>
      </c>
      <c r="F9" s="498">
        <v>24.765340224822786</v>
      </c>
      <c r="G9" s="498">
        <v>26.095641469695654</v>
      </c>
      <c r="H9" s="358">
        <f>G9-F9</f>
        <v>1.3303012448728673</v>
      </c>
    </row>
    <row r="10" spans="1:17" s="461" customFormat="1" ht="15.75">
      <c r="A10"/>
      <c r="C10" s="320" t="s">
        <v>315</v>
      </c>
      <c r="D10" s="323" t="s">
        <v>0</v>
      </c>
      <c r="E10" s="324" t="s">
        <v>1</v>
      </c>
      <c r="F10" s="324" t="s">
        <v>11</v>
      </c>
      <c r="G10" s="324" t="s">
        <v>6</v>
      </c>
      <c r="H10" s="325" t="s">
        <v>7</v>
      </c>
    </row>
    <row r="11" spans="1:17" s="461" customFormat="1" ht="15.75">
      <c r="A11"/>
      <c r="C11" s="47">
        <f>0.0939-0.0258</f>
        <v>6.8099999999999994E-2</v>
      </c>
      <c r="D11" s="326">
        <v>15</v>
      </c>
      <c r="E11" s="327">
        <v>133</v>
      </c>
      <c r="F11" s="47">
        <v>24.256100350000001</v>
      </c>
      <c r="G11" s="47">
        <v>25.9850654</v>
      </c>
      <c r="H11" s="46">
        <f>G11-F11</f>
        <v>1.7289650499999993</v>
      </c>
    </row>
    <row r="12" spans="1:17" s="461" customFormat="1" ht="15.75">
      <c r="A12"/>
      <c r="C12" s="47"/>
      <c r="D12" s="357">
        <v>20</v>
      </c>
      <c r="E12" s="497">
        <v>100</v>
      </c>
      <c r="F12" s="47">
        <v>24.432485516815511</v>
      </c>
      <c r="G12" s="47">
        <v>25.465787974941009</v>
      </c>
      <c r="H12" s="46">
        <f>G12-F12</f>
        <v>1.0333024581254975</v>
      </c>
    </row>
    <row r="13" spans="1:17">
      <c r="J13" s="47"/>
      <c r="K13" s="47"/>
      <c r="L13" s="47"/>
      <c r="M13" s="47"/>
      <c r="N13" s="47"/>
      <c r="O13" s="47"/>
      <c r="P13" s="47"/>
      <c r="Q13" s="47"/>
    </row>
    <row r="14" spans="1:17">
      <c r="A14" s="470" t="s">
        <v>374</v>
      </c>
      <c r="B14" s="62"/>
      <c r="C14" s="62"/>
      <c r="D14" s="62"/>
      <c r="E14" s="62"/>
      <c r="F14" s="62"/>
      <c r="G14" s="62"/>
      <c r="I14" s="13" t="s">
        <v>297</v>
      </c>
      <c r="J14" s="47"/>
      <c r="K14" s="47"/>
      <c r="L14" s="47"/>
      <c r="M14" s="47"/>
      <c r="N14" s="47"/>
      <c r="O14" s="47"/>
      <c r="P14" s="47"/>
      <c r="Q14" s="47"/>
    </row>
    <row r="15" spans="1:17" ht="18.75">
      <c r="A15" s="374" t="s">
        <v>68</v>
      </c>
      <c r="C15" s="374"/>
      <c r="J15" s="320"/>
      <c r="K15" s="47"/>
      <c r="L15" s="323" t="s">
        <v>0</v>
      </c>
      <c r="M15" s="324" t="s">
        <v>1</v>
      </c>
      <c r="N15" s="324" t="s">
        <v>49</v>
      </c>
      <c r="O15" s="324" t="s">
        <v>6</v>
      </c>
      <c r="P15" s="325" t="s">
        <v>7</v>
      </c>
      <c r="Q15" s="320"/>
    </row>
    <row r="16" spans="1:17" ht="18.75">
      <c r="B16" s="465"/>
      <c r="C16" s="466"/>
      <c r="D16" s="323" t="s">
        <v>0</v>
      </c>
      <c r="E16" s="324" t="s">
        <v>1</v>
      </c>
      <c r="F16" s="324" t="s">
        <v>49</v>
      </c>
      <c r="G16" s="324" t="s">
        <v>6</v>
      </c>
      <c r="H16" s="325" t="s">
        <v>7</v>
      </c>
      <c r="I16" s="465"/>
      <c r="J16" s="465" t="s">
        <v>306</v>
      </c>
      <c r="K16" s="320">
        <v>9.8199999999999996E-2</v>
      </c>
      <c r="L16" s="326">
        <v>20</v>
      </c>
      <c r="M16" s="327">
        <v>100</v>
      </c>
      <c r="N16" s="320">
        <v>22.287080840000002</v>
      </c>
      <c r="O16" s="320">
        <v>23.941133019999999</v>
      </c>
      <c r="P16" s="356">
        <f>O16-N16</f>
        <v>1.6540521799999972</v>
      </c>
      <c r="Q16" s="320"/>
    </row>
    <row r="17" spans="2:17" ht="15.75">
      <c r="B17" s="465" t="s">
        <v>306</v>
      </c>
      <c r="C17" s="466">
        <v>9.74E-2</v>
      </c>
      <c r="D17" s="326">
        <v>20</v>
      </c>
      <c r="E17" s="327">
        <v>100</v>
      </c>
      <c r="F17" s="466">
        <v>22.208487080000001</v>
      </c>
      <c r="G17" s="466">
        <v>23.930241129999999</v>
      </c>
      <c r="H17" s="356">
        <f>G17-F17</f>
        <v>1.7217540499999977</v>
      </c>
      <c r="I17" s="465"/>
      <c r="J17" s="465" t="s">
        <v>375</v>
      </c>
      <c r="K17" s="320">
        <f>0.3*0.1</f>
        <v>0.03</v>
      </c>
      <c r="L17" s="329">
        <v>15</v>
      </c>
      <c r="M17" s="330">
        <v>133</v>
      </c>
      <c r="N17" s="330">
        <v>22.2458709</v>
      </c>
      <c r="O17" s="320">
        <v>24.373727469999999</v>
      </c>
      <c r="P17" s="46">
        <f>O17-N17</f>
        <v>2.1278565699999987</v>
      </c>
      <c r="Q17" s="320"/>
    </row>
    <row r="18" spans="2:17" ht="15.75">
      <c r="B18" s="465" t="s">
        <v>375</v>
      </c>
      <c r="C18" s="466">
        <f>0.3*0.1</f>
        <v>0.03</v>
      </c>
      <c r="D18" s="329">
        <v>15</v>
      </c>
      <c r="E18" s="330">
        <v>133</v>
      </c>
      <c r="F18" s="330">
        <v>22.209045870000001</v>
      </c>
      <c r="G18" s="466">
        <v>24.27473737</v>
      </c>
      <c r="H18" s="46">
        <f>G18-F18</f>
        <v>2.0656914999999998</v>
      </c>
      <c r="I18" s="465"/>
      <c r="J18" s="465" t="s">
        <v>353</v>
      </c>
      <c r="K18" s="320" t="s">
        <v>99</v>
      </c>
      <c r="L18" s="332">
        <v>30</v>
      </c>
      <c r="M18" s="333">
        <v>130</v>
      </c>
      <c r="N18" s="333">
        <v>21.84527125</v>
      </c>
      <c r="O18" s="333">
        <v>24.57902146</v>
      </c>
      <c r="P18" s="358">
        <f>O18-N18</f>
        <v>2.7337502100000002</v>
      </c>
      <c r="Q18" s="320"/>
    </row>
    <row r="19" spans="2:17" ht="15.75">
      <c r="B19" s="465" t="s">
        <v>353</v>
      </c>
      <c r="C19" s="465" t="s">
        <v>63</v>
      </c>
      <c r="D19" s="332">
        <v>30</v>
      </c>
      <c r="E19" s="333">
        <v>130</v>
      </c>
      <c r="F19" s="333">
        <v>21.84527125</v>
      </c>
      <c r="G19" s="333">
        <v>24.57902146</v>
      </c>
      <c r="H19" s="358">
        <f>G19-F19</f>
        <v>2.7337502100000002</v>
      </c>
      <c r="I19" s="465"/>
      <c r="J19" s="47"/>
      <c r="K19" s="47"/>
      <c r="L19" s="47"/>
      <c r="M19" s="47"/>
      <c r="N19" s="47"/>
      <c r="O19" s="47"/>
      <c r="P19" s="47"/>
      <c r="Q19" s="47"/>
    </row>
    <row r="20" spans="2:17" ht="18.75">
      <c r="B20" s="465"/>
      <c r="C20" s="466"/>
      <c r="D20" s="323" t="s">
        <v>0</v>
      </c>
      <c r="E20" s="324" t="s">
        <v>1</v>
      </c>
      <c r="F20" s="324" t="s">
        <v>49</v>
      </c>
      <c r="G20" s="324" t="s">
        <v>6</v>
      </c>
      <c r="H20" s="325" t="s">
        <v>7</v>
      </c>
      <c r="I20" s="465"/>
      <c r="J20" s="320"/>
      <c r="K20" s="320"/>
      <c r="L20" s="323" t="s">
        <v>0</v>
      </c>
      <c r="M20" s="324" t="s">
        <v>1</v>
      </c>
      <c r="N20" s="324" t="s">
        <v>49</v>
      </c>
      <c r="O20" s="324" t="s">
        <v>6</v>
      </c>
      <c r="P20" s="325" t="s">
        <v>7</v>
      </c>
      <c r="Q20" s="320"/>
    </row>
    <row r="21" spans="2:17" ht="15.75">
      <c r="B21" s="465" t="s">
        <v>306</v>
      </c>
      <c r="C21" s="466">
        <v>0.10580000000000001</v>
      </c>
      <c r="D21" s="326">
        <v>20</v>
      </c>
      <c r="E21" s="327">
        <v>100</v>
      </c>
      <c r="F21" s="466">
        <v>22.20960466</v>
      </c>
      <c r="G21" s="466">
        <v>24.201697630000002</v>
      </c>
      <c r="H21" s="356">
        <f>G21-F21</f>
        <v>1.9920929700000016</v>
      </c>
      <c r="I21" s="465"/>
      <c r="J21" s="465" t="s">
        <v>306</v>
      </c>
      <c r="K21" s="320">
        <v>0.1012</v>
      </c>
      <c r="L21" s="326">
        <v>20</v>
      </c>
      <c r="M21" s="327">
        <v>100</v>
      </c>
      <c r="N21" s="320">
        <v>22.204660959999998</v>
      </c>
      <c r="O21" s="320">
        <v>24.26169763</v>
      </c>
      <c r="P21" s="356">
        <f>O21-N21</f>
        <v>2.0570366700000022</v>
      </c>
      <c r="Q21" s="320"/>
    </row>
    <row r="22" spans="2:17" ht="15.75">
      <c r="B22" s="465" t="s">
        <v>375</v>
      </c>
      <c r="C22" s="466">
        <f>0.3*0.2</f>
        <v>0.06</v>
      </c>
      <c r="D22" s="329">
        <v>15</v>
      </c>
      <c r="E22" s="330">
        <v>133</v>
      </c>
      <c r="F22" s="330">
        <v>21.852908100000001</v>
      </c>
      <c r="G22" s="466">
        <v>24.169428839999998</v>
      </c>
      <c r="H22" s="46">
        <f>G22-F22</f>
        <v>2.3165207399999979</v>
      </c>
      <c r="I22" s="465"/>
      <c r="J22" s="465" t="s">
        <v>375</v>
      </c>
      <c r="K22" s="320">
        <f>0.3*0.2</f>
        <v>0.06</v>
      </c>
      <c r="L22" s="329">
        <v>15</v>
      </c>
      <c r="M22" s="330">
        <v>133</v>
      </c>
      <c r="N22" s="330">
        <v>21.852908100000001</v>
      </c>
      <c r="O22" s="320">
        <v>24.169428839999998</v>
      </c>
      <c r="P22" s="46">
        <f>O22-N22</f>
        <v>2.3165207399999979</v>
      </c>
      <c r="Q22" s="320"/>
    </row>
    <row r="23" spans="2:17" ht="15.75">
      <c r="B23" s="465" t="s">
        <v>353</v>
      </c>
      <c r="C23" s="466" t="s">
        <v>64</v>
      </c>
      <c r="D23" s="332">
        <v>30</v>
      </c>
      <c r="E23" s="333">
        <v>130</v>
      </c>
      <c r="F23" s="333">
        <v>21.856260859999999</v>
      </c>
      <c r="G23" s="333">
        <v>24.570918949999999</v>
      </c>
      <c r="H23" s="358">
        <f>G23-F23</f>
        <v>2.7146580900000004</v>
      </c>
      <c r="I23" s="465"/>
      <c r="J23" s="465" t="s">
        <v>353</v>
      </c>
      <c r="K23" s="320" t="s">
        <v>376</v>
      </c>
      <c r="L23" s="332">
        <v>30</v>
      </c>
      <c r="M23" s="333">
        <v>130</v>
      </c>
      <c r="N23" s="333">
        <v>21.856260859999999</v>
      </c>
      <c r="O23" s="333">
        <v>24.570918949999999</v>
      </c>
      <c r="P23" s="358">
        <f>O23-N23</f>
        <v>2.7146580900000004</v>
      </c>
      <c r="Q23" s="320"/>
    </row>
    <row r="24" spans="2:17">
      <c r="B24" s="465"/>
      <c r="C24" s="465"/>
      <c r="D24" s="465"/>
      <c r="E24" s="465"/>
      <c r="F24" s="465"/>
      <c r="G24" s="465"/>
      <c r="H24" s="465"/>
      <c r="I24" s="465"/>
      <c r="J24" s="47"/>
      <c r="K24" s="47"/>
      <c r="L24" s="47"/>
      <c r="M24" s="47"/>
      <c r="N24" s="47"/>
      <c r="O24" s="47"/>
      <c r="P24" s="47"/>
      <c r="Q24" s="47"/>
    </row>
    <row r="25" spans="2:17" ht="18.75">
      <c r="B25" s="465"/>
      <c r="C25" s="466"/>
      <c r="D25" s="323" t="s">
        <v>0</v>
      </c>
      <c r="E25" s="324" t="s">
        <v>1</v>
      </c>
      <c r="F25" s="324" t="s">
        <v>49</v>
      </c>
      <c r="G25" s="324" t="s">
        <v>6</v>
      </c>
      <c r="H25" s="325" t="s">
        <v>7</v>
      </c>
      <c r="I25" s="465"/>
      <c r="J25" s="204"/>
    </row>
    <row r="26" spans="2:17" ht="15.75">
      <c r="B26" s="465" t="s">
        <v>306</v>
      </c>
      <c r="C26" s="466">
        <f>0.1039</f>
        <v>0.10390000000000001</v>
      </c>
      <c r="D26" s="326">
        <v>20</v>
      </c>
      <c r="E26" s="327">
        <v>100</v>
      </c>
      <c r="F26" s="466">
        <v>22.20923213</v>
      </c>
      <c r="G26" s="466">
        <v>26.176879419999999</v>
      </c>
      <c r="H26" s="356">
        <f t="shared" ref="H26:H31" si="0">G26-F26</f>
        <v>3.9676472899999986</v>
      </c>
      <c r="I26" s="465"/>
      <c r="J26" s="233"/>
    </row>
    <row r="27" spans="2:17" ht="15.75">
      <c r="B27" s="465" t="s">
        <v>375</v>
      </c>
      <c r="C27" s="466">
        <f>0.3*0.5</f>
        <v>0.15</v>
      </c>
      <c r="D27" s="329">
        <v>15</v>
      </c>
      <c r="E27" s="330">
        <v>133</v>
      </c>
      <c r="F27" s="330">
        <v>21.85225617</v>
      </c>
      <c r="G27" s="466">
        <v>26.231824379999999</v>
      </c>
      <c r="H27" s="46">
        <f t="shared" si="0"/>
        <v>4.3795682099999986</v>
      </c>
      <c r="I27" s="465"/>
      <c r="J27" s="233"/>
      <c r="K27" s="386"/>
      <c r="L27" s="377"/>
      <c r="M27" s="432"/>
      <c r="N27" s="386"/>
    </row>
    <row r="28" spans="2:17" ht="15.75">
      <c r="B28" s="465" t="s">
        <v>353</v>
      </c>
      <c r="C28" s="465" t="s">
        <v>65</v>
      </c>
      <c r="D28" s="332">
        <v>30</v>
      </c>
      <c r="E28" s="333">
        <v>130</v>
      </c>
      <c r="F28" s="333">
        <v>21.86296638</v>
      </c>
      <c r="G28" s="333">
        <v>26.580977239999999</v>
      </c>
      <c r="H28" s="358">
        <f t="shared" si="0"/>
        <v>4.7180108599999997</v>
      </c>
      <c r="I28" s="465"/>
      <c r="J28" s="233"/>
      <c r="K28" s="386"/>
      <c r="L28" s="377"/>
      <c r="M28" s="432"/>
      <c r="N28" s="386"/>
    </row>
    <row r="29" spans="2:17" ht="15.75">
      <c r="B29" s="465" t="s">
        <v>306</v>
      </c>
      <c r="C29" s="466">
        <f>0.0997</f>
        <v>9.9699999999999997E-2</v>
      </c>
      <c r="D29" s="326">
        <v>20</v>
      </c>
      <c r="E29" s="327">
        <v>100</v>
      </c>
      <c r="F29" s="466">
        <v>21.857471579999999</v>
      </c>
      <c r="G29" s="466">
        <v>25.31922441</v>
      </c>
      <c r="H29" s="356">
        <f t="shared" si="0"/>
        <v>3.4617528300000018</v>
      </c>
      <c r="I29" s="465"/>
      <c r="J29" s="450"/>
    </row>
    <row r="30" spans="2:17" ht="15.75">
      <c r="B30" s="465" t="s">
        <v>375</v>
      </c>
      <c r="C30" s="466">
        <f>0.3*0.5</f>
        <v>0.15</v>
      </c>
      <c r="D30" s="329">
        <v>15</v>
      </c>
      <c r="E30" s="330">
        <v>133</v>
      </c>
      <c r="F30" s="330">
        <v>21.85346689</v>
      </c>
      <c r="G30" s="466">
        <v>26.280995149999999</v>
      </c>
      <c r="H30" s="46">
        <f t="shared" si="0"/>
        <v>4.427528259999999</v>
      </c>
      <c r="I30" s="465"/>
      <c r="J30" s="450"/>
    </row>
    <row r="31" spans="2:17" ht="15.75">
      <c r="B31" s="465" t="s">
        <v>353</v>
      </c>
      <c r="C31" s="465" t="s">
        <v>65</v>
      </c>
      <c r="D31" s="332">
        <v>30</v>
      </c>
      <c r="E31" s="333">
        <v>130</v>
      </c>
      <c r="F31" s="333">
        <v>22.20131589</v>
      </c>
      <c r="G31" s="333">
        <v>27.226236449999998</v>
      </c>
      <c r="H31" s="358">
        <f t="shared" si="0"/>
        <v>5.0249205599999982</v>
      </c>
      <c r="I31" s="465"/>
      <c r="J31" s="450"/>
    </row>
    <row r="32" spans="2:17">
      <c r="B32" s="465"/>
      <c r="C32" s="465"/>
      <c r="D32" s="465"/>
      <c r="E32" s="465"/>
      <c r="F32" s="465"/>
      <c r="G32" s="465"/>
      <c r="H32" s="465"/>
      <c r="I32" s="465"/>
      <c r="J32" s="374"/>
    </row>
    <row r="33" spans="2:18" ht="18.75">
      <c r="B33" s="465"/>
      <c r="C33" s="466"/>
      <c r="D33" s="323" t="s">
        <v>0</v>
      </c>
      <c r="E33" s="324" t="s">
        <v>1</v>
      </c>
      <c r="F33" s="324" t="s">
        <v>49</v>
      </c>
      <c r="G33" s="324" t="s">
        <v>6</v>
      </c>
      <c r="H33" s="325" t="s">
        <v>7</v>
      </c>
      <c r="I33" s="465"/>
      <c r="J33" s="204"/>
    </row>
    <row r="34" spans="2:18" ht="15.75">
      <c r="B34" s="465" t="s">
        <v>306</v>
      </c>
      <c r="C34" s="466">
        <f>0.114</f>
        <v>0.114</v>
      </c>
      <c r="D34" s="326">
        <v>20</v>
      </c>
      <c r="E34" s="327">
        <v>100</v>
      </c>
      <c r="F34" s="466">
        <v>22.345532739999999</v>
      </c>
      <c r="G34" s="466">
        <v>28.754482639999999</v>
      </c>
      <c r="H34" s="356">
        <f>G34-F34</f>
        <v>6.4089498999999996</v>
      </c>
      <c r="I34" s="465"/>
      <c r="J34" s="233"/>
      <c r="L34" s="377"/>
      <c r="M34" s="386"/>
    </row>
    <row r="35" spans="2:18" ht="15.75">
      <c r="B35" s="465" t="s">
        <v>375</v>
      </c>
      <c r="C35" s="466">
        <f>0.3*1</f>
        <v>0.3</v>
      </c>
      <c r="D35" s="329">
        <v>15</v>
      </c>
      <c r="E35" s="330">
        <v>133</v>
      </c>
      <c r="F35" s="330">
        <v>22.24935116</v>
      </c>
      <c r="G35" s="466">
        <v>30.292459619999999</v>
      </c>
      <c r="H35" s="46">
        <f>G35-F35</f>
        <v>8.0431084599999991</v>
      </c>
      <c r="I35" s="465"/>
      <c r="J35" s="233"/>
      <c r="K35" s="432"/>
      <c r="L35" s="386"/>
      <c r="M35" s="377"/>
    </row>
    <row r="36" spans="2:18" ht="15.75">
      <c r="B36" s="465" t="s">
        <v>353</v>
      </c>
      <c r="C36" s="465" t="s">
        <v>66</v>
      </c>
      <c r="D36" s="332">
        <v>30</v>
      </c>
      <c r="E36" s="333">
        <v>130</v>
      </c>
      <c r="F36" s="333">
        <v>22.553169579999999</v>
      </c>
      <c r="G36" s="333">
        <v>24.59273902</v>
      </c>
      <c r="H36" s="358">
        <f>G36-F36</f>
        <v>2.0395694400000011</v>
      </c>
      <c r="I36" s="465"/>
      <c r="J36" s="233"/>
      <c r="K36" s="432"/>
      <c r="L36" s="386"/>
      <c r="M36" s="377"/>
    </row>
    <row r="37" spans="2:18" s="375" customFormat="1" ht="15.75">
      <c r="B37" s="465"/>
      <c r="C37" s="466"/>
      <c r="D37" s="326"/>
      <c r="E37" s="327"/>
      <c r="F37" s="466"/>
      <c r="G37" s="466"/>
      <c r="H37" s="356"/>
      <c r="I37" s="465"/>
      <c r="J37" s="233"/>
    </row>
    <row r="38" spans="2:18" s="375" customFormat="1" ht="18.75">
      <c r="B38" s="465"/>
      <c r="C38" s="466"/>
      <c r="D38" s="323" t="s">
        <v>0</v>
      </c>
      <c r="E38" s="324" t="s">
        <v>1</v>
      </c>
      <c r="F38" s="324" t="s">
        <v>49</v>
      </c>
      <c r="G38" s="324" t="s">
        <v>6</v>
      </c>
      <c r="H38" s="325" t="s">
        <v>7</v>
      </c>
      <c r="I38" s="465"/>
      <c r="J38" s="204"/>
      <c r="R38" s="204"/>
    </row>
    <row r="39" spans="2:18" s="375" customFormat="1" ht="15.75">
      <c r="B39" s="465" t="s">
        <v>306</v>
      </c>
      <c r="C39" s="466">
        <f>0.0991</f>
        <v>9.9099999999999994E-2</v>
      </c>
      <c r="D39" s="326">
        <v>20</v>
      </c>
      <c r="E39" s="327">
        <v>100</v>
      </c>
      <c r="F39" s="466">
        <v>22.532743450000002</v>
      </c>
      <c r="G39" s="466">
        <v>23.854482640000001</v>
      </c>
      <c r="H39" s="356">
        <f>G39-F39</f>
        <v>1.3217391899999988</v>
      </c>
      <c r="I39" s="465"/>
      <c r="J39" s="233"/>
      <c r="R39" s="204"/>
    </row>
    <row r="40" spans="2:18" s="376" customFormat="1" ht="15.75">
      <c r="B40" s="465" t="s">
        <v>375</v>
      </c>
      <c r="C40" s="466">
        <f>0.3*0.05</f>
        <v>1.4999999999999999E-2</v>
      </c>
      <c r="D40" s="329">
        <v>15</v>
      </c>
      <c r="E40" s="330">
        <v>133</v>
      </c>
      <c r="F40" s="330">
        <v>22.37895103</v>
      </c>
      <c r="G40" s="466">
        <v>24.292459619999999</v>
      </c>
      <c r="H40" s="46">
        <f>G40-F40</f>
        <v>1.9135085899999993</v>
      </c>
      <c r="I40" s="465"/>
      <c r="J40" s="233"/>
      <c r="R40" s="204"/>
    </row>
    <row r="41" spans="2:18" s="376" customFormat="1" ht="15.75">
      <c r="B41" s="465" t="s">
        <v>353</v>
      </c>
      <c r="C41" s="465" t="s">
        <v>163</v>
      </c>
      <c r="D41" s="332">
        <v>30</v>
      </c>
      <c r="E41" s="333">
        <v>130</v>
      </c>
      <c r="F41" s="333">
        <v>22.553169579999999</v>
      </c>
      <c r="G41" s="333">
        <v>24.59273902</v>
      </c>
      <c r="H41" s="358">
        <f>G41-F41</f>
        <v>2.0395694400000011</v>
      </c>
      <c r="I41" s="465"/>
      <c r="J41" s="233"/>
      <c r="K41" s="377"/>
      <c r="R41" s="204"/>
    </row>
    <row r="42" spans="2:18" s="376" customFormat="1">
      <c r="B42" s="465"/>
      <c r="C42" s="465"/>
      <c r="D42" s="466"/>
      <c r="E42" s="465"/>
      <c r="F42" s="465"/>
      <c r="G42" s="465"/>
      <c r="H42" s="465"/>
      <c r="I42" s="465"/>
      <c r="J42" s="233"/>
      <c r="K42" s="377"/>
    </row>
    <row r="43" spans="2:18">
      <c r="B43" s="465"/>
      <c r="C43" s="465"/>
      <c r="D43" s="465"/>
      <c r="E43" s="465"/>
      <c r="F43" s="465"/>
      <c r="G43" s="465"/>
      <c r="H43" s="465"/>
      <c r="I43" s="465"/>
      <c r="J43" s="374"/>
    </row>
    <row r="44" spans="2:18" ht="18.75">
      <c r="B44" s="465"/>
      <c r="C44" s="466"/>
      <c r="D44" s="323" t="s">
        <v>0</v>
      </c>
      <c r="E44" s="324" t="s">
        <v>1</v>
      </c>
      <c r="F44" s="324" t="s">
        <v>49</v>
      </c>
      <c r="G44" s="324" t="s">
        <v>6</v>
      </c>
      <c r="H44" s="325" t="s">
        <v>7</v>
      </c>
      <c r="I44" s="465"/>
      <c r="J44" s="204"/>
    </row>
    <row r="45" spans="2:18" ht="15.75">
      <c r="B45" s="47" t="s">
        <v>306</v>
      </c>
      <c r="C45" s="320">
        <f>0.121-0.1034</f>
        <v>1.7599999999999991E-2</v>
      </c>
      <c r="D45" s="326">
        <v>20</v>
      </c>
      <c r="E45" s="327">
        <v>100</v>
      </c>
      <c r="F45" s="320">
        <v>22.556242950000001</v>
      </c>
      <c r="G45" s="320">
        <v>23.23797111</v>
      </c>
      <c r="H45" s="356">
        <f>G45-F45</f>
        <v>0.6817281599999987</v>
      </c>
      <c r="J45" s="233"/>
    </row>
    <row r="46" spans="2:18" ht="15.75">
      <c r="B46" s="47" t="s">
        <v>375</v>
      </c>
      <c r="C46" s="320">
        <f>0.3*2</f>
        <v>0.6</v>
      </c>
      <c r="D46" s="329">
        <v>20</v>
      </c>
      <c r="E46" s="330">
        <v>130</v>
      </c>
      <c r="F46" s="330">
        <v>22.55773306</v>
      </c>
      <c r="G46" s="320">
        <v>23.59438828</v>
      </c>
      <c r="H46" s="46">
        <f>G46-F46</f>
        <v>1.0366552200000001</v>
      </c>
      <c r="I46" s="461"/>
      <c r="J46" s="233"/>
      <c r="K46" s="378"/>
      <c r="L46" s="386"/>
      <c r="M46" s="386"/>
    </row>
    <row r="47" spans="2:18" ht="15.75">
      <c r="B47" s="47" t="s">
        <v>353</v>
      </c>
      <c r="C47" s="47" t="s">
        <v>67</v>
      </c>
      <c r="D47" s="332">
        <v>30</v>
      </c>
      <c r="E47" s="333">
        <v>130</v>
      </c>
      <c r="F47" s="333">
        <v>22.58742127</v>
      </c>
      <c r="G47" s="333">
        <v>23.706798920000001</v>
      </c>
      <c r="H47" s="358">
        <f>G47-F47</f>
        <v>1.1193776500000006</v>
      </c>
      <c r="I47" s="461"/>
      <c r="J47" s="233"/>
      <c r="K47" s="378"/>
      <c r="L47" s="386"/>
      <c r="M47" s="386"/>
    </row>
    <row r="48" spans="2:18" ht="18.75">
      <c r="B48" s="47" t="s">
        <v>306</v>
      </c>
      <c r="C48" s="47"/>
      <c r="D48" s="323" t="s">
        <v>0</v>
      </c>
      <c r="E48" s="324" t="s">
        <v>1</v>
      </c>
      <c r="F48" s="324" t="s">
        <v>49</v>
      </c>
      <c r="G48" s="324" t="s">
        <v>6</v>
      </c>
      <c r="H48" s="325" t="s">
        <v>7</v>
      </c>
      <c r="I48" s="461"/>
      <c r="J48" s="233"/>
    </row>
    <row r="49" spans="1:18" ht="15.75">
      <c r="B49" s="47" t="s">
        <v>375</v>
      </c>
      <c r="C49" s="320">
        <f>0.0963</f>
        <v>9.6299999999999997E-2</v>
      </c>
      <c r="D49" s="326">
        <v>20</v>
      </c>
      <c r="E49" s="327">
        <v>100</v>
      </c>
      <c r="F49" s="320">
        <v>22.389747434499998</v>
      </c>
      <c r="G49" s="320">
        <v>23.68412975</v>
      </c>
      <c r="H49" s="356">
        <f>G49-F49</f>
        <v>1.2943823155000018</v>
      </c>
      <c r="I49" s="461"/>
      <c r="J49" s="233"/>
    </row>
    <row r="50" spans="1:18" ht="15.75">
      <c r="B50" s="47" t="s">
        <v>353</v>
      </c>
      <c r="C50" s="320">
        <f>0.3*0.05</f>
        <v>1.4999999999999999E-2</v>
      </c>
      <c r="D50" s="329">
        <v>15</v>
      </c>
      <c r="E50" s="330">
        <v>133</v>
      </c>
      <c r="F50" s="330">
        <v>22.168951029999999</v>
      </c>
      <c r="G50" s="320">
        <v>24.038459620000001</v>
      </c>
      <c r="H50" s="46">
        <f>G50-F50</f>
        <v>1.8695085900000024</v>
      </c>
      <c r="I50" s="461"/>
      <c r="J50" s="233"/>
    </row>
    <row r="51" spans="1:18" ht="15.75">
      <c r="B51" s="47"/>
      <c r="C51" s="320" t="s">
        <v>102</v>
      </c>
      <c r="D51" s="332">
        <v>30</v>
      </c>
      <c r="E51" s="333">
        <v>130</v>
      </c>
      <c r="F51" s="333">
        <v>22.553169579999999</v>
      </c>
      <c r="G51" s="333">
        <v>24.59273902</v>
      </c>
      <c r="H51" s="358">
        <f>G51-F51</f>
        <v>2.0395694400000011</v>
      </c>
      <c r="I51" s="461"/>
      <c r="J51" s="233"/>
    </row>
    <row r="52" spans="1:18">
      <c r="C52" s="461"/>
      <c r="D52" s="461"/>
      <c r="E52" s="461"/>
      <c r="F52" s="461"/>
      <c r="G52" s="461"/>
      <c r="H52" s="461"/>
      <c r="I52" s="461"/>
      <c r="J52" s="233"/>
    </row>
    <row r="53" spans="1:18">
      <c r="C53" s="461"/>
      <c r="D53" s="461"/>
      <c r="E53" s="461"/>
      <c r="F53" s="461"/>
      <c r="G53" s="461"/>
      <c r="H53" s="461"/>
      <c r="I53" s="461"/>
      <c r="J53" s="233"/>
      <c r="O53" s="269"/>
      <c r="P53" s="386"/>
    </row>
    <row r="54" spans="1:18">
      <c r="A54" s="470" t="s">
        <v>377</v>
      </c>
      <c r="B54" s="62"/>
      <c r="C54" s="62"/>
      <c r="D54" s="62"/>
      <c r="E54" s="62"/>
      <c r="F54" s="62"/>
      <c r="G54" s="62"/>
      <c r="H54" s="62"/>
      <c r="I54" s="13" t="s">
        <v>297</v>
      </c>
      <c r="O54" s="352"/>
      <c r="P54" s="386"/>
      <c r="Q54" s="386"/>
    </row>
    <row r="55" spans="1:18">
      <c r="A55" s="461" t="s">
        <v>68</v>
      </c>
      <c r="O55" s="270"/>
      <c r="P55" s="386"/>
      <c r="Q55" s="386"/>
    </row>
    <row r="56" spans="1:18" ht="18.75">
      <c r="B56" s="47"/>
      <c r="C56" s="320"/>
      <c r="D56" s="323" t="s">
        <v>0</v>
      </c>
      <c r="E56" s="324" t="s">
        <v>1</v>
      </c>
      <c r="F56" s="324" t="s">
        <v>49</v>
      </c>
      <c r="G56" s="324" t="s">
        <v>6</v>
      </c>
      <c r="H56" s="325" t="s">
        <v>7</v>
      </c>
      <c r="J56" s="241"/>
      <c r="O56" s="386"/>
      <c r="P56" s="386"/>
      <c r="Q56" s="386"/>
    </row>
    <row r="57" spans="1:18" ht="15.75">
      <c r="B57" s="47" t="s">
        <v>306</v>
      </c>
      <c r="C57" s="320">
        <v>9.8299999999999998E-2</v>
      </c>
      <c r="D57" s="326">
        <v>20</v>
      </c>
      <c r="E57" s="327">
        <v>100</v>
      </c>
      <c r="F57" s="320">
        <v>22.19224599</v>
      </c>
      <c r="G57" s="320">
        <v>23.92996174</v>
      </c>
      <c r="H57" s="356">
        <f>G57-F57</f>
        <v>1.7377157499999996</v>
      </c>
      <c r="J57" s="241"/>
      <c r="O57" s="386"/>
      <c r="P57" s="386"/>
      <c r="Q57" s="386"/>
    </row>
    <row r="58" spans="1:18" ht="15.75">
      <c r="B58" s="47" t="s">
        <v>375</v>
      </c>
      <c r="C58" s="320">
        <f>0.3*0.1</f>
        <v>0.03</v>
      </c>
      <c r="D58" s="329">
        <v>15</v>
      </c>
      <c r="E58" s="330">
        <v>133</v>
      </c>
      <c r="F58" s="330">
        <v>22.206717560000001</v>
      </c>
      <c r="G58" s="320">
        <v>24.281070369999998</v>
      </c>
      <c r="H58" s="46">
        <f>G58-F58</f>
        <v>2.074352809999997</v>
      </c>
      <c r="J58" s="241"/>
      <c r="O58" s="386"/>
      <c r="P58" s="386"/>
      <c r="Q58" s="386"/>
    </row>
    <row r="59" spans="1:18" ht="15.75">
      <c r="B59" s="47" t="s">
        <v>353</v>
      </c>
      <c r="C59" s="47" t="s">
        <v>63</v>
      </c>
      <c r="D59" s="332">
        <v>30</v>
      </c>
      <c r="E59" s="333">
        <v>130</v>
      </c>
      <c r="F59" s="333">
        <v>21.686667010000001</v>
      </c>
      <c r="G59" s="411">
        <v>24.41436362</v>
      </c>
      <c r="H59" s="358">
        <f>G59-F59</f>
        <v>2.7276966099999989</v>
      </c>
      <c r="J59" s="241"/>
      <c r="M59" s="461"/>
      <c r="N59" s="461"/>
      <c r="O59" s="461"/>
      <c r="P59" s="461"/>
      <c r="Q59" s="461"/>
      <c r="R59" s="461"/>
    </row>
    <row r="60" spans="1:18">
      <c r="B60" s="47"/>
      <c r="C60" s="47"/>
      <c r="D60" s="47"/>
      <c r="E60" s="47"/>
      <c r="F60" s="47"/>
      <c r="G60" s="47"/>
      <c r="H60" s="47"/>
      <c r="J60" s="288"/>
      <c r="M60" s="461"/>
      <c r="N60" s="461"/>
      <c r="O60" s="461"/>
      <c r="P60" s="461"/>
      <c r="Q60" s="461"/>
      <c r="R60" s="461"/>
    </row>
    <row r="61" spans="1:18" ht="18.75">
      <c r="B61" s="47"/>
      <c r="C61" s="320"/>
      <c r="D61" s="323" t="s">
        <v>0</v>
      </c>
      <c r="E61" s="324" t="s">
        <v>1</v>
      </c>
      <c r="F61" s="324" t="s">
        <v>49</v>
      </c>
      <c r="G61" s="324" t="s">
        <v>6</v>
      </c>
      <c r="H61" s="325" t="s">
        <v>7</v>
      </c>
      <c r="J61" s="241"/>
      <c r="M61" s="461"/>
      <c r="N61" s="461"/>
      <c r="O61" s="461"/>
      <c r="P61" s="461"/>
      <c r="Q61" s="461"/>
      <c r="R61" s="461"/>
    </row>
    <row r="62" spans="1:18" ht="15.75">
      <c r="B62" s="47" t="s">
        <v>306</v>
      </c>
      <c r="C62" s="320">
        <v>0.10100000000000001</v>
      </c>
      <c r="D62" s="326">
        <v>20</v>
      </c>
      <c r="E62" s="327">
        <v>100</v>
      </c>
      <c r="F62" s="320">
        <v>22.206531300000002</v>
      </c>
      <c r="G62" s="320">
        <v>23.93685352</v>
      </c>
      <c r="H62" s="356">
        <f>G62-F62</f>
        <v>1.7303222199999979</v>
      </c>
      <c r="J62" s="241"/>
      <c r="M62" s="461"/>
      <c r="N62" s="461"/>
      <c r="O62" s="461"/>
      <c r="P62" s="461"/>
      <c r="Q62" s="461"/>
      <c r="R62" s="461"/>
    </row>
    <row r="63" spans="1:18" ht="15.75">
      <c r="B63" s="47" t="s">
        <v>375</v>
      </c>
      <c r="C63" s="320">
        <f>0.3*0.2</f>
        <v>0.06</v>
      </c>
      <c r="D63" s="329">
        <v>15</v>
      </c>
      <c r="E63" s="330">
        <v>133</v>
      </c>
      <c r="F63" s="330">
        <v>21.289647240000001</v>
      </c>
      <c r="G63" s="320">
        <v>23.734618350000002</v>
      </c>
      <c r="H63" s="46">
        <f>G63-F63</f>
        <v>2.4449711100000009</v>
      </c>
      <c r="I63" s="465"/>
      <c r="J63" s="466"/>
      <c r="K63" s="465"/>
      <c r="L63" s="465"/>
      <c r="M63" s="465"/>
      <c r="N63" s="465"/>
      <c r="O63" s="465"/>
      <c r="P63" s="465"/>
      <c r="Q63" s="465"/>
      <c r="R63" s="461"/>
    </row>
    <row r="64" spans="1:18" ht="15.75">
      <c r="B64" s="47" t="s">
        <v>353</v>
      </c>
      <c r="C64" s="47" t="s">
        <v>64</v>
      </c>
      <c r="D64" s="332">
        <v>30</v>
      </c>
      <c r="E64" s="333">
        <v>130</v>
      </c>
      <c r="F64" s="333">
        <v>21.68880905</v>
      </c>
      <c r="G64" s="333">
        <v>24.780511570000002</v>
      </c>
      <c r="H64" s="358">
        <f>G64-F64</f>
        <v>3.0917025200000019</v>
      </c>
      <c r="I64" s="465"/>
      <c r="J64" s="466"/>
      <c r="K64" s="465"/>
      <c r="L64" s="465"/>
      <c r="M64" s="465"/>
      <c r="N64" s="465"/>
      <c r="O64" s="465"/>
      <c r="P64" s="465"/>
      <c r="Q64" s="465"/>
      <c r="R64" s="461"/>
    </row>
    <row r="65" spans="2:19">
      <c r="B65" s="47"/>
      <c r="C65" s="47"/>
      <c r="D65" s="47"/>
      <c r="E65" s="47"/>
      <c r="F65" s="47"/>
      <c r="G65" s="47"/>
      <c r="H65" s="47"/>
      <c r="I65" s="465"/>
      <c r="J65" s="465"/>
      <c r="K65" s="465"/>
      <c r="L65" s="465"/>
      <c r="M65" s="465"/>
      <c r="N65" s="465"/>
      <c r="O65" s="465"/>
      <c r="P65" s="465"/>
      <c r="Q65" s="465"/>
      <c r="R65" s="461"/>
    </row>
    <row r="66" spans="2:19" ht="18.75">
      <c r="B66" s="47"/>
      <c r="C66" s="320"/>
      <c r="D66" s="323" t="s">
        <v>0</v>
      </c>
      <c r="E66" s="324" t="s">
        <v>1</v>
      </c>
      <c r="F66" s="324" t="s">
        <v>49</v>
      </c>
      <c r="G66" s="324" t="s">
        <v>6</v>
      </c>
      <c r="H66" s="325" t="s">
        <v>7</v>
      </c>
      <c r="I66" s="465" t="s">
        <v>306</v>
      </c>
      <c r="J66" s="466"/>
      <c r="K66" s="323" t="s">
        <v>0</v>
      </c>
      <c r="L66" s="324" t="s">
        <v>1</v>
      </c>
      <c r="M66" s="324" t="s">
        <v>49</v>
      </c>
      <c r="N66" s="324" t="s">
        <v>6</v>
      </c>
      <c r="O66" s="325" t="s">
        <v>7</v>
      </c>
      <c r="P66" s="465"/>
      <c r="Q66" s="465"/>
      <c r="R66" s="233"/>
      <c r="S66" s="299"/>
    </row>
    <row r="67" spans="2:19" ht="15.75">
      <c r="B67" s="47" t="s">
        <v>306</v>
      </c>
      <c r="C67" s="320">
        <v>9.7299999999999998E-2</v>
      </c>
      <c r="D67" s="326">
        <v>20</v>
      </c>
      <c r="E67" s="327">
        <v>100</v>
      </c>
      <c r="F67" s="320">
        <v>22.203364799999999</v>
      </c>
      <c r="G67" s="320">
        <v>24.92468032</v>
      </c>
      <c r="H67" s="356">
        <f>G67-F67</f>
        <v>2.721315520000001</v>
      </c>
      <c r="I67" s="465" t="s">
        <v>375</v>
      </c>
      <c r="J67" s="466">
        <v>9.8400000000000001E-2</v>
      </c>
      <c r="K67" s="326">
        <v>20</v>
      </c>
      <c r="L67" s="327">
        <v>100</v>
      </c>
      <c r="M67" s="466">
        <v>22.264803300000001</v>
      </c>
      <c r="N67" s="466">
        <v>25.3292468</v>
      </c>
      <c r="O67" s="356">
        <f>N67-M67</f>
        <v>3.0644434999999994</v>
      </c>
      <c r="P67" s="465"/>
      <c r="Q67" s="465"/>
      <c r="R67" s="233"/>
      <c r="S67" s="299"/>
    </row>
    <row r="68" spans="2:19" ht="15.75">
      <c r="B68" s="47" t="s">
        <v>375</v>
      </c>
      <c r="C68" s="320">
        <f>0.3*0.3</f>
        <v>0.09</v>
      </c>
      <c r="D68" s="329">
        <v>15</v>
      </c>
      <c r="E68" s="330">
        <v>133</v>
      </c>
      <c r="F68" s="330">
        <v>22.208393940000001</v>
      </c>
      <c r="G68" s="320">
        <v>25.085474699999999</v>
      </c>
      <c r="H68" s="46">
        <f>G68-F68</f>
        <v>2.8770807599999983</v>
      </c>
      <c r="I68" s="465" t="s">
        <v>353</v>
      </c>
      <c r="J68" s="466">
        <f>0.3*0.3</f>
        <v>0.09</v>
      </c>
      <c r="K68" s="329">
        <v>15</v>
      </c>
      <c r="L68" s="330">
        <v>133</v>
      </c>
      <c r="M68" s="330">
        <v>22.209394830000001</v>
      </c>
      <c r="N68" s="466">
        <v>25.374708500000001</v>
      </c>
      <c r="O68" s="46">
        <f>N68-M68</f>
        <v>3.1653136699999997</v>
      </c>
      <c r="P68" s="465"/>
      <c r="Q68" s="465"/>
      <c r="R68" s="233"/>
      <c r="S68" s="299"/>
    </row>
    <row r="69" spans="2:19" ht="15.75">
      <c r="B69" s="47" t="s">
        <v>353</v>
      </c>
      <c r="C69" s="47" t="s">
        <v>74</v>
      </c>
      <c r="D69" s="332">
        <v>30</v>
      </c>
      <c r="E69" s="333">
        <v>130</v>
      </c>
      <c r="F69" s="333">
        <v>21.710043200000001</v>
      </c>
      <c r="G69" s="333">
        <v>25.0918077</v>
      </c>
      <c r="H69" s="358">
        <f>G69-F69</f>
        <v>3.3817644999999992</v>
      </c>
      <c r="I69" s="465"/>
      <c r="J69" s="466" t="s">
        <v>354</v>
      </c>
      <c r="K69" s="332">
        <v>30</v>
      </c>
      <c r="L69" s="333">
        <v>130</v>
      </c>
      <c r="M69" s="333">
        <v>21.710043200000001</v>
      </c>
      <c r="N69" s="333">
        <v>25.0918077</v>
      </c>
      <c r="O69" s="358">
        <f>N69-M69</f>
        <v>3.3817644999999992</v>
      </c>
      <c r="P69" s="465"/>
      <c r="Q69" s="465"/>
      <c r="R69" s="233"/>
      <c r="S69" s="299"/>
    </row>
    <row r="70" spans="2:19">
      <c r="B70" s="47"/>
      <c r="C70" s="47"/>
      <c r="D70" s="47"/>
      <c r="E70" s="47"/>
      <c r="F70" s="47"/>
      <c r="G70" s="47"/>
      <c r="H70" s="47"/>
      <c r="I70" s="465"/>
      <c r="J70" s="465"/>
      <c r="K70" s="465"/>
      <c r="L70" s="465"/>
      <c r="M70" s="465"/>
      <c r="N70" s="465"/>
      <c r="O70" s="465"/>
      <c r="P70" s="465"/>
      <c r="Q70" s="465"/>
    </row>
    <row r="71" spans="2:19" ht="18.75">
      <c r="B71" s="47"/>
      <c r="C71" s="320"/>
      <c r="D71" s="323" t="s">
        <v>0</v>
      </c>
      <c r="E71" s="324" t="s">
        <v>1</v>
      </c>
      <c r="F71" s="324" t="s">
        <v>49</v>
      </c>
      <c r="G71" s="324" t="s">
        <v>6</v>
      </c>
      <c r="H71" s="325" t="s">
        <v>7</v>
      </c>
      <c r="I71" s="465"/>
      <c r="J71" s="466"/>
      <c r="K71" s="465"/>
      <c r="L71" s="465"/>
      <c r="M71" s="465"/>
      <c r="N71" s="465"/>
      <c r="O71" s="465"/>
      <c r="P71" s="465"/>
      <c r="Q71" s="465"/>
    </row>
    <row r="72" spans="2:19" ht="15.75">
      <c r="B72" s="47" t="s">
        <v>306</v>
      </c>
      <c r="C72" s="320">
        <v>0.114</v>
      </c>
      <c r="D72" s="326">
        <v>20</v>
      </c>
      <c r="E72" s="327">
        <v>100</v>
      </c>
      <c r="F72" s="320">
        <v>22.75983007</v>
      </c>
      <c r="G72" s="320">
        <v>29.12222306</v>
      </c>
      <c r="H72" s="356">
        <f>G72-F72</f>
        <v>6.36239299</v>
      </c>
      <c r="I72" s="465"/>
      <c r="J72" s="466"/>
      <c r="K72" s="465"/>
      <c r="L72" s="465"/>
      <c r="M72" s="465"/>
      <c r="N72" s="465"/>
      <c r="O72" s="465"/>
      <c r="P72" s="465"/>
      <c r="Q72" s="465"/>
    </row>
    <row r="73" spans="2:19" ht="15.75">
      <c r="B73" s="47" t="s">
        <v>375</v>
      </c>
      <c r="C73" s="320">
        <f>0.3*1</f>
        <v>0.3</v>
      </c>
      <c r="D73" s="329">
        <v>15</v>
      </c>
      <c r="E73" s="330">
        <v>133</v>
      </c>
      <c r="F73" s="330">
        <v>23.237319190000001</v>
      </c>
      <c r="G73" s="320">
        <v>30.971961820000001</v>
      </c>
      <c r="H73" s="46">
        <f>G73-F73</f>
        <v>7.7346426299999997</v>
      </c>
      <c r="J73" s="241"/>
      <c r="K73" s="386"/>
    </row>
    <row r="74" spans="2:19" ht="15.75">
      <c r="B74" s="47" t="s">
        <v>353</v>
      </c>
      <c r="C74" s="47" t="s">
        <v>66</v>
      </c>
      <c r="D74" s="332">
        <v>30</v>
      </c>
      <c r="E74" s="333">
        <v>130</v>
      </c>
      <c r="F74" s="333">
        <v>23.58731023</v>
      </c>
      <c r="G74" s="333">
        <v>26.650896020000001</v>
      </c>
      <c r="H74" s="358">
        <f>G74-F74</f>
        <v>3.0635857900000012</v>
      </c>
      <c r="J74" s="241"/>
      <c r="K74" s="386"/>
    </row>
    <row r="75" spans="2:19">
      <c r="B75" s="47"/>
      <c r="C75" s="47"/>
      <c r="D75" s="47"/>
      <c r="E75" s="47"/>
      <c r="F75" s="47"/>
      <c r="G75" s="47"/>
      <c r="H75" s="47"/>
      <c r="J75" s="386"/>
      <c r="K75" s="386"/>
    </row>
    <row r="76" spans="2:19" ht="18.75">
      <c r="B76" s="47"/>
      <c r="C76" s="320"/>
      <c r="D76" s="323" t="s">
        <v>0</v>
      </c>
      <c r="E76" s="324" t="s">
        <v>1</v>
      </c>
      <c r="F76" s="324" t="s">
        <v>49</v>
      </c>
      <c r="G76" s="324" t="s">
        <v>6</v>
      </c>
      <c r="H76" s="325" t="s">
        <v>7</v>
      </c>
      <c r="J76" s="241"/>
      <c r="K76" s="386"/>
    </row>
    <row r="77" spans="2:19">
      <c r="B77" s="47" t="s">
        <v>306</v>
      </c>
      <c r="C77" s="320">
        <v>0.1041</v>
      </c>
      <c r="D77" s="462">
        <v>20</v>
      </c>
      <c r="E77" s="463">
        <v>100</v>
      </c>
      <c r="F77" s="320">
        <v>23.226329580000002</v>
      </c>
      <c r="G77" s="320">
        <v>26.456661010000001</v>
      </c>
      <c r="H77" s="328">
        <f>G77-F77</f>
        <v>3.2303314299999997</v>
      </c>
      <c r="J77" s="241"/>
      <c r="K77" s="386"/>
    </row>
    <row r="78" spans="2:19">
      <c r="B78" s="47" t="s">
        <v>375</v>
      </c>
      <c r="C78" s="320">
        <f>0.3*0.5</f>
        <v>0.15</v>
      </c>
      <c r="D78" s="329">
        <v>15</v>
      </c>
      <c r="E78" s="330">
        <v>133</v>
      </c>
      <c r="F78" s="330">
        <v>23.583584940000001</v>
      </c>
      <c r="G78" s="320">
        <v>27.70137064</v>
      </c>
      <c r="H78" s="331">
        <f>G78-F78</f>
        <v>4.1177856999999989</v>
      </c>
      <c r="J78" s="241"/>
      <c r="K78" s="386"/>
    </row>
    <row r="79" spans="2:19">
      <c r="B79" s="47" t="s">
        <v>353</v>
      </c>
      <c r="C79" s="47" t="s">
        <v>65</v>
      </c>
      <c r="D79" s="332">
        <v>30</v>
      </c>
      <c r="E79" s="333">
        <v>130</v>
      </c>
      <c r="F79" s="333">
        <v>23.751036750000001</v>
      </c>
      <c r="G79" s="333">
        <v>26.971177870000002</v>
      </c>
      <c r="H79" s="334">
        <f>G79-F79</f>
        <v>3.220141120000001</v>
      </c>
      <c r="J79" s="241"/>
      <c r="K79" s="386"/>
    </row>
    <row r="81" spans="1:11">
      <c r="A81" s="470" t="s">
        <v>378</v>
      </c>
      <c r="B81" s="62"/>
      <c r="C81" s="62"/>
      <c r="D81" s="62"/>
      <c r="E81" s="62"/>
      <c r="F81" s="62"/>
      <c r="G81" s="62"/>
      <c r="H81" s="62"/>
      <c r="I81" s="13" t="s">
        <v>297</v>
      </c>
    </row>
    <row r="82" spans="1:11">
      <c r="A82" s="461" t="s">
        <v>68</v>
      </c>
      <c r="J82" s="241"/>
    </row>
    <row r="83" spans="1:11" ht="18.75">
      <c r="B83" s="465"/>
      <c r="C83" s="466"/>
      <c r="D83" s="323" t="s">
        <v>0</v>
      </c>
      <c r="E83" s="324" t="s">
        <v>1</v>
      </c>
      <c r="F83" s="324" t="s">
        <v>49</v>
      </c>
      <c r="G83" s="324" t="s">
        <v>6</v>
      </c>
      <c r="H83" s="325" t="s">
        <v>7</v>
      </c>
      <c r="J83" s="320"/>
      <c r="K83" s="47"/>
    </row>
    <row r="84" spans="1:11" ht="15.75">
      <c r="B84" s="465" t="s">
        <v>306</v>
      </c>
      <c r="C84" s="466">
        <v>0.1018</v>
      </c>
      <c r="D84" s="326">
        <v>20</v>
      </c>
      <c r="E84" s="327">
        <v>100</v>
      </c>
      <c r="F84" s="466">
        <v>22.21929042</v>
      </c>
      <c r="G84" s="466">
        <v>28.234059559999999</v>
      </c>
      <c r="H84" s="356">
        <f>G84-F84</f>
        <v>6.0147691399999985</v>
      </c>
      <c r="J84" s="320"/>
      <c r="K84" s="47"/>
    </row>
    <row r="85" spans="1:11" ht="15.75">
      <c r="B85" s="465" t="s">
        <v>375</v>
      </c>
      <c r="C85" s="466">
        <f>0.3*1</f>
        <v>0.3</v>
      </c>
      <c r="D85" s="329">
        <v>15</v>
      </c>
      <c r="E85" s="330">
        <v>133</v>
      </c>
      <c r="F85" s="330">
        <v>22.21956982</v>
      </c>
      <c r="G85" s="466">
        <v>29.549612639999999</v>
      </c>
      <c r="H85" s="46">
        <f>G85-F85</f>
        <v>7.3300428199999992</v>
      </c>
      <c r="J85" s="320"/>
      <c r="K85" s="47"/>
    </row>
    <row r="86" spans="1:11" ht="15.75">
      <c r="B86" s="465" t="s">
        <v>353</v>
      </c>
      <c r="C86" s="465" t="s">
        <v>66</v>
      </c>
      <c r="D86" s="332">
        <v>30</v>
      </c>
      <c r="E86" s="333">
        <v>130</v>
      </c>
      <c r="F86" s="333">
        <v>22.439082559999999</v>
      </c>
      <c r="G86" s="333">
        <v>23.782560480000001</v>
      </c>
      <c r="H86" s="358">
        <f>G86-F86</f>
        <v>1.3434779200000015</v>
      </c>
      <c r="J86" s="47"/>
      <c r="K86" s="47"/>
    </row>
    <row r="87" spans="1:11" ht="18.75">
      <c r="C87" s="466"/>
      <c r="D87" s="323" t="s">
        <v>0</v>
      </c>
      <c r="E87" s="324" t="s">
        <v>1</v>
      </c>
      <c r="F87" s="324" t="s">
        <v>49</v>
      </c>
      <c r="G87" s="324" t="s">
        <v>6</v>
      </c>
      <c r="H87" s="325" t="s">
        <v>7</v>
      </c>
      <c r="J87" s="204"/>
      <c r="K87" s="203"/>
    </row>
    <row r="88" spans="1:11" ht="15.75">
      <c r="B88" s="465" t="s">
        <v>306</v>
      </c>
      <c r="C88" s="466">
        <v>9.4E-2</v>
      </c>
      <c r="D88" s="326">
        <v>20</v>
      </c>
      <c r="E88" s="327">
        <v>100</v>
      </c>
      <c r="F88" s="466">
        <v>22.25365622</v>
      </c>
      <c r="G88" s="466">
        <v>24.713897960000001</v>
      </c>
      <c r="H88" s="356">
        <f>G88-F88</f>
        <v>2.4602417400000007</v>
      </c>
      <c r="J88" s="204"/>
      <c r="K88" s="203"/>
    </row>
    <row r="89" spans="1:11" ht="15.75">
      <c r="B89" s="465" t="s">
        <v>375</v>
      </c>
      <c r="C89" s="466">
        <f>0.3*0.3</f>
        <v>0.09</v>
      </c>
      <c r="D89" s="329">
        <v>15</v>
      </c>
      <c r="E89" s="330">
        <v>133</v>
      </c>
      <c r="F89" s="330">
        <v>22.54199371</v>
      </c>
      <c r="G89" s="466">
        <v>25.661257249999998</v>
      </c>
      <c r="H89" s="46">
        <f>G89-F89</f>
        <v>3.1192635399999986</v>
      </c>
      <c r="J89" s="204"/>
      <c r="K89" s="203"/>
    </row>
    <row r="90" spans="1:11" ht="15.75">
      <c r="B90" s="465" t="s">
        <v>353</v>
      </c>
      <c r="C90" s="465" t="s">
        <v>74</v>
      </c>
      <c r="D90" s="332">
        <v>30</v>
      </c>
      <c r="E90" s="333">
        <v>130</v>
      </c>
      <c r="F90" s="333"/>
      <c r="G90" s="333"/>
      <c r="H90" s="358">
        <f>G90-F90</f>
        <v>0</v>
      </c>
      <c r="J90" s="204"/>
      <c r="K90" s="203"/>
    </row>
    <row r="92" spans="1:11">
      <c r="A92" s="470" t="s">
        <v>379</v>
      </c>
      <c r="B92" s="62"/>
      <c r="C92" s="62"/>
      <c r="D92" s="62"/>
      <c r="E92" s="62"/>
      <c r="F92" s="62"/>
      <c r="G92" s="62"/>
      <c r="H92" s="62"/>
    </row>
    <row r="93" spans="1:11" ht="18.75">
      <c r="B93" s="465"/>
      <c r="C93" s="466"/>
      <c r="D93" s="323" t="s">
        <v>0</v>
      </c>
      <c r="E93" s="324" t="s">
        <v>1</v>
      </c>
      <c r="F93" s="324" t="s">
        <v>49</v>
      </c>
      <c r="G93" s="324" t="s">
        <v>6</v>
      </c>
      <c r="H93" s="325" t="s">
        <v>7</v>
      </c>
      <c r="J93" s="241"/>
    </row>
    <row r="94" spans="1:11">
      <c r="B94" s="465" t="s">
        <v>306</v>
      </c>
      <c r="C94" s="466">
        <v>9.98E-2</v>
      </c>
      <c r="D94" s="462">
        <v>20</v>
      </c>
      <c r="E94" s="463">
        <v>100</v>
      </c>
      <c r="F94" s="466">
        <v>23.584888790000001</v>
      </c>
      <c r="G94" s="466">
        <v>24.983750730000001</v>
      </c>
      <c r="H94" s="328">
        <f>G94-F94</f>
        <v>1.3988619399999997</v>
      </c>
      <c r="J94" s="320"/>
      <c r="K94" s="432"/>
    </row>
    <row r="95" spans="1:11">
      <c r="B95" s="465" t="s">
        <v>375</v>
      </c>
      <c r="C95" s="466">
        <f>0.3*0.05</f>
        <v>1.4999999999999999E-2</v>
      </c>
      <c r="D95" s="329">
        <v>15</v>
      </c>
      <c r="E95" s="330">
        <v>133</v>
      </c>
      <c r="F95" s="330">
        <v>23.241044479999999</v>
      </c>
      <c r="G95" s="466">
        <v>24.90568184</v>
      </c>
      <c r="H95" s="331">
        <f>G95-F95</f>
        <v>1.6646373600000004</v>
      </c>
      <c r="J95" s="320"/>
      <c r="K95" s="432"/>
    </row>
    <row r="96" spans="1:11">
      <c r="B96" s="465" t="s">
        <v>353</v>
      </c>
      <c r="C96" s="465" t="s">
        <v>102</v>
      </c>
      <c r="D96" s="332">
        <v>30</v>
      </c>
      <c r="E96" s="333">
        <v>130</v>
      </c>
      <c r="F96" s="333">
        <v>23.233780159999998</v>
      </c>
      <c r="G96" s="333">
        <v>25.52769739</v>
      </c>
      <c r="H96" s="334">
        <f>G96-F96</f>
        <v>2.2939172300000017</v>
      </c>
      <c r="J96" s="320"/>
    </row>
    <row r="97" spans="2:12">
      <c r="B97" s="465"/>
      <c r="C97" s="465"/>
      <c r="D97" s="465"/>
      <c r="E97" s="465"/>
      <c r="F97" s="465"/>
      <c r="G97" s="465"/>
      <c r="H97" s="465"/>
    </row>
    <row r="98" spans="2:12" ht="18.75">
      <c r="B98" s="465"/>
      <c r="C98" s="466"/>
      <c r="D98" s="323" t="s">
        <v>0</v>
      </c>
      <c r="E98" s="324" t="s">
        <v>1</v>
      </c>
      <c r="F98" s="324" t="s">
        <v>49</v>
      </c>
      <c r="G98" s="324" t="s">
        <v>6</v>
      </c>
      <c r="H98" s="325" t="s">
        <v>7</v>
      </c>
      <c r="J98" s="241"/>
    </row>
    <row r="99" spans="2:12">
      <c r="B99" s="465" t="s">
        <v>306</v>
      </c>
      <c r="C99" s="466">
        <v>9.3399999999999997E-2</v>
      </c>
      <c r="D99" s="462">
        <v>20</v>
      </c>
      <c r="E99" s="463">
        <v>100</v>
      </c>
      <c r="F99" s="466">
        <v>23.234618350000002</v>
      </c>
      <c r="G99" s="466">
        <v>28.41393429</v>
      </c>
      <c r="H99" s="328">
        <f>G99-F99</f>
        <v>5.1793159399999986</v>
      </c>
      <c r="J99" s="320"/>
      <c r="L99" s="432"/>
    </row>
    <row r="100" spans="2:12">
      <c r="B100" s="465" t="s">
        <v>375</v>
      </c>
      <c r="C100" s="466">
        <f>0.3*0.8</f>
        <v>0.24</v>
      </c>
      <c r="D100" s="329">
        <v>15</v>
      </c>
      <c r="E100" s="330">
        <v>133</v>
      </c>
      <c r="F100" s="330">
        <v>23.57892833</v>
      </c>
      <c r="G100" s="466">
        <v>29.45144561</v>
      </c>
      <c r="H100" s="331">
        <f>G100-F100</f>
        <v>5.8725172800000003</v>
      </c>
      <c r="J100" s="320"/>
      <c r="K100" s="432"/>
      <c r="L100" s="432"/>
    </row>
    <row r="101" spans="2:12">
      <c r="B101" s="465" t="s">
        <v>353</v>
      </c>
      <c r="C101" s="465" t="s">
        <v>78</v>
      </c>
      <c r="D101" s="329">
        <v>30</v>
      </c>
      <c r="E101" s="330">
        <v>130</v>
      </c>
      <c r="F101" s="330">
        <v>23.232662569999999</v>
      </c>
      <c r="G101" s="330">
        <v>25.96600136</v>
      </c>
      <c r="H101" s="331">
        <f>G101-F101</f>
        <v>2.7333387900000012</v>
      </c>
      <c r="J101" s="320"/>
      <c r="K101" s="432"/>
      <c r="L101" s="432"/>
    </row>
    <row r="102" spans="2:12">
      <c r="B102" s="465"/>
      <c r="C102" s="465"/>
      <c r="D102" s="329">
        <v>26</v>
      </c>
      <c r="E102" s="330">
        <v>100</v>
      </c>
      <c r="F102" s="330">
        <v>23.58675144</v>
      </c>
      <c r="G102" s="330">
        <v>25.630632080000002</v>
      </c>
      <c r="H102" s="331">
        <f>G102-F102</f>
        <v>2.0438806400000011</v>
      </c>
      <c r="J102" s="320"/>
      <c r="K102" s="432"/>
      <c r="L102" s="432"/>
    </row>
    <row r="103" spans="2:12">
      <c r="B103" s="465"/>
      <c r="C103" s="465"/>
      <c r="D103" s="332">
        <v>20</v>
      </c>
      <c r="E103" s="333">
        <v>130</v>
      </c>
      <c r="F103" s="333">
        <v>23.758021668077813</v>
      </c>
      <c r="G103" s="333">
        <v>25.980716260000001</v>
      </c>
      <c r="H103" s="334">
        <f>G103-F103</f>
        <v>2.2226945919221883</v>
      </c>
      <c r="J103" s="320"/>
      <c r="K103" s="432"/>
    </row>
    <row r="104" spans="2:12">
      <c r="B104" s="465"/>
      <c r="C104" s="465"/>
      <c r="D104" s="465"/>
      <c r="E104" s="465"/>
      <c r="F104" s="465"/>
      <c r="G104" s="465"/>
      <c r="H104" s="465"/>
    </row>
    <row r="105" spans="2:12" ht="18.75">
      <c r="B105" s="465"/>
      <c r="C105" s="466"/>
      <c r="D105" s="323" t="s">
        <v>0</v>
      </c>
      <c r="E105" s="324" t="s">
        <v>1</v>
      </c>
      <c r="F105" s="324" t="s">
        <v>49</v>
      </c>
      <c r="G105" s="324" t="s">
        <v>6</v>
      </c>
      <c r="H105" s="325" t="s">
        <v>7</v>
      </c>
      <c r="J105" s="241"/>
    </row>
    <row r="106" spans="2:12">
      <c r="B106" s="465" t="s">
        <v>306</v>
      </c>
      <c r="C106" s="466">
        <v>9.3799999999999994E-2</v>
      </c>
      <c r="D106" s="462">
        <v>20</v>
      </c>
      <c r="E106" s="463">
        <v>100</v>
      </c>
      <c r="F106" s="466">
        <v>23.228099090000001</v>
      </c>
      <c r="G106" s="466">
        <v>28.45349452</v>
      </c>
      <c r="H106" s="328">
        <f>G106-F106</f>
        <v>5.225395429999999</v>
      </c>
      <c r="J106" s="320"/>
      <c r="K106" s="432"/>
      <c r="L106" s="432"/>
    </row>
    <row r="107" spans="2:12">
      <c r="B107" s="465" t="s">
        <v>375</v>
      </c>
      <c r="C107" s="466">
        <f>0.3*0.8</f>
        <v>0.24</v>
      </c>
      <c r="D107" s="329">
        <v>15</v>
      </c>
      <c r="E107" s="330">
        <v>133</v>
      </c>
      <c r="F107" s="330">
        <v>23.28609951</v>
      </c>
      <c r="G107" s="466">
        <v>28.967212079999999</v>
      </c>
      <c r="H107" s="331">
        <f>G107-F107</f>
        <v>5.6811125699999998</v>
      </c>
      <c r="J107" s="320"/>
      <c r="K107" s="432"/>
      <c r="L107" s="432"/>
    </row>
    <row r="108" spans="2:12">
      <c r="B108" s="465" t="s">
        <v>353</v>
      </c>
      <c r="C108" s="465" t="s">
        <v>86</v>
      </c>
      <c r="D108" s="329">
        <v>26</v>
      </c>
      <c r="E108" s="330">
        <v>100</v>
      </c>
      <c r="F108" s="330">
        <v>23.56286455</v>
      </c>
      <c r="G108" s="330">
        <v>25.980623120000001</v>
      </c>
      <c r="H108" s="331">
        <f>G108-F108</f>
        <v>2.4177585700000002</v>
      </c>
      <c r="J108" s="320"/>
    </row>
    <row r="109" spans="2:12">
      <c r="B109" s="465"/>
      <c r="C109" s="465"/>
      <c r="D109" s="332">
        <v>20</v>
      </c>
      <c r="E109" s="333">
        <v>130</v>
      </c>
      <c r="F109" s="333">
        <v>23.750105430000001</v>
      </c>
      <c r="G109" s="333">
        <v>26.300811849999999</v>
      </c>
      <c r="H109" s="334">
        <f>G109-F109</f>
        <v>2.5507064199999974</v>
      </c>
      <c r="J109" s="320"/>
    </row>
    <row r="110" spans="2:12">
      <c r="D110" s="426"/>
    </row>
    <row r="111" spans="2:12">
      <c r="F111" s="461"/>
      <c r="G111" s="461"/>
      <c r="H111" s="461"/>
      <c r="I111" s="461"/>
      <c r="J111" s="461"/>
      <c r="K111" s="461"/>
    </row>
    <row r="112" spans="2:12">
      <c r="F112" s="461"/>
      <c r="G112" s="461"/>
      <c r="H112" s="461"/>
      <c r="I112" s="461"/>
      <c r="J112" s="461"/>
      <c r="K112" s="461"/>
    </row>
    <row r="113" spans="6:12">
      <c r="F113" s="461"/>
      <c r="G113" s="461"/>
      <c r="H113" s="461"/>
      <c r="I113" s="461"/>
      <c r="J113" s="461"/>
      <c r="K113" s="461"/>
    </row>
    <row r="114" spans="6:12">
      <c r="F114" s="461"/>
      <c r="G114" s="461"/>
      <c r="H114" s="461"/>
      <c r="I114" s="461"/>
      <c r="J114" s="461"/>
      <c r="K114" s="461"/>
    </row>
    <row r="115" spans="6:12">
      <c r="F115" s="461"/>
      <c r="G115" s="461"/>
      <c r="H115" s="461"/>
      <c r="I115" s="461"/>
      <c r="J115" s="461"/>
      <c r="K115" s="461"/>
      <c r="L115" s="432"/>
    </row>
    <row r="116" spans="6:12">
      <c r="F116" s="461"/>
      <c r="G116" s="461"/>
      <c r="H116" s="461"/>
      <c r="I116" s="461"/>
      <c r="J116" s="461"/>
      <c r="K116" s="461"/>
      <c r="L116" s="432"/>
    </row>
    <row r="117" spans="6:12">
      <c r="F117" s="461"/>
      <c r="G117" s="461"/>
      <c r="H117" s="461"/>
      <c r="I117" s="461"/>
      <c r="J117" s="461"/>
      <c r="K117" s="461"/>
      <c r="L117" s="432"/>
    </row>
    <row r="118" spans="6:12">
      <c r="F118" s="461"/>
      <c r="G118" s="461"/>
      <c r="H118" s="461"/>
      <c r="I118" s="461"/>
      <c r="J118" s="461"/>
      <c r="K118" s="461"/>
      <c r="L118" s="432"/>
    </row>
    <row r="119" spans="6:12">
      <c r="F119" s="461"/>
      <c r="G119" s="461"/>
      <c r="H119" s="461"/>
      <c r="I119" s="461"/>
      <c r="J119" s="461"/>
      <c r="K119" s="461"/>
      <c r="L119" s="432"/>
    </row>
    <row r="120" spans="6:12">
      <c r="F120" s="461"/>
      <c r="G120" s="461"/>
      <c r="H120" s="461"/>
      <c r="I120" s="461"/>
      <c r="J120" s="461"/>
      <c r="K120" s="461"/>
    </row>
    <row r="121" spans="6:12">
      <c r="F121" s="461"/>
      <c r="G121" s="461"/>
      <c r="H121" s="461"/>
      <c r="I121" s="461"/>
      <c r="J121" s="461"/>
      <c r="K121" s="461"/>
      <c r="L121" s="432"/>
    </row>
    <row r="122" spans="6:12">
      <c r="F122" s="461"/>
      <c r="G122" s="461"/>
      <c r="H122" s="461"/>
      <c r="I122" s="461"/>
      <c r="J122" s="461"/>
      <c r="K122" s="461"/>
    </row>
    <row r="123" spans="6:12">
      <c r="F123" s="461"/>
      <c r="G123" s="461"/>
      <c r="H123" s="461"/>
      <c r="I123" s="461"/>
      <c r="J123" s="461"/>
      <c r="K123" s="461"/>
    </row>
    <row r="124" spans="6:12">
      <c r="F124" s="461"/>
      <c r="G124" s="461"/>
      <c r="H124" s="461"/>
      <c r="I124" s="461"/>
      <c r="J124" s="461"/>
      <c r="K124" s="461"/>
    </row>
    <row r="125" spans="6:12">
      <c r="F125" s="461"/>
      <c r="G125" s="461"/>
      <c r="H125" s="461"/>
      <c r="I125" s="461"/>
      <c r="J125" s="461"/>
      <c r="K125" s="461"/>
    </row>
    <row r="126" spans="6:12">
      <c r="F126" s="461"/>
      <c r="G126" s="461"/>
      <c r="H126" s="461"/>
      <c r="I126" s="461"/>
      <c r="J126" s="461"/>
      <c r="K126" s="461"/>
    </row>
  </sheetData>
  <phoneticPr fontId="1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7"/>
  <sheetViews>
    <sheetView topLeftCell="A83" zoomScaleNormal="100" workbookViewId="0">
      <selection activeCell="A89" sqref="A89:D89"/>
    </sheetView>
  </sheetViews>
  <sheetFormatPr defaultColWidth="9.140625" defaultRowHeight="15"/>
  <cols>
    <col min="1" max="1" width="9.140625" style="13"/>
    <col min="2" max="2" width="15.28515625" style="13" customWidth="1"/>
    <col min="3" max="3" width="10.85546875" style="13" customWidth="1"/>
    <col min="4" max="10" width="9.140625" style="13"/>
    <col min="11" max="11" width="10.42578125" style="13" customWidth="1"/>
    <col min="12" max="12" width="11.85546875" style="13" customWidth="1"/>
    <col min="13" max="20" width="9.140625" style="13"/>
    <col min="21" max="22" width="11.5703125" style="13" customWidth="1"/>
    <col min="23" max="24" width="9.140625" style="13"/>
    <col min="25" max="25" width="12" style="13" customWidth="1"/>
    <col min="26" max="16384" width="9.140625" style="13"/>
  </cols>
  <sheetData>
    <row r="1" spans="1:35">
      <c r="A1" s="471" t="s">
        <v>328</v>
      </c>
      <c r="B1" s="438"/>
      <c r="C1" s="438"/>
      <c r="D1" s="438"/>
      <c r="E1" s="438"/>
      <c r="F1" s="13" t="s">
        <v>297</v>
      </c>
      <c r="K1" s="471" t="s">
        <v>363</v>
      </c>
      <c r="L1" s="438"/>
      <c r="M1" s="438"/>
      <c r="N1" s="438"/>
      <c r="O1" s="438"/>
      <c r="P1" s="438"/>
      <c r="Q1" s="13" t="s">
        <v>297</v>
      </c>
    </row>
    <row r="2" spans="1:35">
      <c r="A2" s="13" t="s">
        <v>329</v>
      </c>
      <c r="K2" s="320" t="s">
        <v>364</v>
      </c>
      <c r="N2" s="241"/>
      <c r="O2" s="242"/>
      <c r="P2" s="243"/>
    </row>
    <row r="3" spans="1:35" ht="16.5">
      <c r="K3" s="452"/>
      <c r="L3" s="320"/>
      <c r="M3" s="488" t="s">
        <v>0</v>
      </c>
      <c r="N3" s="489" t="s">
        <v>1</v>
      </c>
      <c r="O3" s="489" t="s">
        <v>365</v>
      </c>
      <c r="P3" s="489" t="s">
        <v>6</v>
      </c>
      <c r="Q3" s="490" t="s">
        <v>7</v>
      </c>
    </row>
    <row r="4" spans="1:35">
      <c r="A4" s="13" t="s">
        <v>330</v>
      </c>
      <c r="K4" s="466" t="s">
        <v>331</v>
      </c>
      <c r="L4" s="320">
        <f>0.0732-0.002</f>
        <v>7.1199999999999999E-2</v>
      </c>
      <c r="M4" s="462">
        <v>20</v>
      </c>
      <c r="N4" s="463">
        <v>100</v>
      </c>
      <c r="O4" s="413">
        <v>25.58685991685747</v>
      </c>
      <c r="P4" s="413">
        <v>26.994554072293869</v>
      </c>
      <c r="Q4" s="328">
        <f>P4-O4</f>
        <v>1.4076941554363991</v>
      </c>
    </row>
    <row r="5" spans="1:35">
      <c r="K5" s="466" t="s">
        <v>332</v>
      </c>
      <c r="L5" s="320">
        <f>1000*L4/20*4.1</f>
        <v>14.595999999999998</v>
      </c>
      <c r="M5" s="486">
        <v>15</v>
      </c>
      <c r="N5" s="421">
        <v>133</v>
      </c>
      <c r="O5" s="408">
        <v>24.775491641491154</v>
      </c>
      <c r="P5" s="408">
        <v>26.665517787070154</v>
      </c>
      <c r="Q5" s="331">
        <f>P5-O5</f>
        <v>1.8900261455790002</v>
      </c>
      <c r="T5" s="13" t="s">
        <v>19</v>
      </c>
      <c r="V5" s="14">
        <v>42305</v>
      </c>
      <c r="AC5" s="13" t="s">
        <v>15</v>
      </c>
    </row>
    <row r="6" spans="1:35" ht="18.75">
      <c r="C6" s="16"/>
      <c r="D6" s="323" t="s">
        <v>0</v>
      </c>
      <c r="E6" s="324" t="s">
        <v>1</v>
      </c>
      <c r="F6" s="324" t="s">
        <v>49</v>
      </c>
      <c r="G6" s="324" t="s">
        <v>6</v>
      </c>
      <c r="H6" s="325" t="s">
        <v>7</v>
      </c>
      <c r="K6" s="320"/>
      <c r="L6" s="320"/>
      <c r="M6" s="332">
        <v>30</v>
      </c>
      <c r="N6" s="333">
        <v>130</v>
      </c>
      <c r="O6" s="411">
        <v>25.433039652290301</v>
      </c>
      <c r="P6" s="411">
        <v>27.32852636745729</v>
      </c>
      <c r="Q6" s="334">
        <f>P6-O6</f>
        <v>1.8954867151669887</v>
      </c>
      <c r="U6" s="207" t="s">
        <v>0</v>
      </c>
      <c r="V6" s="208" t="s">
        <v>1</v>
      </c>
      <c r="W6" s="208" t="s">
        <v>13</v>
      </c>
      <c r="X6" s="208" t="s">
        <v>6</v>
      </c>
      <c r="Y6" s="209" t="s">
        <v>7</v>
      </c>
      <c r="Z6" s="204"/>
      <c r="AB6" s="14">
        <v>42307</v>
      </c>
      <c r="AD6" s="207" t="s">
        <v>0</v>
      </c>
      <c r="AE6" s="208" t="s">
        <v>1</v>
      </c>
      <c r="AF6" s="208" t="s">
        <v>13</v>
      </c>
      <c r="AG6" s="208" t="s">
        <v>6</v>
      </c>
      <c r="AH6" s="209" t="s">
        <v>7</v>
      </c>
      <c r="AI6" s="204"/>
    </row>
    <row r="7" spans="1:35" ht="16.5">
      <c r="A7" s="13" t="s">
        <v>326</v>
      </c>
      <c r="B7" s="16" t="s">
        <v>331</v>
      </c>
      <c r="C7" s="16">
        <f>0.097-0.026</f>
        <v>7.1000000000000008E-2</v>
      </c>
      <c r="D7" s="326">
        <v>20</v>
      </c>
      <c r="E7" s="327">
        <v>100</v>
      </c>
      <c r="F7" s="320">
        <v>22.565090511148597</v>
      </c>
      <c r="G7" s="320">
        <v>23.760629371442171</v>
      </c>
      <c r="H7" s="356">
        <f t="shared" ref="H7:H13" si="0">G7-F7</f>
        <v>1.1955388602935741</v>
      </c>
      <c r="K7" s="320"/>
      <c r="L7" s="320"/>
      <c r="M7" s="488" t="s">
        <v>0</v>
      </c>
      <c r="N7" s="489" t="s">
        <v>1</v>
      </c>
      <c r="O7" s="489" t="s">
        <v>365</v>
      </c>
      <c r="P7" s="489" t="s">
        <v>6</v>
      </c>
      <c r="Q7" s="490" t="s">
        <v>7</v>
      </c>
      <c r="T7" s="13">
        <f>0.0745</f>
        <v>7.4499999999999997E-2</v>
      </c>
      <c r="U7" s="210">
        <v>20</v>
      </c>
      <c r="V7" s="211">
        <v>100</v>
      </c>
      <c r="W7" s="233">
        <v>24.087057953301557</v>
      </c>
      <c r="X7" s="233">
        <v>25.620387531542029</v>
      </c>
      <c r="Y7" s="212">
        <f t="shared" ref="Y7:Y15" si="1">X7-W7</f>
        <v>1.5333295782404726</v>
      </c>
      <c r="Z7" s="233">
        <f>Y7/T7</f>
        <v>20.581605077053325</v>
      </c>
      <c r="AA7" s="233"/>
      <c r="AC7" s="13">
        <f>0.0893-0.0165</f>
        <v>7.2800000000000004E-2</v>
      </c>
      <c r="AD7" s="210">
        <v>20</v>
      </c>
      <c r="AE7" s="211">
        <v>100</v>
      </c>
      <c r="AF7" s="13">
        <v>25.626720525426894</v>
      </c>
      <c r="AG7" s="13">
        <v>26.999583214496571</v>
      </c>
      <c r="AH7" s="212">
        <f t="shared" ref="AH7:AH11" si="2">AG7-AF7</f>
        <v>1.3728626890696773</v>
      </c>
      <c r="AI7" s="233">
        <f>AH7/AC7</f>
        <v>18.858003970737325</v>
      </c>
    </row>
    <row r="8" spans="1:35" ht="15.75">
      <c r="B8" s="16" t="s">
        <v>332</v>
      </c>
      <c r="C8" s="16">
        <f>1000*C7/20.0096*3.8</f>
        <v>13.483527906604833</v>
      </c>
      <c r="D8" s="329">
        <v>15</v>
      </c>
      <c r="E8" s="330">
        <v>133</v>
      </c>
      <c r="F8" s="330">
        <v>23.068470392732038</v>
      </c>
      <c r="G8" s="330">
        <v>24.772977070389818</v>
      </c>
      <c r="H8" s="46">
        <f t="shared" si="0"/>
        <v>1.7045066776577791</v>
      </c>
      <c r="K8" s="466" t="s">
        <v>331</v>
      </c>
      <c r="L8" s="320">
        <f>0.0712-0.0004</f>
        <v>7.0800000000000002E-2</v>
      </c>
      <c r="M8" s="462">
        <v>20</v>
      </c>
      <c r="N8" s="463">
        <v>100</v>
      </c>
      <c r="O8" s="413">
        <v>24.437048997703148</v>
      </c>
      <c r="P8" s="413">
        <v>25.657523867936401</v>
      </c>
      <c r="Q8" s="328">
        <f>P8-O8</f>
        <v>1.2204748702332537</v>
      </c>
      <c r="S8" s="233"/>
      <c r="T8" s="13">
        <f>1000*T7/20*4</f>
        <v>14.9</v>
      </c>
      <c r="U8" s="234">
        <v>20</v>
      </c>
      <c r="V8" s="235">
        <v>130</v>
      </c>
      <c r="W8" s="233">
        <v>23.230986191689137</v>
      </c>
      <c r="X8" s="233">
        <v>25.442225512398799</v>
      </c>
      <c r="Y8" s="213">
        <f t="shared" si="1"/>
        <v>2.2112393207096623</v>
      </c>
      <c r="Z8" s="233">
        <f>Y8/T7</f>
        <v>29.681064707512249</v>
      </c>
      <c r="AA8" s="233"/>
      <c r="AC8" s="13">
        <f>1000*AC7/20*3.8</f>
        <v>13.831999999999999</v>
      </c>
      <c r="AD8" s="234">
        <v>20</v>
      </c>
      <c r="AE8" s="235">
        <v>130</v>
      </c>
      <c r="AF8" s="13">
        <v>24.777819948066472</v>
      </c>
      <c r="AG8" s="13">
        <v>26.322139133342443</v>
      </c>
      <c r="AH8" s="213">
        <f t="shared" si="2"/>
        <v>1.5443191852759703</v>
      </c>
      <c r="AI8" s="233">
        <f>AH8/AC7</f>
        <v>21.213175621922669</v>
      </c>
    </row>
    <row r="9" spans="1:35" ht="15.75">
      <c r="C9" s="16"/>
      <c r="D9" s="329">
        <v>30</v>
      </c>
      <c r="E9" s="330">
        <v>130</v>
      </c>
      <c r="F9" s="330">
        <v>22.895523780317529</v>
      </c>
      <c r="G9" s="330">
        <v>24.771486954181604</v>
      </c>
      <c r="H9" s="46">
        <f t="shared" si="0"/>
        <v>1.8759631738640756</v>
      </c>
      <c r="K9" s="466" t="s">
        <v>332</v>
      </c>
      <c r="L9" s="320">
        <f>1000*L8/20*4.1</f>
        <v>14.513999999999999</v>
      </c>
      <c r="M9" s="486">
        <v>15</v>
      </c>
      <c r="N9" s="421">
        <v>133</v>
      </c>
      <c r="O9" s="408">
        <v>25.6347299</v>
      </c>
      <c r="P9" s="408">
        <v>27.3655112871832</v>
      </c>
      <c r="Q9" s="331">
        <f>P9-O9</f>
        <v>1.7307813871831996</v>
      </c>
      <c r="S9" s="233"/>
      <c r="U9" s="234">
        <v>30</v>
      </c>
      <c r="V9" s="235">
        <v>130</v>
      </c>
      <c r="W9" s="236">
        <v>23.226795239853566</v>
      </c>
      <c r="X9" s="236">
        <v>25.613495744079103</v>
      </c>
      <c r="Y9" s="213">
        <f t="shared" si="1"/>
        <v>2.3867005042255371</v>
      </c>
      <c r="Z9" s="233">
        <f>Y9/T7</f>
        <v>32.036248378866269</v>
      </c>
      <c r="AA9" s="13">
        <f>Z9*0.07</f>
        <v>2.2425373865206391</v>
      </c>
      <c r="AD9" s="234">
        <v>30</v>
      </c>
      <c r="AE9" s="235">
        <v>130</v>
      </c>
      <c r="AF9" s="15">
        <v>25.127904124731099</v>
      </c>
      <c r="AG9" s="15">
        <v>27.004519224436248</v>
      </c>
      <c r="AH9" s="213">
        <f t="shared" si="2"/>
        <v>1.8766150997051483</v>
      </c>
      <c r="AI9" s="233">
        <f>AH9/AC7</f>
        <v>25.777679941004784</v>
      </c>
    </row>
    <row r="10" spans="1:35">
      <c r="A10" s="13" t="s">
        <v>325</v>
      </c>
      <c r="B10" s="16" t="s">
        <v>331</v>
      </c>
      <c r="C10" s="491">
        <f>0.0849-0.0057</f>
        <v>7.9200000000000007E-2</v>
      </c>
      <c r="D10" s="477">
        <v>20</v>
      </c>
      <c r="E10" s="492">
        <v>100</v>
      </c>
      <c r="F10" s="492">
        <v>24.086312895197448</v>
      </c>
      <c r="G10" s="492">
        <v>25.554449889329057</v>
      </c>
      <c r="H10" s="493">
        <f t="shared" si="0"/>
        <v>1.4681369941316085</v>
      </c>
      <c r="K10" s="320"/>
      <c r="L10" s="320"/>
      <c r="M10" s="332">
        <v>30</v>
      </c>
      <c r="N10" s="333">
        <v>130</v>
      </c>
      <c r="O10" s="411">
        <v>25.976339040776448</v>
      </c>
      <c r="P10" s="411">
        <v>27.891429176415699</v>
      </c>
      <c r="Q10" s="334">
        <f>P10-O10</f>
        <v>1.9150901356392502</v>
      </c>
      <c r="S10" s="233"/>
      <c r="T10" s="237">
        <f>0.0825-0.0074</f>
        <v>7.51E-2</v>
      </c>
      <c r="U10" s="214">
        <v>20</v>
      </c>
      <c r="V10" s="215">
        <v>100</v>
      </c>
      <c r="W10" s="233">
        <v>23.672153721580141</v>
      </c>
      <c r="X10" s="233">
        <v>25.450700548332961</v>
      </c>
      <c r="Y10" s="216">
        <f t="shared" si="1"/>
        <v>1.7785468267528195</v>
      </c>
      <c r="Z10" s="233">
        <f>Y10/T10</f>
        <v>23.682381181795201</v>
      </c>
      <c r="AA10" s="228">
        <v>22.567882145768735</v>
      </c>
      <c r="AB10" s="13">
        <f>AA10*0.07</f>
        <v>1.5797517502038116</v>
      </c>
      <c r="AC10" s="237">
        <f>0.1378-0.0556</f>
        <v>8.2200000000000009E-2</v>
      </c>
      <c r="AD10" s="214">
        <v>20</v>
      </c>
      <c r="AE10" s="215">
        <v>100</v>
      </c>
      <c r="AF10" s="13">
        <v>25.977456627932593</v>
      </c>
      <c r="AG10" s="13">
        <v>27.338770916388683</v>
      </c>
      <c r="AH10" s="216">
        <f t="shared" si="2"/>
        <v>1.3613142884560894</v>
      </c>
      <c r="AI10" s="233">
        <f>AH10/AC10</f>
        <v>16.561001076108141</v>
      </c>
    </row>
    <row r="11" spans="1:35" ht="16.5">
      <c r="B11" s="16" t="s">
        <v>332</v>
      </c>
      <c r="C11" s="16">
        <f>1000*C10/20.0096*3.8</f>
        <v>15.040780425395811</v>
      </c>
      <c r="D11" s="422">
        <v>15</v>
      </c>
      <c r="E11" s="423">
        <v>133</v>
      </c>
      <c r="F11" s="423">
        <v>23.577438210096243</v>
      </c>
      <c r="G11" s="423">
        <v>25.630166419158357</v>
      </c>
      <c r="H11" s="494">
        <f t="shared" si="0"/>
        <v>2.0527282090621135</v>
      </c>
      <c r="K11" s="320"/>
      <c r="L11" s="320"/>
      <c r="M11" s="488" t="s">
        <v>0</v>
      </c>
      <c r="N11" s="489" t="s">
        <v>1</v>
      </c>
      <c r="O11" s="489" t="s">
        <v>365</v>
      </c>
      <c r="P11" s="489" t="s">
        <v>6</v>
      </c>
      <c r="Q11" s="490" t="s">
        <v>7</v>
      </c>
      <c r="R11" s="228"/>
      <c r="T11" s="13">
        <f>1000*T10/20*4</f>
        <v>15.02</v>
      </c>
      <c r="U11" s="219">
        <v>20</v>
      </c>
      <c r="V11" s="220">
        <v>130</v>
      </c>
      <c r="W11" s="236">
        <v>24.08687168877551</v>
      </c>
      <c r="X11" s="236">
        <v>26.285351889452443</v>
      </c>
      <c r="Y11" s="217">
        <f t="shared" si="1"/>
        <v>2.1984802006769328</v>
      </c>
      <c r="Z11" s="233">
        <f>Y11/T10</f>
        <v>29.27403729263559</v>
      </c>
      <c r="AA11" s="228">
        <v>29.494840065777211</v>
      </c>
      <c r="AB11" s="13">
        <f>AA11*0.07</f>
        <v>2.0646388046044049</v>
      </c>
      <c r="AC11" s="13">
        <f>1000*AC10/20*3.8</f>
        <v>15.618</v>
      </c>
      <c r="AD11" s="219">
        <v>20</v>
      </c>
      <c r="AE11" s="220">
        <v>130</v>
      </c>
      <c r="AF11" s="15">
        <v>26.222115082866853</v>
      </c>
      <c r="AG11" s="15">
        <v>27.773791716920844</v>
      </c>
      <c r="AH11" s="217">
        <f t="shared" si="2"/>
        <v>1.5516766340539903</v>
      </c>
      <c r="AI11" s="233">
        <f>AH11/AC10</f>
        <v>18.876844696520561</v>
      </c>
    </row>
    <row r="12" spans="1:35">
      <c r="A12" s="13" t="s">
        <v>333</v>
      </c>
      <c r="B12" s="16" t="s">
        <v>331</v>
      </c>
      <c r="C12" s="491">
        <f>0.1094-0.0456</f>
        <v>6.3799999999999996E-2</v>
      </c>
      <c r="D12" s="477">
        <v>20</v>
      </c>
      <c r="E12" s="492">
        <v>100</v>
      </c>
      <c r="F12" s="492">
        <v>23.663399290000001</v>
      </c>
      <c r="G12" s="492">
        <v>24.779403200000001</v>
      </c>
      <c r="H12" s="493">
        <f t="shared" si="0"/>
        <v>1.1160039099999999</v>
      </c>
      <c r="K12" s="466" t="s">
        <v>331</v>
      </c>
      <c r="L12" s="320">
        <f>0.0789-0.0057</f>
        <v>7.3200000000000001E-2</v>
      </c>
      <c r="M12" s="462">
        <v>20</v>
      </c>
      <c r="N12" s="463">
        <v>100</v>
      </c>
      <c r="O12" s="413">
        <v>25.119056559744859</v>
      </c>
      <c r="P12" s="413">
        <v>26.352418530000001</v>
      </c>
      <c r="Q12" s="328">
        <f>P12-O12</f>
        <v>1.2333619702551424</v>
      </c>
      <c r="R12" s="228"/>
      <c r="T12" s="237">
        <f>0.0772-0.0036</f>
        <v>7.3599999999999999E-2</v>
      </c>
      <c r="U12" s="214">
        <v>20</v>
      </c>
      <c r="V12" s="215">
        <v>100</v>
      </c>
      <c r="W12" s="233">
        <v>23.743213638258784</v>
      </c>
      <c r="X12" s="233">
        <v>25.451166209648026</v>
      </c>
      <c r="Y12" s="216">
        <f t="shared" si="1"/>
        <v>1.7079525713892423</v>
      </c>
      <c r="Z12" s="233">
        <f>Y12/T12</f>
        <v>23.205877328658183</v>
      </c>
    </row>
    <row r="13" spans="1:35">
      <c r="B13" s="16" t="s">
        <v>332</v>
      </c>
      <c r="C13" s="16">
        <f>1000*C12/20.0096*3.8</f>
        <v>12.116184231568846</v>
      </c>
      <c r="D13" s="422">
        <v>15</v>
      </c>
      <c r="E13" s="423">
        <v>133</v>
      </c>
      <c r="F13" s="423">
        <v>23.757276610000002</v>
      </c>
      <c r="G13" s="423">
        <v>25.450793680595986</v>
      </c>
      <c r="H13" s="494">
        <f t="shared" si="0"/>
        <v>1.6935170705959841</v>
      </c>
      <c r="K13" s="466" t="s">
        <v>332</v>
      </c>
      <c r="L13" s="320">
        <f>1000*L12/20*4.1</f>
        <v>15.005999999999998</v>
      </c>
      <c r="M13" s="486">
        <v>15</v>
      </c>
      <c r="N13" s="421">
        <v>133</v>
      </c>
      <c r="O13" s="408">
        <v>25.6796918022449</v>
      </c>
      <c r="P13" s="408">
        <v>27.5392029577019</v>
      </c>
      <c r="Q13" s="331">
        <f>P13-O13</f>
        <v>1.8595111554569996</v>
      </c>
      <c r="T13" s="13">
        <f>1000*T12/20*4</f>
        <v>14.719999999999999</v>
      </c>
      <c r="U13" s="219">
        <v>20</v>
      </c>
      <c r="V13" s="220">
        <v>130</v>
      </c>
      <c r="W13" s="236">
        <v>23.902283543484415</v>
      </c>
      <c r="X13" s="236">
        <v>26.04609510577292</v>
      </c>
      <c r="Y13" s="217">
        <f t="shared" si="1"/>
        <v>2.143811562288505</v>
      </c>
      <c r="Z13" s="233">
        <f>Y13/T12</f>
        <v>29.127874487615557</v>
      </c>
    </row>
    <row r="14" spans="1:35">
      <c r="A14" s="13" t="s">
        <v>334</v>
      </c>
      <c r="B14" s="16" t="s">
        <v>331</v>
      </c>
      <c r="C14" s="16">
        <v>7.9500000000000015E-2</v>
      </c>
      <c r="D14" s="477">
        <v>20</v>
      </c>
      <c r="E14" s="492">
        <v>100</v>
      </c>
      <c r="F14" s="492">
        <v>24.41805001604855</v>
      </c>
      <c r="G14" s="492">
        <v>25.836920043046469</v>
      </c>
      <c r="H14" s="493">
        <v>1.4188700269979186</v>
      </c>
      <c r="K14" s="320"/>
      <c r="L14" s="320"/>
      <c r="M14" s="332">
        <v>30</v>
      </c>
      <c r="N14" s="333">
        <v>130</v>
      </c>
      <c r="O14" s="411">
        <v>25.637337603410327</v>
      </c>
      <c r="P14" s="411">
        <v>27.513253904178999</v>
      </c>
      <c r="Q14" s="334">
        <f>P14-O14</f>
        <v>1.8759163007686723</v>
      </c>
      <c r="T14" s="13">
        <f>0.0937-0.0234</f>
        <v>7.0300000000000001E-2</v>
      </c>
      <c r="U14" s="214">
        <v>20</v>
      </c>
      <c r="V14" s="215">
        <v>100</v>
      </c>
      <c r="W14" s="233">
        <v>23.508648929515399</v>
      </c>
      <c r="X14" s="233">
        <v>25.111605978703846</v>
      </c>
      <c r="Y14" s="216">
        <f t="shared" si="1"/>
        <v>1.6029570491884471</v>
      </c>
      <c r="Z14" s="233">
        <f>Y14/T14</f>
        <v>22.801664995568238</v>
      </c>
    </row>
    <row r="15" spans="1:35" ht="16.5">
      <c r="B15" s="16" t="s">
        <v>332</v>
      </c>
      <c r="C15" s="16">
        <f>1000*C14/20.0096*3.8</f>
        <v>15.097753078522311</v>
      </c>
      <c r="D15" s="422">
        <v>15</v>
      </c>
      <c r="E15" s="423">
        <v>133</v>
      </c>
      <c r="F15" s="423">
        <v>23.745541944834098</v>
      </c>
      <c r="G15" s="423">
        <v>25.626161731848807</v>
      </c>
      <c r="H15" s="494">
        <v>1.8806197870147088</v>
      </c>
      <c r="K15" s="320"/>
      <c r="L15" s="320"/>
      <c r="M15" s="488" t="s">
        <v>0</v>
      </c>
      <c r="N15" s="489" t="s">
        <v>1</v>
      </c>
      <c r="O15" s="489" t="s">
        <v>365</v>
      </c>
      <c r="P15" s="489" t="s">
        <v>6</v>
      </c>
      <c r="Q15" s="490" t="s">
        <v>7</v>
      </c>
      <c r="T15" s="13">
        <f>1000*T14/20*3.8</f>
        <v>13.356999999999998</v>
      </c>
      <c r="U15" s="219">
        <v>20</v>
      </c>
      <c r="V15" s="220">
        <v>130</v>
      </c>
      <c r="W15" s="236">
        <v>23.866427622224542</v>
      </c>
      <c r="X15" s="236">
        <v>25.968143401631327</v>
      </c>
      <c r="Y15" s="217">
        <f t="shared" si="1"/>
        <v>2.1017157794067849</v>
      </c>
      <c r="Z15" s="233">
        <f>Y15/T14</f>
        <v>29.896383775345445</v>
      </c>
    </row>
    <row r="16" spans="1:35">
      <c r="H16" s="233"/>
      <c r="K16" s="466" t="s">
        <v>331</v>
      </c>
      <c r="L16" s="320">
        <f>0.0997-0.0274</f>
        <v>7.2300000000000003E-2</v>
      </c>
      <c r="M16" s="462">
        <v>20</v>
      </c>
      <c r="N16" s="463">
        <v>100</v>
      </c>
      <c r="O16" s="413">
        <v>25.466160503993073</v>
      </c>
      <c r="P16" s="413">
        <v>26.697939225908499</v>
      </c>
      <c r="Q16" s="328">
        <f>P16-O16</f>
        <v>1.2317787219154255</v>
      </c>
    </row>
    <row r="17" spans="1:35">
      <c r="K17" s="466" t="s">
        <v>332</v>
      </c>
      <c r="L17" s="320">
        <f>1000*L16/20*4.1</f>
        <v>14.821499999999999</v>
      </c>
      <c r="M17" s="486">
        <v>15</v>
      </c>
      <c r="N17" s="421">
        <v>133</v>
      </c>
      <c r="O17" s="408">
        <v>25.537989529251401</v>
      </c>
      <c r="P17" s="408">
        <v>27.373055000487302</v>
      </c>
      <c r="Q17" s="331">
        <f>P17-O17</f>
        <v>1.8350654712359002</v>
      </c>
      <c r="U17" s="13" t="s">
        <v>14</v>
      </c>
      <c r="W17" s="13">
        <f>0.07/20.1*8.2</f>
        <v>2.8557213930348258E-2</v>
      </c>
    </row>
    <row r="18" spans="1:35" ht="18.75">
      <c r="A18" s="471" t="s">
        <v>339</v>
      </c>
      <c r="B18" s="438"/>
      <c r="C18" s="438"/>
      <c r="D18" s="438"/>
      <c r="E18" s="13" t="s">
        <v>297</v>
      </c>
      <c r="K18" s="320"/>
      <c r="L18" s="320"/>
      <c r="M18" s="332">
        <v>30</v>
      </c>
      <c r="N18" s="333">
        <v>130</v>
      </c>
      <c r="O18" s="411">
        <v>25.958015421510702</v>
      </c>
      <c r="P18" s="411">
        <v>27.839915623659834</v>
      </c>
      <c r="Q18" s="334">
        <f>P18-O18</f>
        <v>1.8819002021491329</v>
      </c>
      <c r="T18" s="14">
        <v>42320</v>
      </c>
      <c r="U18" s="207" t="s">
        <v>0</v>
      </c>
      <c r="V18" s="208" t="s">
        <v>1</v>
      </c>
      <c r="W18" s="208" t="s">
        <v>13</v>
      </c>
      <c r="X18" s="208" t="s">
        <v>6</v>
      </c>
      <c r="Y18" s="209" t="s">
        <v>7</v>
      </c>
      <c r="Z18" s="204"/>
      <c r="AD18" s="13" t="s">
        <v>16</v>
      </c>
      <c r="AF18" s="229" t="s">
        <v>12</v>
      </c>
      <c r="AG18" s="228">
        <f>AC21/AC20</f>
        <v>200</v>
      </c>
    </row>
    <row r="19" spans="1:35" ht="18.75">
      <c r="A19" s="13" t="s">
        <v>338</v>
      </c>
      <c r="K19" s="320"/>
      <c r="L19" s="320"/>
      <c r="M19" s="488" t="s">
        <v>0</v>
      </c>
      <c r="N19" s="489" t="s">
        <v>1</v>
      </c>
      <c r="O19" s="489" t="s">
        <v>365</v>
      </c>
      <c r="P19" s="489" t="s">
        <v>6</v>
      </c>
      <c r="Q19" s="490" t="s">
        <v>7</v>
      </c>
      <c r="T19" s="13">
        <f>0.0813-0.0109</f>
        <v>7.039999999999999E-2</v>
      </c>
      <c r="U19" s="310">
        <v>20</v>
      </c>
      <c r="V19" s="311">
        <v>100</v>
      </c>
      <c r="W19" s="233">
        <v>23.754110109999999</v>
      </c>
      <c r="X19" s="233">
        <v>25.357406071269899</v>
      </c>
      <c r="Y19" s="216">
        <f t="shared" ref="Y19:Y27" si="3">X19-W19</f>
        <v>1.6032959612699003</v>
      </c>
      <c r="Z19" s="233">
        <f>Y19/T19</f>
        <v>22.774090358947451</v>
      </c>
      <c r="AA19" s="13">
        <f>Z19*0.07</f>
        <v>1.5941863251263217</v>
      </c>
      <c r="AD19" s="207" t="s">
        <v>0</v>
      </c>
      <c r="AE19" s="208" t="s">
        <v>1</v>
      </c>
      <c r="AF19" s="208" t="s">
        <v>13</v>
      </c>
      <c r="AG19" s="208" t="s">
        <v>6</v>
      </c>
      <c r="AH19" s="209" t="s">
        <v>7</v>
      </c>
      <c r="AI19" s="204"/>
    </row>
    <row r="20" spans="1:35" ht="18.75">
      <c r="D20" s="323" t="s">
        <v>0</v>
      </c>
      <c r="E20" s="324" t="s">
        <v>1</v>
      </c>
      <c r="F20" s="324" t="s">
        <v>49</v>
      </c>
      <c r="G20" s="324" t="s">
        <v>6</v>
      </c>
      <c r="H20" s="325" t="s">
        <v>7</v>
      </c>
      <c r="K20" s="466" t="s">
        <v>331</v>
      </c>
      <c r="L20" s="320">
        <f>0.0992-0.0268</f>
        <v>7.2399999999999992E-2</v>
      </c>
      <c r="M20" s="462">
        <v>20</v>
      </c>
      <c r="N20" s="463">
        <v>100</v>
      </c>
      <c r="O20" s="413">
        <v>24.724094657546001</v>
      </c>
      <c r="P20" s="413">
        <v>25.989936351176279</v>
      </c>
      <c r="Q20" s="328">
        <f>P20-O20</f>
        <v>1.2658416936302785</v>
      </c>
      <c r="R20" s="228"/>
      <c r="T20" s="13">
        <f>1000*T19/20*8.2</f>
        <v>28.863999999999994</v>
      </c>
      <c r="U20" s="234">
        <v>20</v>
      </c>
      <c r="V20" s="235">
        <v>130</v>
      </c>
      <c r="W20" s="313">
        <v>23.887430482353601</v>
      </c>
      <c r="X20" s="312">
        <v>25.9177798281777</v>
      </c>
      <c r="Y20" s="300">
        <f t="shared" si="3"/>
        <v>2.0303493458240993</v>
      </c>
      <c r="Z20" s="233">
        <f>Y20/T19</f>
        <v>28.840189571365052</v>
      </c>
      <c r="AA20" s="13">
        <f>Z20*0.07</f>
        <v>2.0188132699955537</v>
      </c>
      <c r="AC20" s="13">
        <f>0.1111-0.0256</f>
        <v>8.5500000000000007E-2</v>
      </c>
      <c r="AD20" s="210">
        <v>20</v>
      </c>
      <c r="AE20" s="211">
        <v>100</v>
      </c>
      <c r="AF20" s="13">
        <v>25.291258114055289</v>
      </c>
      <c r="AG20" s="13">
        <v>26.322325397868489</v>
      </c>
      <c r="AH20" s="212">
        <f>AG20-AF20</f>
        <v>1.0310672838132007</v>
      </c>
      <c r="AI20" s="233">
        <f>AH20/AC20</f>
        <v>12.059266477347375</v>
      </c>
    </row>
    <row r="21" spans="1:35" ht="15.75">
      <c r="B21" s="16" t="s">
        <v>331</v>
      </c>
      <c r="C21" s="13">
        <f>0.1017-0.0085</f>
        <v>9.3200000000000005E-2</v>
      </c>
      <c r="D21" s="326">
        <v>20</v>
      </c>
      <c r="E21" s="327">
        <v>100</v>
      </c>
      <c r="F21" s="492">
        <v>22.889283918695686</v>
      </c>
      <c r="G21" s="492">
        <v>24.766644076504953</v>
      </c>
      <c r="H21" s="356">
        <f t="shared" ref="H21:H33" si="4">G21-F21</f>
        <v>1.8773601578092673</v>
      </c>
      <c r="K21" s="466" t="s">
        <v>332</v>
      </c>
      <c r="L21" s="320">
        <f>1000*L20/20*4.1</f>
        <v>14.841999999999997</v>
      </c>
      <c r="M21" s="486">
        <v>15</v>
      </c>
      <c r="N21" s="421">
        <v>133</v>
      </c>
      <c r="O21" s="408">
        <v>26.1198108267671</v>
      </c>
      <c r="P21" s="408">
        <v>27.810578960810844</v>
      </c>
      <c r="Q21" s="331">
        <f>P21-O21</f>
        <v>1.6907681340437435</v>
      </c>
      <c r="R21" s="228"/>
      <c r="U21" s="234">
        <v>30</v>
      </c>
      <c r="V21" s="235">
        <v>130</v>
      </c>
      <c r="W21" s="12">
        <v>22.839419265950902</v>
      </c>
      <c r="X21" s="12">
        <v>25.286294984000602</v>
      </c>
      <c r="Y21" s="300">
        <f t="shared" si="3"/>
        <v>2.4468757180497001</v>
      </c>
      <c r="Z21" s="233">
        <f>Y21/T19</f>
        <v>34.756757358660515</v>
      </c>
      <c r="AA21" s="13">
        <f>Z21*0.07</f>
        <v>2.4329730151062363</v>
      </c>
      <c r="AC21" s="13">
        <f>1000*AC20/20*4</f>
        <v>17.100000000000001</v>
      </c>
      <c r="AD21" s="234">
        <v>20</v>
      </c>
      <c r="AE21" s="235">
        <v>130</v>
      </c>
      <c r="AF21" s="13">
        <v>25.634077974204885</v>
      </c>
      <c r="AG21" s="13">
        <v>27.079863225213479</v>
      </c>
      <c r="AH21" s="213">
        <f>AG21-AF21</f>
        <v>1.4457852510085942</v>
      </c>
      <c r="AI21" s="233">
        <f>AH21/AC20</f>
        <v>16.909769017644376</v>
      </c>
    </row>
    <row r="22" spans="1:35" ht="15.75">
      <c r="B22" s="16" t="s">
        <v>332</v>
      </c>
      <c r="C22" s="16">
        <f>1000*C21/20.0096*7.9</f>
        <v>36.796337757876223</v>
      </c>
      <c r="D22" s="329">
        <v>15</v>
      </c>
      <c r="E22" s="330">
        <v>133</v>
      </c>
      <c r="F22" s="330">
        <v>23.786240743770655</v>
      </c>
      <c r="G22" s="330">
        <v>26.2476363925717</v>
      </c>
      <c r="H22" s="46">
        <f t="shared" si="4"/>
        <v>2.4613956488010444</v>
      </c>
      <c r="K22" s="320"/>
      <c r="L22" s="320"/>
      <c r="M22" s="332">
        <v>30</v>
      </c>
      <c r="N22" s="333">
        <v>130</v>
      </c>
      <c r="O22" s="411">
        <v>25.975407718146322</v>
      </c>
      <c r="P22" s="411">
        <v>27.849694511276162</v>
      </c>
      <c r="Q22" s="334">
        <f>P22-O22</f>
        <v>1.8742867931298406</v>
      </c>
      <c r="T22" s="237">
        <f>0.0811-0.0092</f>
        <v>7.1900000000000006E-2</v>
      </c>
      <c r="U22" s="310">
        <v>20</v>
      </c>
      <c r="V22" s="311">
        <v>100</v>
      </c>
      <c r="W22" s="13">
        <v>24.255534217091451</v>
      </c>
      <c r="X22" s="13">
        <v>25.450793680595986</v>
      </c>
      <c r="Y22" s="216">
        <f t="shared" si="3"/>
        <v>1.1952594635045344</v>
      </c>
      <c r="Z22" s="233">
        <f>Y22/T22</f>
        <v>16.623914652357918</v>
      </c>
      <c r="AD22" s="234">
        <v>30</v>
      </c>
      <c r="AE22" s="235">
        <v>130</v>
      </c>
      <c r="AF22" s="15">
        <v>25.983323960502396</v>
      </c>
      <c r="AG22" s="15">
        <v>27.520658226052419</v>
      </c>
      <c r="AH22" s="213">
        <f>AG22-AF22</f>
        <v>1.5373342655500224</v>
      </c>
      <c r="AI22" s="233">
        <f>AH22/AC20</f>
        <v>17.980517725731254</v>
      </c>
    </row>
    <row r="23" spans="1:35" ht="15.75">
      <c r="D23" s="329">
        <v>30</v>
      </c>
      <c r="E23" s="330">
        <v>130</v>
      </c>
      <c r="F23" s="333">
        <v>23.739860876790342</v>
      </c>
      <c r="G23" s="333">
        <v>26.635436066117059</v>
      </c>
      <c r="H23" s="46">
        <f t="shared" si="4"/>
        <v>2.895575189326717</v>
      </c>
      <c r="T23" s="13">
        <f>1000*T22/20*8.2</f>
        <v>29.478999999999999</v>
      </c>
      <c r="U23" s="234">
        <v>20</v>
      </c>
      <c r="V23" s="235">
        <v>130</v>
      </c>
      <c r="W23" s="314">
        <v>23.763050810280486</v>
      </c>
      <c r="X23" s="314">
        <v>24.772045747759691</v>
      </c>
      <c r="Y23" s="300">
        <f t="shared" si="3"/>
        <v>1.0089949374792049</v>
      </c>
      <c r="Z23" s="233">
        <f>Y23/T22</f>
        <v>14.033309283438175</v>
      </c>
      <c r="AC23" s="237">
        <f>0.0855-0.0027</f>
        <v>8.2800000000000012E-2</v>
      </c>
      <c r="AD23" s="210">
        <v>20</v>
      </c>
      <c r="AE23" s="211">
        <v>100</v>
      </c>
      <c r="AF23" s="13">
        <v>26.314409155512415</v>
      </c>
      <c r="AG23" s="13">
        <v>27.342682471435211</v>
      </c>
      <c r="AH23" s="212">
        <f t="shared" ref="AH23:AH25" si="5">AG23-AF23</f>
        <v>1.0282733159227959</v>
      </c>
      <c r="AI23" s="233">
        <f>AH23/AC23</f>
        <v>12.418759854140045</v>
      </c>
    </row>
    <row r="24" spans="1:35" ht="15.75">
      <c r="B24" s="16" t="s">
        <v>331</v>
      </c>
      <c r="C24" s="237">
        <f>0.1183-0.0174</f>
        <v>0.1009</v>
      </c>
      <c r="D24" s="477">
        <v>20</v>
      </c>
      <c r="E24" s="492">
        <v>100</v>
      </c>
      <c r="F24" s="492">
        <v>23.747125193305337</v>
      </c>
      <c r="G24" s="492">
        <v>25.449489828913791</v>
      </c>
      <c r="H24" s="493">
        <f t="shared" si="4"/>
        <v>1.7023646356084541</v>
      </c>
      <c r="U24" s="234">
        <v>30</v>
      </c>
      <c r="V24" s="235">
        <v>130</v>
      </c>
      <c r="W24" s="12">
        <v>23.83941926595087</v>
      </c>
      <c r="X24" s="12">
        <v>24.786294984000634</v>
      </c>
      <c r="Y24" s="301">
        <f t="shared" si="3"/>
        <v>0.946875718049764</v>
      </c>
      <c r="Z24" s="233">
        <f>Y24/T22</f>
        <v>13.169342392903532</v>
      </c>
      <c r="AC24" s="13">
        <f>1000*AC23/20*4</f>
        <v>16.560000000000002</v>
      </c>
      <c r="AD24" s="234">
        <v>20</v>
      </c>
      <c r="AE24" s="235">
        <v>130</v>
      </c>
      <c r="AF24" s="13">
        <v>26.319345165452063</v>
      </c>
      <c r="AG24" s="13">
        <v>27.860684118311664</v>
      </c>
      <c r="AH24" s="213">
        <f t="shared" si="5"/>
        <v>1.5413389528596007</v>
      </c>
      <c r="AI24" s="233">
        <f>AH24/AC23</f>
        <v>18.615204744681165</v>
      </c>
    </row>
    <row r="25" spans="1:35" ht="15.75">
      <c r="B25" s="16" t="s">
        <v>332</v>
      </c>
      <c r="C25" s="16">
        <f>1000*C24/20.0096*7.9</f>
        <v>39.836378538301624</v>
      </c>
      <c r="D25" s="422">
        <v>15</v>
      </c>
      <c r="E25" s="423">
        <v>133</v>
      </c>
      <c r="F25" s="333">
        <v>24.089386259876871</v>
      </c>
      <c r="G25" s="333">
        <v>26.293268131808517</v>
      </c>
      <c r="H25" s="494">
        <f t="shared" si="4"/>
        <v>2.203881871931646</v>
      </c>
      <c r="T25" s="13">
        <f>0.0757-0.0038</f>
        <v>7.1900000000000006E-2</v>
      </c>
      <c r="U25" s="310">
        <v>20</v>
      </c>
      <c r="V25" s="311">
        <v>100</v>
      </c>
      <c r="W25" s="317">
        <v>24.25469602672435</v>
      </c>
      <c r="X25" s="316">
        <v>25.446230199708349</v>
      </c>
      <c r="Y25" s="300">
        <f t="shared" si="3"/>
        <v>1.1915341729839994</v>
      </c>
      <c r="Z25" s="233">
        <f>Y25/T25</f>
        <v>16.572102544979128</v>
      </c>
      <c r="AD25" s="239">
        <v>30</v>
      </c>
      <c r="AE25" s="238">
        <v>13</v>
      </c>
      <c r="AF25" s="15">
        <v>26.660581777130478</v>
      </c>
      <c r="AG25" s="15">
        <v>28.534216644419235</v>
      </c>
      <c r="AH25" s="222">
        <f t="shared" si="5"/>
        <v>1.8736348672887573</v>
      </c>
      <c r="AI25" s="233">
        <f>AH25/AC23</f>
        <v>22.628440426192718</v>
      </c>
    </row>
    <row r="26" spans="1:35">
      <c r="B26" s="16" t="s">
        <v>331</v>
      </c>
      <c r="C26" s="237">
        <f>0.1222-0.0214</f>
        <v>0.1008</v>
      </c>
      <c r="D26" s="477">
        <v>20</v>
      </c>
      <c r="E26" s="492">
        <v>100</v>
      </c>
      <c r="F26" s="492">
        <v>23.7565315518696</v>
      </c>
      <c r="G26" s="492">
        <v>25.633426048363802</v>
      </c>
      <c r="H26" s="493">
        <f t="shared" si="4"/>
        <v>1.8768944964942023</v>
      </c>
      <c r="U26" s="234">
        <v>20</v>
      </c>
      <c r="V26" s="235">
        <v>130</v>
      </c>
      <c r="W26" s="319">
        <v>24.593511199564421</v>
      </c>
      <c r="X26" s="318">
        <v>25.959668365697201</v>
      </c>
      <c r="Y26" s="300">
        <f t="shared" si="3"/>
        <v>1.3661571661327798</v>
      </c>
      <c r="Z26" s="233">
        <f>Y26/T25</f>
        <v>19.000795078341859</v>
      </c>
    </row>
    <row r="27" spans="1:35">
      <c r="B27" s="16" t="s">
        <v>332</v>
      </c>
      <c r="C27" s="16">
        <f>1000*C26/20.0096*7.9</f>
        <v>39.796897489205179</v>
      </c>
      <c r="D27" s="422">
        <v>15</v>
      </c>
      <c r="E27" s="423">
        <v>133</v>
      </c>
      <c r="F27" s="333">
        <v>23.7505710870368</v>
      </c>
      <c r="G27" s="333">
        <v>26.230962647853058</v>
      </c>
      <c r="H27" s="494">
        <f t="shared" si="4"/>
        <v>2.4803915608162583</v>
      </c>
      <c r="U27" s="234">
        <v>30</v>
      </c>
      <c r="V27" s="235">
        <v>130</v>
      </c>
      <c r="W27" s="12">
        <v>24.769251779869311</v>
      </c>
      <c r="X27" s="12">
        <v>26.301650035479657</v>
      </c>
      <c r="Y27" s="300">
        <f t="shared" si="3"/>
        <v>1.5323982556103459</v>
      </c>
      <c r="Z27" s="233">
        <f>Y27/T25</f>
        <v>21.312910370102166</v>
      </c>
    </row>
    <row r="28" spans="1:35">
      <c r="B28" s="16" t="s">
        <v>331</v>
      </c>
      <c r="C28" s="13">
        <f>0.0914-0.0213</f>
        <v>7.0099999999999996E-2</v>
      </c>
      <c r="D28" s="477">
        <v>20</v>
      </c>
      <c r="E28" s="492">
        <v>100</v>
      </c>
      <c r="F28" s="492">
        <v>23.56719366116485</v>
      </c>
      <c r="G28" s="492">
        <v>25.107135630079259</v>
      </c>
      <c r="H28" s="493">
        <f t="shared" si="4"/>
        <v>1.5399419689144089</v>
      </c>
      <c r="U28" s="310">
        <v>20</v>
      </c>
      <c r="V28" s="311">
        <v>100</v>
      </c>
      <c r="W28" s="233"/>
      <c r="X28" s="233"/>
      <c r="Y28" s="216"/>
    </row>
    <row r="29" spans="1:35">
      <c r="B29" s="16" t="s">
        <v>332</v>
      </c>
      <c r="C29" s="16">
        <f>1000*C28/20.0096*7.9</f>
        <v>27.676215416600034</v>
      </c>
      <c r="D29" s="422">
        <v>15</v>
      </c>
      <c r="E29" s="423">
        <v>133</v>
      </c>
      <c r="F29" s="333">
        <v>23.745728209360145</v>
      </c>
      <c r="G29" s="333">
        <v>25.835895588153345</v>
      </c>
      <c r="H29" s="494">
        <f t="shared" si="4"/>
        <v>2.0901673787932005</v>
      </c>
      <c r="R29" s="228"/>
      <c r="U29" s="234">
        <v>20</v>
      </c>
      <c r="V29" s="235">
        <v>130</v>
      </c>
      <c r="W29" s="314"/>
      <c r="X29" s="314"/>
      <c r="Y29" s="300"/>
    </row>
    <row r="30" spans="1:35">
      <c r="B30" s="16" t="s">
        <v>331</v>
      </c>
      <c r="C30" s="13">
        <f>0.1144-0.0107</f>
        <v>0.1037</v>
      </c>
      <c r="D30" s="477">
        <v>20</v>
      </c>
      <c r="E30" s="492">
        <v>100</v>
      </c>
      <c r="F30" s="492">
        <v>23.236946656521962</v>
      </c>
      <c r="G30" s="492">
        <v>25.116169459591482</v>
      </c>
      <c r="H30" s="493">
        <f t="shared" si="4"/>
        <v>1.8792228030695206</v>
      </c>
      <c r="R30" s="228"/>
      <c r="U30" s="239">
        <v>30</v>
      </c>
      <c r="V30" s="238">
        <v>130</v>
      </c>
      <c r="W30" s="236"/>
      <c r="X30" s="236"/>
      <c r="Y30" s="301"/>
    </row>
    <row r="31" spans="1:35">
      <c r="B31" s="16" t="s">
        <v>332</v>
      </c>
      <c r="C31" s="16">
        <f>1000*C30/20.0096*7.9</f>
        <v>40.941847913001766</v>
      </c>
      <c r="D31" s="422">
        <v>15</v>
      </c>
      <c r="E31" s="423">
        <v>133</v>
      </c>
      <c r="F31" s="333">
        <v>23.984822778989201</v>
      </c>
      <c r="G31" s="333">
        <v>26.298204141748194</v>
      </c>
      <c r="H31" s="494">
        <f t="shared" si="4"/>
        <v>2.3133813627589923</v>
      </c>
    </row>
    <row r="32" spans="1:35">
      <c r="B32" s="16" t="s">
        <v>331</v>
      </c>
      <c r="C32" s="13">
        <f>0.1104-0.0097</f>
        <v>0.1007</v>
      </c>
      <c r="D32" s="477">
        <v>20</v>
      </c>
      <c r="E32" s="492">
        <v>100</v>
      </c>
      <c r="F32" s="492">
        <v>24.023076088611834</v>
      </c>
      <c r="G32" s="492">
        <v>25.796034979583922</v>
      </c>
      <c r="H32" s="493">
        <f t="shared" si="4"/>
        <v>1.7729588909720881</v>
      </c>
      <c r="U32" s="13" t="s">
        <v>50</v>
      </c>
      <c r="W32" s="13">
        <f>0.07/20.1*12</f>
        <v>4.1791044776119404E-2</v>
      </c>
    </row>
    <row r="33" spans="1:26" ht="14.25" customHeight="1">
      <c r="B33" s="16" t="s">
        <v>332</v>
      </c>
      <c r="C33" s="16">
        <f>1000*C32/20.0096*7.9</f>
        <v>39.757416440108756</v>
      </c>
      <c r="D33" s="422">
        <v>15</v>
      </c>
      <c r="E33" s="423">
        <v>133</v>
      </c>
      <c r="F33" s="333">
        <v>24.083798324096112</v>
      </c>
      <c r="G33" s="333">
        <v>26.296620893276984</v>
      </c>
      <c r="H33" s="494">
        <f t="shared" si="4"/>
        <v>2.2128225691808723</v>
      </c>
      <c r="T33" s="14">
        <v>42324</v>
      </c>
      <c r="U33" s="207" t="s">
        <v>0</v>
      </c>
      <c r="V33" s="208" t="s">
        <v>1</v>
      </c>
      <c r="W33" s="208" t="s">
        <v>13</v>
      </c>
      <c r="X33" s="208" t="s">
        <v>6</v>
      </c>
      <c r="Y33" s="209" t="s">
        <v>7</v>
      </c>
      <c r="Z33" s="204"/>
    </row>
    <row r="34" spans="1:26">
      <c r="T34" s="13">
        <f>0.0754-0.004</f>
        <v>7.1399999999999991E-2</v>
      </c>
      <c r="U34" s="310">
        <v>20</v>
      </c>
      <c r="V34" s="311">
        <v>100</v>
      </c>
      <c r="W34" s="336">
        <v>23.743306770521805</v>
      </c>
      <c r="X34" s="335">
        <v>24.771114425129564</v>
      </c>
      <c r="Y34" s="216">
        <f t="shared" ref="Y34:Y36" si="6">X34-W34</f>
        <v>1.0278076546077592</v>
      </c>
      <c r="Z34" s="233">
        <f>Y34/T34</f>
        <v>14.395065190584866</v>
      </c>
    </row>
    <row r="35" spans="1:26">
      <c r="A35" s="438" t="s">
        <v>340</v>
      </c>
      <c r="B35" s="438"/>
      <c r="C35" s="438"/>
      <c r="D35" s="438"/>
      <c r="E35" s="13" t="s">
        <v>297</v>
      </c>
      <c r="J35" s="438" t="s">
        <v>340</v>
      </c>
      <c r="K35" s="438"/>
      <c r="L35" s="438"/>
      <c r="M35" s="438"/>
      <c r="N35" s="438"/>
      <c r="T35" s="13">
        <f>1000*T34/20*12</f>
        <v>42.839999999999989</v>
      </c>
      <c r="U35" s="234">
        <v>20</v>
      </c>
      <c r="V35" s="235">
        <v>130</v>
      </c>
      <c r="W35" s="338">
        <v>23.706612658894826</v>
      </c>
      <c r="X35" s="337">
        <v>25.099312519986178</v>
      </c>
      <c r="Y35" s="300">
        <f t="shared" si="6"/>
        <v>1.3926998610913515</v>
      </c>
      <c r="Z35" s="233">
        <f>Y35/T34</f>
        <v>19.50560029539708</v>
      </c>
    </row>
    <row r="36" spans="1:26">
      <c r="A36" s="13" t="s">
        <v>341</v>
      </c>
      <c r="J36" s="452"/>
      <c r="K36" s="320" t="s">
        <v>367</v>
      </c>
      <c r="L36" s="320"/>
      <c r="M36" s="518"/>
      <c r="N36" s="453"/>
      <c r="O36" s="320"/>
      <c r="U36" s="239">
        <v>30</v>
      </c>
      <c r="V36" s="238">
        <v>130</v>
      </c>
      <c r="W36" s="12">
        <v>23.740699067157447</v>
      </c>
      <c r="X36" s="12">
        <v>25.452004400015127</v>
      </c>
      <c r="Y36" s="301">
        <f t="shared" si="6"/>
        <v>1.7113053328576804</v>
      </c>
      <c r="Z36" s="233">
        <f>Y36/T34</f>
        <v>23.96786180472942</v>
      </c>
    </row>
    <row r="37" spans="1:26" ht="18.75">
      <c r="C37" s="320"/>
      <c r="D37" s="323" t="s">
        <v>0</v>
      </c>
      <c r="E37" s="324" t="s">
        <v>1</v>
      </c>
      <c r="F37" s="324" t="s">
        <v>49</v>
      </c>
      <c r="G37" s="324" t="s">
        <v>6</v>
      </c>
      <c r="H37" s="325" t="s">
        <v>7</v>
      </c>
      <c r="J37" s="320"/>
      <c r="K37" s="323" t="s">
        <v>0</v>
      </c>
      <c r="L37" s="324" t="s">
        <v>1</v>
      </c>
      <c r="M37" s="324" t="s">
        <v>49</v>
      </c>
      <c r="N37" s="324" t="s">
        <v>6</v>
      </c>
      <c r="O37" s="325" t="s">
        <v>7</v>
      </c>
      <c r="W37" s="340"/>
      <c r="X37" s="339"/>
    </row>
    <row r="38" spans="1:26" ht="15.75">
      <c r="B38" s="16" t="s">
        <v>331</v>
      </c>
      <c r="C38" s="499">
        <f>0.1172-0.0169</f>
        <v>0.1003</v>
      </c>
      <c r="D38" s="477">
        <v>20</v>
      </c>
      <c r="E38" s="492">
        <v>100</v>
      </c>
      <c r="F38" s="320">
        <v>25.550538334282532</v>
      </c>
      <c r="G38" s="320">
        <v>27.855003050267879</v>
      </c>
      <c r="H38" s="493">
        <f t="shared" ref="H38:H52" si="7">G38-F38</f>
        <v>2.3044647159853469</v>
      </c>
      <c r="I38" s="16" t="s">
        <v>331</v>
      </c>
      <c r="J38" s="320">
        <f>0.0767-0.0031</f>
        <v>7.3599999999999999E-2</v>
      </c>
      <c r="K38" s="326">
        <v>20</v>
      </c>
      <c r="L38" s="327">
        <v>100</v>
      </c>
      <c r="M38" s="413">
        <v>26.696530830653348</v>
      </c>
      <c r="N38" s="413">
        <v>28.528442444112457</v>
      </c>
      <c r="O38" s="328">
        <f t="shared" ref="O38:O52" si="8">N38-M38</f>
        <v>1.8319116134591091</v>
      </c>
    </row>
    <row r="39" spans="1:26">
      <c r="B39" s="16" t="s">
        <v>332</v>
      </c>
      <c r="C39" s="320">
        <f>1000*C38/20.0096*12</f>
        <v>60.151127458819772</v>
      </c>
      <c r="D39" s="486">
        <v>15</v>
      </c>
      <c r="E39" s="421">
        <v>133</v>
      </c>
      <c r="F39" s="320">
        <v>25.969912914628559</v>
      </c>
      <c r="G39" s="320">
        <v>28.882251911297551</v>
      </c>
      <c r="H39" s="500">
        <f t="shared" si="7"/>
        <v>2.9123389966689928</v>
      </c>
      <c r="I39" s="16" t="s">
        <v>332</v>
      </c>
      <c r="J39" s="320">
        <f>1000*J38/20*8.3</f>
        <v>30.544</v>
      </c>
      <c r="K39" s="486">
        <v>15</v>
      </c>
      <c r="L39" s="421">
        <v>133</v>
      </c>
      <c r="M39" s="408">
        <v>26.310870129517927</v>
      </c>
      <c r="N39" s="408">
        <v>28.529001237690515</v>
      </c>
      <c r="O39" s="331">
        <f t="shared" si="8"/>
        <v>2.2181311081725887</v>
      </c>
    </row>
    <row r="40" spans="1:26">
      <c r="C40" s="320"/>
      <c r="D40" s="332">
        <v>30</v>
      </c>
      <c r="E40" s="333">
        <v>130</v>
      </c>
      <c r="F40" s="333">
        <v>26.065932277794623</v>
      </c>
      <c r="G40" s="333">
        <v>29.389729612453568</v>
      </c>
      <c r="H40" s="494">
        <f t="shared" si="7"/>
        <v>3.3237973346589449</v>
      </c>
      <c r="J40" s="320"/>
      <c r="K40" s="332">
        <v>30</v>
      </c>
      <c r="L40" s="333">
        <v>130</v>
      </c>
      <c r="M40" s="411">
        <v>26.317575652454835</v>
      </c>
      <c r="N40" s="411">
        <v>28.875080727045582</v>
      </c>
      <c r="O40" s="334">
        <f t="shared" si="8"/>
        <v>2.5575050745907468</v>
      </c>
    </row>
    <row r="41" spans="1:26" ht="15.75">
      <c r="B41" s="16" t="s">
        <v>331</v>
      </c>
      <c r="C41" s="320">
        <f>0.1146-0.0128</f>
        <v>0.10179999999999999</v>
      </c>
      <c r="D41" s="477">
        <v>20</v>
      </c>
      <c r="E41" s="492">
        <v>100</v>
      </c>
      <c r="F41" s="320">
        <v>26.658719131870225</v>
      </c>
      <c r="G41" s="320">
        <v>28.880668662826341</v>
      </c>
      <c r="H41" s="493">
        <f t="shared" si="7"/>
        <v>2.2219495309561168</v>
      </c>
      <c r="I41" s="16" t="s">
        <v>331</v>
      </c>
      <c r="J41" s="320">
        <f>0.0735-0.0014</f>
        <v>7.2099999999999997E-2</v>
      </c>
      <c r="K41" s="326">
        <v>20</v>
      </c>
      <c r="L41" s="327">
        <v>100</v>
      </c>
      <c r="M41" s="413">
        <v>25.412236923708726</v>
      </c>
      <c r="N41" s="413">
        <v>27.337280800180498</v>
      </c>
      <c r="O41" s="328">
        <f t="shared" si="8"/>
        <v>1.9250438764717721</v>
      </c>
    </row>
    <row r="42" spans="1:26">
      <c r="B42" s="16" t="s">
        <v>332</v>
      </c>
      <c r="C42" s="320">
        <f>1000*C41/20.0096*12</f>
        <v>61.050695666080273</v>
      </c>
      <c r="D42" s="486">
        <v>15</v>
      </c>
      <c r="E42" s="421">
        <v>133</v>
      </c>
      <c r="F42" s="320">
        <v>26.316458065298686</v>
      </c>
      <c r="G42" s="320">
        <v>29.221905274504728</v>
      </c>
      <c r="H42" s="500">
        <f t="shared" si="7"/>
        <v>2.9054472092060415</v>
      </c>
      <c r="I42" s="16" t="s">
        <v>332</v>
      </c>
      <c r="J42" s="320">
        <f>1000*J41/20*8.3</f>
        <v>29.921499999999998</v>
      </c>
      <c r="K42" s="486">
        <v>15</v>
      </c>
      <c r="L42" s="421">
        <v>133</v>
      </c>
      <c r="M42" s="408">
        <v>26.310963261780923</v>
      </c>
      <c r="N42" s="408">
        <v>28.874708197993542</v>
      </c>
      <c r="O42" s="331">
        <f t="shared" si="8"/>
        <v>2.5637449362126183</v>
      </c>
    </row>
    <row r="43" spans="1:26">
      <c r="A43" s="14"/>
      <c r="C43" s="320"/>
      <c r="D43" s="332">
        <v>30</v>
      </c>
      <c r="E43" s="333">
        <v>130</v>
      </c>
      <c r="F43" s="333">
        <v>26.659557322237326</v>
      </c>
      <c r="G43" s="333">
        <v>29.728172256241574</v>
      </c>
      <c r="H43" s="500">
        <f t="shared" si="7"/>
        <v>3.0686149340042483</v>
      </c>
      <c r="J43" s="320"/>
      <c r="K43" s="332">
        <v>30</v>
      </c>
      <c r="L43" s="333">
        <v>130</v>
      </c>
      <c r="M43" s="411">
        <v>26.401953482744318</v>
      </c>
      <c r="N43" s="411">
        <v>29.274152470000001</v>
      </c>
      <c r="O43" s="334">
        <f t="shared" si="8"/>
        <v>2.8721989872556826</v>
      </c>
      <c r="R43" s="228"/>
    </row>
    <row r="44" spans="1:26" ht="15.75">
      <c r="B44" s="16" t="s">
        <v>331</v>
      </c>
      <c r="C44" s="320">
        <f>0.1122-0.0126</f>
        <v>9.9599999999999994E-2</v>
      </c>
      <c r="D44" s="477">
        <v>20</v>
      </c>
      <c r="E44" s="492">
        <v>100</v>
      </c>
      <c r="F44" s="320">
        <v>26.315806139457603</v>
      </c>
      <c r="G44" s="320">
        <v>28.53663808325755</v>
      </c>
      <c r="H44" s="493">
        <f t="shared" si="7"/>
        <v>2.2208319437999471</v>
      </c>
      <c r="I44" s="16" t="s">
        <v>331</v>
      </c>
      <c r="J44" s="320">
        <f>0.0875-0.0171</f>
        <v>7.039999999999999E-2</v>
      </c>
      <c r="K44" s="326">
        <v>20</v>
      </c>
      <c r="L44" s="327">
        <v>100</v>
      </c>
      <c r="M44" s="413">
        <v>24.756213263047538</v>
      </c>
      <c r="N44" s="413">
        <v>26.652758670000001</v>
      </c>
      <c r="O44" s="328">
        <f t="shared" si="8"/>
        <v>1.8965454069524625</v>
      </c>
      <c r="R44" s="228"/>
    </row>
    <row r="45" spans="1:26">
      <c r="B45" s="16" t="s">
        <v>332</v>
      </c>
      <c r="C45" s="320">
        <f>1000*C44/20.0096*12</f>
        <v>59.731328962098189</v>
      </c>
      <c r="D45" s="486">
        <v>15</v>
      </c>
      <c r="E45" s="421">
        <v>133</v>
      </c>
      <c r="F45" s="320">
        <v>25.369861744037966</v>
      </c>
      <c r="G45" s="320">
        <v>28.197357249102438</v>
      </c>
      <c r="H45" s="500">
        <f t="shared" si="7"/>
        <v>2.8274955050644728</v>
      </c>
      <c r="I45" s="16" t="s">
        <v>332</v>
      </c>
      <c r="J45" s="320">
        <f>1000*J44/20*8.3</f>
        <v>29.215999999999998</v>
      </c>
      <c r="K45" s="486">
        <v>15</v>
      </c>
      <c r="L45" s="421">
        <v>133</v>
      </c>
      <c r="M45" s="408">
        <v>25.113189227175081</v>
      </c>
      <c r="N45" s="408">
        <v>27.500541657241673</v>
      </c>
      <c r="O45" s="331">
        <f t="shared" si="8"/>
        <v>2.387352430066592</v>
      </c>
      <c r="R45" s="228"/>
    </row>
    <row r="46" spans="1:26">
      <c r="C46" s="320"/>
      <c r="D46" s="332">
        <v>30</v>
      </c>
      <c r="E46" s="333">
        <v>130</v>
      </c>
      <c r="F46" s="333">
        <v>25.633146651574759</v>
      </c>
      <c r="G46" s="333">
        <v>28.874149404415455</v>
      </c>
      <c r="H46" s="500">
        <f t="shared" si="7"/>
        <v>3.2410027528406964</v>
      </c>
      <c r="J46" s="320"/>
      <c r="K46" s="332">
        <v>30</v>
      </c>
      <c r="L46" s="333">
        <v>130</v>
      </c>
      <c r="M46" s="411">
        <v>25.616662241021523</v>
      </c>
      <c r="N46" s="411">
        <v>28.519594879126252</v>
      </c>
      <c r="O46" s="334">
        <f t="shared" si="8"/>
        <v>2.9029326381047298</v>
      </c>
    </row>
    <row r="47" spans="1:26" ht="15.75">
      <c r="B47" s="16" t="s">
        <v>331</v>
      </c>
      <c r="C47" s="320">
        <f>0.1205-0.0276</f>
        <v>9.2899999999999996E-2</v>
      </c>
      <c r="D47" s="477">
        <v>20</v>
      </c>
      <c r="E47" s="492">
        <v>100</v>
      </c>
      <c r="F47" s="320">
        <v>24.771673218707626</v>
      </c>
      <c r="G47" s="320">
        <v>26.993157088348681</v>
      </c>
      <c r="H47" s="493">
        <f t="shared" si="7"/>
        <v>2.2214838696410553</v>
      </c>
      <c r="I47" s="16" t="s">
        <v>331</v>
      </c>
      <c r="J47" s="320">
        <f>0.0976-0.0259</f>
        <v>7.1700000000000014E-2</v>
      </c>
      <c r="K47" s="326">
        <v>20</v>
      </c>
      <c r="L47" s="327">
        <v>100</v>
      </c>
      <c r="M47" s="413">
        <v>24.763105050510465</v>
      </c>
      <c r="N47" s="413">
        <v>26.643259176210112</v>
      </c>
      <c r="O47" s="328">
        <f t="shared" si="8"/>
        <v>1.8801541256996472</v>
      </c>
    </row>
    <row r="48" spans="1:26">
      <c r="B48" s="16" t="s">
        <v>332</v>
      </c>
      <c r="C48" s="320">
        <f>1000*C47/20.0096*12</f>
        <v>55.713257636334554</v>
      </c>
      <c r="D48" s="486">
        <v>15</v>
      </c>
      <c r="E48" s="421">
        <v>133</v>
      </c>
      <c r="F48" s="320">
        <v>25.980064331296955</v>
      </c>
      <c r="G48" s="320">
        <v>28.869492791264822</v>
      </c>
      <c r="H48" s="500">
        <f t="shared" si="7"/>
        <v>2.889428459967867</v>
      </c>
      <c r="I48" s="16" t="s">
        <v>332</v>
      </c>
      <c r="J48" s="320">
        <f>1000*J47/20*8.3</f>
        <v>29.755500000000008</v>
      </c>
      <c r="K48" s="486">
        <v>15</v>
      </c>
      <c r="L48" s="421">
        <v>133</v>
      </c>
      <c r="M48" s="408">
        <v>24.769903705710394</v>
      </c>
      <c r="N48" s="408">
        <v>27.388782941626477</v>
      </c>
      <c r="O48" s="331">
        <f t="shared" si="8"/>
        <v>2.6188792359160828</v>
      </c>
    </row>
    <row r="49" spans="1:18">
      <c r="C49" s="320"/>
      <c r="D49" s="332">
        <v>30</v>
      </c>
      <c r="E49" s="333">
        <v>130</v>
      </c>
      <c r="F49" s="333">
        <v>26.654435047771631</v>
      </c>
      <c r="G49" s="333">
        <v>29.724167568932025</v>
      </c>
      <c r="H49" s="494">
        <f t="shared" si="7"/>
        <v>3.0697325211603932</v>
      </c>
      <c r="J49" s="320"/>
      <c r="K49" s="332">
        <v>30</v>
      </c>
      <c r="L49" s="333">
        <v>130</v>
      </c>
      <c r="M49" s="411">
        <v>25.109650201180596</v>
      </c>
      <c r="N49" s="411">
        <v>28.184598129069684</v>
      </c>
      <c r="O49" s="334">
        <f t="shared" si="8"/>
        <v>3.0749479278890881</v>
      </c>
    </row>
    <row r="50" spans="1:18" ht="15.75">
      <c r="B50" s="16" t="s">
        <v>331</v>
      </c>
      <c r="C50" s="320">
        <f>0.01219-0.0025</f>
        <v>9.689999999999999E-3</v>
      </c>
      <c r="D50" s="477">
        <v>20</v>
      </c>
      <c r="E50" s="492">
        <v>100</v>
      </c>
      <c r="F50" s="320">
        <v>24.415721709473232</v>
      </c>
      <c r="G50" s="320">
        <v>26.561903540009499</v>
      </c>
      <c r="H50" s="493">
        <f t="shared" si="7"/>
        <v>2.1461818305362677</v>
      </c>
      <c r="I50" s="16" t="s">
        <v>331</v>
      </c>
      <c r="J50" s="320">
        <f>0.0942-0.0231</f>
        <v>7.110000000000001E-2</v>
      </c>
      <c r="K50" s="326">
        <v>20</v>
      </c>
      <c r="L50" s="327">
        <v>100</v>
      </c>
      <c r="M50" s="413">
        <v>24.760683611672153</v>
      </c>
      <c r="N50" s="413">
        <v>26.599973654745501</v>
      </c>
      <c r="O50" s="328">
        <f t="shared" si="8"/>
        <v>1.8392900430733476</v>
      </c>
      <c r="R50" s="13">
        <f>Q50*0.07</f>
        <v>0</v>
      </c>
    </row>
    <row r="51" spans="1:18">
      <c r="B51" s="16" t="s">
        <v>332</v>
      </c>
      <c r="C51" s="320">
        <f>1000*C50/20.0096*12</f>
        <v>5.8112106189029262</v>
      </c>
      <c r="D51" s="486">
        <v>20</v>
      </c>
      <c r="E51" s="421">
        <v>130</v>
      </c>
      <c r="F51" s="320">
        <v>24.763105050510465</v>
      </c>
      <c r="G51" s="320">
        <v>27.492793514894998</v>
      </c>
      <c r="H51" s="500">
        <f t="shared" si="7"/>
        <v>2.7296884643845338</v>
      </c>
      <c r="I51" s="16" t="s">
        <v>332</v>
      </c>
      <c r="J51" s="320">
        <f>1000*J50/20*8.3</f>
        <v>29.506500000000006</v>
      </c>
      <c r="K51" s="486">
        <v>15</v>
      </c>
      <c r="L51" s="421">
        <v>133</v>
      </c>
      <c r="M51" s="408">
        <v>25.101082032983435</v>
      </c>
      <c r="N51" s="408">
        <v>27.687451969829301</v>
      </c>
      <c r="O51" s="331">
        <f t="shared" si="8"/>
        <v>2.5863699368458661</v>
      </c>
      <c r="R51" s="13">
        <f>Q51*0.07</f>
        <v>0</v>
      </c>
    </row>
    <row r="52" spans="1:18">
      <c r="C52" s="320"/>
      <c r="D52" s="332">
        <v>30</v>
      </c>
      <c r="E52" s="333">
        <v>130</v>
      </c>
      <c r="F52" s="333">
        <v>25.451166209648026</v>
      </c>
      <c r="G52" s="333">
        <v>28.414742792531399</v>
      </c>
      <c r="H52" s="494">
        <f t="shared" si="7"/>
        <v>2.9635765828833733</v>
      </c>
      <c r="J52" s="320"/>
      <c r="K52" s="332">
        <v>30</v>
      </c>
      <c r="L52" s="333">
        <v>130</v>
      </c>
      <c r="M52" s="411">
        <v>25.617221034599609</v>
      </c>
      <c r="N52" s="411">
        <v>28.326477457671</v>
      </c>
      <c r="O52" s="334">
        <f t="shared" si="8"/>
        <v>2.7092564230713911</v>
      </c>
    </row>
    <row r="53" spans="1:18">
      <c r="A53" s="438" t="s">
        <v>346</v>
      </c>
      <c r="B53" s="438"/>
      <c r="C53" s="468"/>
      <c r="D53" s="517"/>
      <c r="E53" s="330"/>
      <c r="F53" s="330"/>
      <c r="G53" s="330"/>
      <c r="H53" s="421"/>
      <c r="P53" s="221"/>
    </row>
    <row r="54" spans="1:18">
      <c r="A54" s="13" t="s">
        <v>347</v>
      </c>
      <c r="I54" s="232"/>
    </row>
    <row r="55" spans="1:18" ht="18.75">
      <c r="B55" s="320"/>
      <c r="C55" s="320"/>
      <c r="D55" s="323" t="s">
        <v>0</v>
      </c>
      <c r="E55" s="324" t="s">
        <v>1</v>
      </c>
      <c r="F55" s="324" t="s">
        <v>49</v>
      </c>
      <c r="G55" s="324" t="s">
        <v>6</v>
      </c>
      <c r="H55" s="325" t="s">
        <v>7</v>
      </c>
      <c r="I55" s="232"/>
      <c r="J55" s="14"/>
    </row>
    <row r="56" spans="1:18" ht="15.75">
      <c r="B56" s="466" t="s">
        <v>331</v>
      </c>
      <c r="C56" s="320">
        <f>0.1071-0.0005</f>
        <v>0.1066</v>
      </c>
      <c r="D56" s="326">
        <v>20</v>
      </c>
      <c r="E56" s="327">
        <v>100</v>
      </c>
      <c r="F56" s="320">
        <v>24.088827466298785</v>
      </c>
      <c r="G56" s="320">
        <v>26.5242361440799</v>
      </c>
      <c r="H56" s="328">
        <f t="shared" ref="H56:H73" si="9">G56-F56</f>
        <v>2.4354086777811155</v>
      </c>
      <c r="I56" s="232"/>
    </row>
    <row r="57" spans="1:18">
      <c r="B57" s="466" t="s">
        <v>332</v>
      </c>
      <c r="C57" s="320">
        <f>1000*C56/20.0096*16.1</f>
        <v>85.771829521829531</v>
      </c>
      <c r="D57" s="486">
        <v>15</v>
      </c>
      <c r="E57" s="421">
        <v>133</v>
      </c>
      <c r="F57" s="320">
        <v>23.756438419606603</v>
      </c>
      <c r="G57" s="320">
        <v>27.02472892550999</v>
      </c>
      <c r="H57" s="331">
        <f t="shared" si="9"/>
        <v>3.2682905059033871</v>
      </c>
      <c r="I57" s="232"/>
    </row>
    <row r="58" spans="1:18">
      <c r="B58" s="320"/>
      <c r="C58" s="320"/>
      <c r="D58" s="332">
        <v>30</v>
      </c>
      <c r="E58" s="333">
        <v>130</v>
      </c>
      <c r="F58" s="411">
        <v>24.094136005290501</v>
      </c>
      <c r="G58" s="411">
        <v>27.741195424866412</v>
      </c>
      <c r="H58" s="334">
        <f t="shared" si="9"/>
        <v>3.6470594195759105</v>
      </c>
    </row>
    <row r="59" spans="1:18" ht="15.75">
      <c r="A59" s="14"/>
      <c r="B59" s="466" t="s">
        <v>331</v>
      </c>
      <c r="C59" s="320">
        <f>0.1068-0.0065</f>
        <v>0.1003</v>
      </c>
      <c r="D59" s="326">
        <v>20</v>
      </c>
      <c r="E59" s="327">
        <v>100</v>
      </c>
      <c r="F59" s="320">
        <v>24.0932978149234</v>
      </c>
      <c r="G59" s="320">
        <v>26.523118556923777</v>
      </c>
      <c r="H59" s="328">
        <f t="shared" si="9"/>
        <v>2.429820742000377</v>
      </c>
    </row>
    <row r="60" spans="1:18">
      <c r="B60" s="466" t="s">
        <v>332</v>
      </c>
      <c r="C60" s="320">
        <f>1000*C59/20.0096*16.1</f>
        <v>80.702762673916524</v>
      </c>
      <c r="D60" s="486">
        <v>15</v>
      </c>
      <c r="E60" s="421">
        <v>133</v>
      </c>
      <c r="F60" s="320">
        <v>24.095346724709671</v>
      </c>
      <c r="G60" s="320">
        <v>27.319026876630005</v>
      </c>
      <c r="H60" s="331">
        <f t="shared" si="9"/>
        <v>3.223680151920334</v>
      </c>
    </row>
    <row r="61" spans="1:18">
      <c r="B61" s="320"/>
      <c r="C61" s="320"/>
      <c r="D61" s="332">
        <v>30</v>
      </c>
      <c r="E61" s="333">
        <v>130</v>
      </c>
      <c r="F61" s="411">
        <v>24.25506855577639</v>
      </c>
      <c r="G61" s="411">
        <v>27.837773581610538</v>
      </c>
      <c r="H61" s="334">
        <f t="shared" si="9"/>
        <v>3.582705025834148</v>
      </c>
    </row>
    <row r="62" spans="1:18" ht="15.75">
      <c r="B62" s="466" t="s">
        <v>331</v>
      </c>
      <c r="C62" s="320">
        <f>0.1061-0.0055</f>
        <v>0.10059999999999999</v>
      </c>
      <c r="D62" s="326">
        <v>20</v>
      </c>
      <c r="E62" s="327">
        <v>100</v>
      </c>
      <c r="F62" s="320">
        <v>24.103542363854793</v>
      </c>
      <c r="G62" s="320">
        <v>26.60861397</v>
      </c>
      <c r="H62" s="328">
        <f t="shared" si="9"/>
        <v>2.5050716061452079</v>
      </c>
    </row>
    <row r="63" spans="1:18">
      <c r="B63" s="466" t="s">
        <v>332</v>
      </c>
      <c r="C63" s="320">
        <f>1000*C62/20.0096*16.1</f>
        <v>80.944146809531432</v>
      </c>
      <c r="D63" s="486">
        <v>15</v>
      </c>
      <c r="E63" s="421">
        <v>133</v>
      </c>
      <c r="F63" s="320">
        <v>24.097768163548011</v>
      </c>
      <c r="G63" s="320">
        <v>27.332344790000001</v>
      </c>
      <c r="H63" s="331">
        <f t="shared" si="9"/>
        <v>3.2345766264519895</v>
      </c>
    </row>
    <row r="64" spans="1:18">
      <c r="B64" s="320"/>
      <c r="C64" s="320"/>
      <c r="D64" s="332">
        <v>30</v>
      </c>
      <c r="E64" s="333">
        <v>130</v>
      </c>
      <c r="F64" s="411">
        <v>24.12196157</v>
      </c>
      <c r="G64" s="411">
        <v>27.8476456</v>
      </c>
      <c r="H64" s="334">
        <f t="shared" si="9"/>
        <v>3.72568403</v>
      </c>
    </row>
    <row r="65" spans="1:10" ht="15.75">
      <c r="B65" s="466" t="s">
        <v>331</v>
      </c>
      <c r="C65" s="320">
        <f>0.1037-0.0041</f>
        <v>9.9599999999999994E-2</v>
      </c>
      <c r="D65" s="326">
        <v>20</v>
      </c>
      <c r="E65" s="327">
        <v>100</v>
      </c>
      <c r="F65" s="320">
        <v>24.430902270000001</v>
      </c>
      <c r="G65" s="320">
        <v>26.756483957557901</v>
      </c>
      <c r="H65" s="328">
        <f t="shared" si="9"/>
        <v>2.3255816875579001</v>
      </c>
    </row>
    <row r="66" spans="1:10">
      <c r="A66" s="232"/>
      <c r="B66" s="466" t="s">
        <v>332</v>
      </c>
      <c r="C66" s="320">
        <f>1000*C65/20.0096*16.1</f>
        <v>80.13953302414842</v>
      </c>
      <c r="D66" s="486">
        <v>15</v>
      </c>
      <c r="E66" s="421">
        <v>133</v>
      </c>
      <c r="F66" s="320">
        <v>24.2686929862912</v>
      </c>
      <c r="G66" s="320">
        <v>27.486571817789773</v>
      </c>
      <c r="H66" s="331">
        <f t="shared" si="9"/>
        <v>3.2178788314985738</v>
      </c>
    </row>
    <row r="67" spans="1:10">
      <c r="A67" s="232"/>
      <c r="B67" s="320"/>
      <c r="C67" s="320"/>
      <c r="D67" s="332">
        <v>30</v>
      </c>
      <c r="E67" s="333">
        <v>130</v>
      </c>
      <c r="F67" s="411">
        <v>24.098699486178138</v>
      </c>
      <c r="G67" s="411">
        <v>27.738120218403399</v>
      </c>
      <c r="H67" s="334">
        <f t="shared" si="9"/>
        <v>3.6394207322252612</v>
      </c>
      <c r="I67" s="232"/>
    </row>
    <row r="68" spans="1:10" ht="15.75">
      <c r="A68" s="232"/>
      <c r="B68" s="466" t="s">
        <v>331</v>
      </c>
      <c r="C68" s="320">
        <f>0.1065-0.0071</f>
        <v>9.9400000000000002E-2</v>
      </c>
      <c r="D68" s="326">
        <v>20</v>
      </c>
      <c r="E68" s="327">
        <v>100</v>
      </c>
      <c r="F68" s="320">
        <v>24.428201432716946</v>
      </c>
      <c r="G68" s="320">
        <v>26.748753979727901</v>
      </c>
      <c r="H68" s="328">
        <f t="shared" si="9"/>
        <v>2.3205525470109549</v>
      </c>
      <c r="I68" s="232"/>
    </row>
    <row r="69" spans="1:10">
      <c r="A69" s="232"/>
      <c r="B69" s="466" t="s">
        <v>332</v>
      </c>
      <c r="C69" s="320">
        <f>1000*C68/20.0096*16.1</f>
        <v>79.978610267071815</v>
      </c>
      <c r="D69" s="486">
        <v>15</v>
      </c>
      <c r="E69" s="421">
        <v>133</v>
      </c>
      <c r="F69" s="320">
        <v>24.430529739292261</v>
      </c>
      <c r="G69" s="320">
        <v>27.622659034887501</v>
      </c>
      <c r="H69" s="331">
        <f t="shared" si="9"/>
        <v>3.1921292955952403</v>
      </c>
      <c r="I69" s="232"/>
    </row>
    <row r="70" spans="1:10">
      <c r="A70" s="232"/>
      <c r="B70" s="320"/>
      <c r="C70" s="320"/>
      <c r="D70" s="332">
        <v>30</v>
      </c>
      <c r="E70" s="333">
        <v>130</v>
      </c>
      <c r="F70" s="411">
        <v>24.428760230000002</v>
      </c>
      <c r="G70" s="411">
        <v>27.906967779999999</v>
      </c>
      <c r="H70" s="334">
        <f t="shared" si="9"/>
        <v>3.4782075499999969</v>
      </c>
      <c r="I70" s="232"/>
    </row>
    <row r="71" spans="1:10" ht="15.75">
      <c r="A71" s="232"/>
      <c r="B71" s="466" t="s">
        <v>331</v>
      </c>
      <c r="C71" s="320">
        <f>0.1067-0.0058</f>
        <v>0.1009</v>
      </c>
      <c r="D71" s="326">
        <v>20</v>
      </c>
      <c r="E71" s="327">
        <v>100</v>
      </c>
      <c r="F71" s="320">
        <v>23.916160250673318</v>
      </c>
      <c r="G71" s="320">
        <v>26.29662089</v>
      </c>
      <c r="H71" s="328">
        <f t="shared" si="9"/>
        <v>2.3804606393266816</v>
      </c>
      <c r="I71" s="232"/>
    </row>
    <row r="72" spans="1:10">
      <c r="A72" s="232"/>
      <c r="B72" s="466" t="s">
        <v>332</v>
      </c>
      <c r="C72" s="320">
        <f>1000*C71/20.0096*16.1</f>
        <v>81.18553094514634</v>
      </c>
      <c r="D72" s="486">
        <v>15</v>
      </c>
      <c r="E72" s="421">
        <v>133</v>
      </c>
      <c r="F72" s="320">
        <v>24.416746159999999</v>
      </c>
      <c r="G72" s="320">
        <v>27.48617217</v>
      </c>
      <c r="H72" s="331">
        <f t="shared" si="9"/>
        <v>3.0694260100000008</v>
      </c>
      <c r="I72" s="232"/>
    </row>
    <row r="73" spans="1:10">
      <c r="A73" s="232"/>
      <c r="B73" s="320"/>
      <c r="C73" s="320"/>
      <c r="D73" s="332">
        <v>30</v>
      </c>
      <c r="E73" s="333">
        <v>130</v>
      </c>
      <c r="F73" s="411">
        <v>24.762963817296299</v>
      </c>
      <c r="G73" s="411">
        <v>28.283480539999999</v>
      </c>
      <c r="H73" s="334">
        <f t="shared" si="9"/>
        <v>3.5205167227037002</v>
      </c>
      <c r="I73" s="232"/>
    </row>
    <row r="74" spans="1:10">
      <c r="A74" s="232"/>
      <c r="B74" s="232"/>
      <c r="C74" s="221"/>
      <c r="D74" s="221"/>
      <c r="E74" s="221"/>
      <c r="F74" s="221"/>
      <c r="G74" s="221"/>
      <c r="H74" s="272"/>
      <c r="I74" s="232"/>
    </row>
    <row r="75" spans="1:10">
      <c r="A75" s="232"/>
      <c r="B75" s="451"/>
      <c r="C75" s="421"/>
      <c r="D75" s="421"/>
      <c r="E75" s="421"/>
      <c r="F75" s="421"/>
      <c r="G75" s="421"/>
      <c r="H75" s="451"/>
      <c r="I75" s="451"/>
      <c r="J75" s="320"/>
    </row>
    <row r="76" spans="1:10" ht="18.75">
      <c r="A76" s="232"/>
      <c r="C76" s="451"/>
      <c r="D76" s="418" t="s">
        <v>0</v>
      </c>
      <c r="E76" s="419" t="s">
        <v>1</v>
      </c>
      <c r="F76" s="419" t="s">
        <v>49</v>
      </c>
      <c r="G76" s="419" t="s">
        <v>6</v>
      </c>
      <c r="H76" s="420" t="s">
        <v>7</v>
      </c>
      <c r="I76" s="451"/>
      <c r="J76" s="320"/>
    </row>
    <row r="77" spans="1:10" ht="15.75">
      <c r="A77" s="232"/>
      <c r="B77" s="466" t="s">
        <v>331</v>
      </c>
      <c r="C77" s="320">
        <f>0.0695-0.0003</f>
        <v>6.9200000000000012E-2</v>
      </c>
      <c r="D77" s="326">
        <v>20</v>
      </c>
      <c r="E77" s="327">
        <v>100</v>
      </c>
      <c r="F77" s="320">
        <v>24.422799761462205</v>
      </c>
      <c r="G77" s="320">
        <v>27.701752376660799</v>
      </c>
      <c r="H77" s="328">
        <f>G77-F77</f>
        <v>3.2789526151985946</v>
      </c>
      <c r="I77" s="451"/>
      <c r="J77" s="320"/>
    </row>
    <row r="78" spans="1:10">
      <c r="A78" s="232"/>
      <c r="B78" s="466" t="s">
        <v>332</v>
      </c>
      <c r="C78" s="320">
        <f>C77/20*20.1</f>
        <v>6.9546000000000011E-2</v>
      </c>
      <c r="D78" s="329">
        <v>20</v>
      </c>
      <c r="E78" s="330">
        <v>130</v>
      </c>
      <c r="F78" s="320">
        <v>24.542567851696475</v>
      </c>
      <c r="G78" s="320">
        <v>28.7087915366168</v>
      </c>
      <c r="H78" s="331">
        <f t="shared" ref="H78:H88" si="10">G78-F78</f>
        <v>4.1662236849203254</v>
      </c>
      <c r="I78" s="451"/>
      <c r="J78" s="320"/>
    </row>
    <row r="79" spans="1:10">
      <c r="A79" s="232"/>
      <c r="C79" s="320"/>
      <c r="D79" s="332">
        <v>30</v>
      </c>
      <c r="E79" s="333">
        <v>130</v>
      </c>
      <c r="F79" s="411">
        <v>24.968413589502202</v>
      </c>
      <c r="G79" s="411">
        <v>29.498529076488598</v>
      </c>
      <c r="H79" s="334">
        <f t="shared" si="10"/>
        <v>4.5301154869863964</v>
      </c>
      <c r="I79" s="451"/>
      <c r="J79" s="320"/>
    </row>
    <row r="80" spans="1:10" ht="15.75">
      <c r="A80" s="232"/>
      <c r="B80" s="466" t="s">
        <v>331</v>
      </c>
      <c r="C80" s="320">
        <f>0.0761-0.0057</f>
        <v>7.0400000000000004E-2</v>
      </c>
      <c r="D80" s="326">
        <v>20</v>
      </c>
      <c r="E80" s="327">
        <v>100</v>
      </c>
      <c r="F80" s="320">
        <v>24.560404210000002</v>
      </c>
      <c r="G80" s="320">
        <v>27.833023839999999</v>
      </c>
      <c r="H80" s="328">
        <f t="shared" si="10"/>
        <v>3.2726196299999977</v>
      </c>
      <c r="I80" s="451"/>
      <c r="J80" s="452"/>
    </row>
    <row r="81" spans="1:10">
      <c r="A81" s="271"/>
      <c r="B81" s="466" t="s">
        <v>332</v>
      </c>
      <c r="C81" s="320">
        <f>C80/20*20.1</f>
        <v>7.0752000000000009E-2</v>
      </c>
      <c r="D81" s="329">
        <v>20</v>
      </c>
      <c r="E81" s="330">
        <v>130</v>
      </c>
      <c r="F81" s="320">
        <v>24.57325647</v>
      </c>
      <c r="G81" s="320">
        <v>28.864929310000001</v>
      </c>
      <c r="H81" s="331">
        <f t="shared" si="10"/>
        <v>4.2916728400000004</v>
      </c>
      <c r="I81" s="451"/>
      <c r="J81" s="451"/>
    </row>
    <row r="82" spans="1:10">
      <c r="A82" s="232"/>
      <c r="C82" s="320"/>
      <c r="D82" s="332">
        <v>30</v>
      </c>
      <c r="E82" s="333">
        <v>130</v>
      </c>
      <c r="F82" s="411">
        <v>24.765340224822786</v>
      </c>
      <c r="G82" s="411">
        <v>29.405700260740499</v>
      </c>
      <c r="H82" s="334">
        <f t="shared" si="10"/>
        <v>4.6403600359177126</v>
      </c>
      <c r="I82" s="451"/>
      <c r="J82" s="451"/>
    </row>
    <row r="83" spans="1:10" ht="15.75">
      <c r="A83" s="232"/>
      <c r="B83" s="466" t="s">
        <v>331</v>
      </c>
      <c r="C83" s="320">
        <f>0.0743-0.0037</f>
        <v>7.060000000000001E-2</v>
      </c>
      <c r="D83" s="326">
        <v>20</v>
      </c>
      <c r="E83" s="327">
        <v>100</v>
      </c>
      <c r="F83" s="320">
        <v>25.107135630079259</v>
      </c>
      <c r="G83" s="320">
        <v>28.1361632130243</v>
      </c>
      <c r="H83" s="328">
        <f t="shared" si="10"/>
        <v>3.0290275829450408</v>
      </c>
      <c r="I83" s="453"/>
      <c r="J83" s="451"/>
    </row>
    <row r="84" spans="1:10">
      <c r="A84" s="232"/>
      <c r="B84" s="466" t="s">
        <v>332</v>
      </c>
      <c r="C84" s="320">
        <f>C83/20*20.1</f>
        <v>7.0953000000000016E-2</v>
      </c>
      <c r="D84" s="329">
        <v>20</v>
      </c>
      <c r="E84" s="330">
        <v>130</v>
      </c>
      <c r="F84" s="320">
        <v>25.108439481761426</v>
      </c>
      <c r="G84" s="320">
        <v>29.384970658120999</v>
      </c>
      <c r="H84" s="331">
        <f t="shared" si="10"/>
        <v>4.2765311763595726</v>
      </c>
      <c r="I84" s="453"/>
      <c r="J84" s="451"/>
    </row>
    <row r="85" spans="1:10">
      <c r="A85" s="232"/>
      <c r="C85" s="320"/>
      <c r="D85" s="332">
        <v>30</v>
      </c>
      <c r="E85" s="333">
        <v>130</v>
      </c>
      <c r="F85" s="411">
        <v>24.567109737820001</v>
      </c>
      <c r="G85" s="411">
        <v>29.1276973860083</v>
      </c>
      <c r="H85" s="334">
        <f t="shared" si="10"/>
        <v>4.5605876481882994</v>
      </c>
      <c r="I85" s="453"/>
      <c r="J85" s="320"/>
    </row>
    <row r="86" spans="1:10" ht="15.75">
      <c r="A86" s="232"/>
      <c r="B86" s="466" t="s">
        <v>331</v>
      </c>
      <c r="C86" s="320">
        <f>0.0757-0.0045</f>
        <v>7.1199999999999999E-2</v>
      </c>
      <c r="D86" s="326">
        <v>20</v>
      </c>
      <c r="E86" s="327">
        <v>100</v>
      </c>
      <c r="F86" s="320">
        <v>23.911831135262901</v>
      </c>
      <c r="G86" s="320">
        <v>27.189431797828174</v>
      </c>
      <c r="H86" s="328">
        <f t="shared" si="10"/>
        <v>3.2776006625652734</v>
      </c>
      <c r="I86" s="451"/>
      <c r="J86" s="320"/>
    </row>
    <row r="87" spans="1:10">
      <c r="A87" s="14"/>
      <c r="B87" s="466" t="s">
        <v>332</v>
      </c>
      <c r="C87" s="320">
        <f>C86/20*20.1</f>
        <v>7.1555999999999995E-2</v>
      </c>
      <c r="D87" s="329">
        <v>20</v>
      </c>
      <c r="E87" s="330">
        <v>130</v>
      </c>
      <c r="F87" s="320">
        <v>24.421589042043035</v>
      </c>
      <c r="G87" s="320">
        <v>28.72630040206316</v>
      </c>
      <c r="H87" s="331">
        <f t="shared" si="10"/>
        <v>4.304711360020125</v>
      </c>
      <c r="I87" s="451"/>
      <c r="J87" s="320"/>
    </row>
    <row r="88" spans="1:10">
      <c r="A88" s="14"/>
      <c r="C88" s="320"/>
      <c r="D88" s="332">
        <v>30</v>
      </c>
      <c r="E88" s="333">
        <v>130</v>
      </c>
      <c r="F88" s="411">
        <v>24.266830341031</v>
      </c>
      <c r="G88" s="411">
        <v>29.050866338662289</v>
      </c>
      <c r="H88" s="334">
        <f t="shared" si="10"/>
        <v>4.784035997631289</v>
      </c>
      <c r="I88" s="451"/>
      <c r="J88" s="320"/>
    </row>
    <row r="89" spans="1:10">
      <c r="A89" s="471" t="s">
        <v>368</v>
      </c>
      <c r="B89" s="519"/>
      <c r="C89" s="438"/>
      <c r="D89" s="438"/>
      <c r="I89" s="232"/>
    </row>
    <row r="90" spans="1:10">
      <c r="I90" s="232"/>
    </row>
    <row r="91" spans="1:10">
      <c r="B91" s="241" t="s">
        <v>21</v>
      </c>
      <c r="C91" s="241"/>
      <c r="D91" s="242" t="s">
        <v>12</v>
      </c>
      <c r="E91" s="243">
        <f>A94/A93</f>
        <v>605</v>
      </c>
      <c r="I91" s="232"/>
    </row>
    <row r="92" spans="1:10" ht="18.75">
      <c r="A92" s="241">
        <f>0.07/20*12.1</f>
        <v>4.2350000000000006E-2</v>
      </c>
      <c r="B92" s="223" t="s">
        <v>0</v>
      </c>
      <c r="C92" s="224" t="s">
        <v>1</v>
      </c>
      <c r="D92" s="224" t="s">
        <v>17</v>
      </c>
      <c r="E92" s="224" t="s">
        <v>6</v>
      </c>
      <c r="F92" s="225" t="s">
        <v>7</v>
      </c>
      <c r="G92" s="13" t="s">
        <v>366</v>
      </c>
      <c r="H92" s="241"/>
      <c r="I92" s="232"/>
    </row>
    <row r="93" spans="1:10" ht="15.75">
      <c r="A93" s="241">
        <f>0.0788-0.0097</f>
        <v>6.9099999999999995E-2</v>
      </c>
      <c r="B93" s="226">
        <v>20</v>
      </c>
      <c r="C93" s="227">
        <v>100</v>
      </c>
      <c r="D93" s="244">
        <v>24.090131317980951</v>
      </c>
      <c r="E93" s="244">
        <v>26.228769435213199</v>
      </c>
      <c r="F93" s="254">
        <f t="shared" ref="F93:F104" si="11">E93-D93</f>
        <v>2.1386381172322473</v>
      </c>
      <c r="H93" s="241"/>
      <c r="I93" s="232"/>
    </row>
    <row r="94" spans="1:10">
      <c r="A94" s="241">
        <f>1000*A93/20*12.1</f>
        <v>41.805499999999995</v>
      </c>
      <c r="B94" s="245">
        <v>20</v>
      </c>
      <c r="C94" s="246">
        <v>130</v>
      </c>
      <c r="D94" s="247">
        <v>24.423544819566313</v>
      </c>
      <c r="E94" s="247">
        <v>27.2562976930319</v>
      </c>
      <c r="F94" s="255">
        <f t="shared" si="11"/>
        <v>2.8327528734655871</v>
      </c>
      <c r="H94" s="241"/>
      <c r="I94" s="232"/>
    </row>
    <row r="95" spans="1:10">
      <c r="A95" s="241">
        <f>0.0775-0.0083</f>
        <v>6.9199999999999998E-2</v>
      </c>
      <c r="B95" s="248">
        <v>30</v>
      </c>
      <c r="C95" s="249">
        <v>130</v>
      </c>
      <c r="D95" s="250">
        <v>24.574419085646799</v>
      </c>
      <c r="E95" s="250">
        <v>27.581143026420101</v>
      </c>
      <c r="F95" s="256">
        <f t="shared" si="11"/>
        <v>3.006723940773302</v>
      </c>
      <c r="H95" s="241"/>
      <c r="I95" s="232"/>
    </row>
    <row r="96" spans="1:10" ht="15.75">
      <c r="A96" s="241">
        <f>0.0818-0.0096</f>
        <v>7.22E-2</v>
      </c>
      <c r="B96" s="226">
        <v>20</v>
      </c>
      <c r="C96" s="227">
        <v>100</v>
      </c>
      <c r="D96" s="244">
        <v>23.764913455540739</v>
      </c>
      <c r="E96" s="244">
        <v>25.967864004842284</v>
      </c>
      <c r="F96" s="254">
        <f t="shared" si="11"/>
        <v>2.2029505493015442</v>
      </c>
      <c r="H96" s="241"/>
      <c r="I96" s="232"/>
    </row>
    <row r="97" spans="1:27">
      <c r="A97" s="241">
        <f>1000*A96/20*12.1</f>
        <v>43.681000000000004</v>
      </c>
      <c r="B97" s="245">
        <v>20</v>
      </c>
      <c r="C97" s="246">
        <v>130</v>
      </c>
      <c r="D97" s="247">
        <v>24.428387699999998</v>
      </c>
      <c r="E97" s="247">
        <v>27.32303156</v>
      </c>
      <c r="F97" s="255">
        <f t="shared" si="11"/>
        <v>2.8946438600000022</v>
      </c>
      <c r="H97" s="241"/>
      <c r="I97" s="232"/>
    </row>
    <row r="98" spans="1:27">
      <c r="A98" s="241">
        <f>0.0775-0.0083</f>
        <v>6.9199999999999998E-2</v>
      </c>
      <c r="B98" s="248">
        <v>30</v>
      </c>
      <c r="C98" s="249">
        <v>130</v>
      </c>
      <c r="D98" s="250">
        <v>24.418143149999999</v>
      </c>
      <c r="E98" s="250">
        <v>27.491414695466453</v>
      </c>
      <c r="F98" s="256">
        <f t="shared" si="11"/>
        <v>3.0732715454664543</v>
      </c>
      <c r="H98" s="241"/>
      <c r="I98" s="232"/>
    </row>
    <row r="99" spans="1:27" ht="15.75">
      <c r="A99" s="241">
        <f>0.0695-0.0003</f>
        <v>6.9200000000000012E-2</v>
      </c>
      <c r="B99" s="226">
        <v>20</v>
      </c>
      <c r="C99" s="227">
        <v>100</v>
      </c>
      <c r="D99" s="244">
        <v>24.102145379909601</v>
      </c>
      <c r="E99" s="244">
        <v>26.23738877400092</v>
      </c>
      <c r="F99" s="254">
        <f t="shared" si="11"/>
        <v>2.1352433940913187</v>
      </c>
      <c r="H99" s="241"/>
      <c r="I99" s="232"/>
    </row>
    <row r="100" spans="1:27">
      <c r="A100" s="241">
        <f>1000*A99/20*12.1</f>
        <v>41.866000000000007</v>
      </c>
      <c r="B100" s="245">
        <v>20</v>
      </c>
      <c r="C100" s="246">
        <v>130</v>
      </c>
      <c r="D100" s="247">
        <v>24.249946281310692</v>
      </c>
      <c r="E100" s="247">
        <v>26.99297082</v>
      </c>
      <c r="F100" s="255">
        <f t="shared" si="11"/>
        <v>2.7430245386893084</v>
      </c>
      <c r="H100" s="241"/>
      <c r="I100" s="232"/>
    </row>
    <row r="101" spans="1:27">
      <c r="A101" s="241">
        <f>0.0775-0.0083</f>
        <v>6.9199999999999998E-2</v>
      </c>
      <c r="B101" s="248">
        <v>30</v>
      </c>
      <c r="C101" s="249">
        <v>130</v>
      </c>
      <c r="D101" s="250">
        <v>24.429039620000001</v>
      </c>
      <c r="E101" s="250">
        <v>27.495233120000002</v>
      </c>
      <c r="F101" s="256">
        <f t="shared" si="11"/>
        <v>3.0661935000000007</v>
      </c>
      <c r="H101" s="241"/>
    </row>
    <row r="102" spans="1:27" ht="15.75">
      <c r="A102" s="241">
        <f>0.0812-0.0106</f>
        <v>7.0599999999999996E-2</v>
      </c>
      <c r="B102" s="226">
        <v>20</v>
      </c>
      <c r="C102" s="227">
        <v>100</v>
      </c>
      <c r="D102" s="244">
        <v>24.097395634495946</v>
      </c>
      <c r="E102" s="244">
        <v>26.30593412</v>
      </c>
      <c r="F102" s="254">
        <f t="shared" si="11"/>
        <v>2.2085384855040537</v>
      </c>
      <c r="H102" s="241"/>
    </row>
    <row r="103" spans="1:27">
      <c r="A103" s="241">
        <f>1000*A102/20*12.1</f>
        <v>42.712999999999994</v>
      </c>
      <c r="B103" s="245">
        <v>20</v>
      </c>
      <c r="C103" s="246">
        <v>130</v>
      </c>
      <c r="D103" s="247">
        <v>24.437048999999998</v>
      </c>
      <c r="E103" s="247" t="e">
        <f>[1]!'!Untitled!R4402C5'</f>
        <v>#REF!</v>
      </c>
      <c r="F103" s="255" t="e">
        <f t="shared" si="11"/>
        <v>#REF!</v>
      </c>
      <c r="H103" s="241"/>
    </row>
    <row r="104" spans="1:27">
      <c r="A104" s="241">
        <f>0.0775-0.0083</f>
        <v>6.9199999999999998E-2</v>
      </c>
      <c r="B104" s="248">
        <v>30</v>
      </c>
      <c r="C104" s="249">
        <v>130</v>
      </c>
      <c r="D104" s="250">
        <v>24.76310505</v>
      </c>
      <c r="E104" s="250">
        <v>27.850160169999999</v>
      </c>
      <c r="F104" s="256">
        <f t="shared" si="11"/>
        <v>3.0870551199999987</v>
      </c>
      <c r="H104" s="241"/>
    </row>
    <row r="105" spans="1:27">
      <c r="H105" s="241"/>
    </row>
    <row r="106" spans="1:27">
      <c r="H106" s="241"/>
      <c r="K106" s="14"/>
    </row>
    <row r="107" spans="1:27">
      <c r="H107" s="241"/>
      <c r="T107" s="13" t="s">
        <v>18</v>
      </c>
      <c r="V107" s="13">
        <f>0.07/20*3.9</f>
        <v>1.3650000000000002E-2</v>
      </c>
    </row>
    <row r="108" spans="1:27" ht="18.75">
      <c r="H108" s="241"/>
      <c r="Q108" s="233"/>
      <c r="T108" s="241"/>
      <c r="U108" s="223" t="s">
        <v>0</v>
      </c>
      <c r="V108" s="224" t="s">
        <v>1</v>
      </c>
      <c r="W108" s="224" t="s">
        <v>17</v>
      </c>
      <c r="X108" s="224" t="s">
        <v>6</v>
      </c>
      <c r="Y108" s="225" t="s">
        <v>7</v>
      </c>
    </row>
    <row r="109" spans="1:27" ht="15.75">
      <c r="H109" s="241"/>
      <c r="Q109" s="233"/>
      <c r="T109" s="241">
        <f>0.0979-0.0268</f>
        <v>7.1099999999999997E-2</v>
      </c>
      <c r="U109" s="226">
        <v>20</v>
      </c>
      <c r="V109" s="227">
        <v>100</v>
      </c>
      <c r="W109" s="244">
        <v>24.577633683540501</v>
      </c>
      <c r="X109" s="244">
        <v>25.979319273192846</v>
      </c>
      <c r="Y109" s="254">
        <f t="shared" ref="Y109:Y114" si="12">X109-W109</f>
        <v>1.4016855896523452</v>
      </c>
      <c r="Z109" s="241">
        <f>Y109/T109</f>
        <v>19.714283961355068</v>
      </c>
      <c r="AA109" s="13">
        <f>Z109*0.07</f>
        <v>1.379999877294855</v>
      </c>
    </row>
    <row r="110" spans="1:27">
      <c r="H110" s="241"/>
      <c r="Q110" s="233"/>
      <c r="T110" s="241">
        <f>1000*T109/20*3.9</f>
        <v>13.864499999999998</v>
      </c>
      <c r="U110" s="245">
        <v>20</v>
      </c>
      <c r="V110" s="246">
        <v>130</v>
      </c>
      <c r="W110" s="247">
        <v>25.740038439037701</v>
      </c>
      <c r="X110" s="247">
        <v>27.4468043414834</v>
      </c>
      <c r="Y110" s="255">
        <f t="shared" si="12"/>
        <v>1.7067659024456994</v>
      </c>
      <c r="Z110" s="241">
        <f>Y110/T109</f>
        <v>24.005146307253156</v>
      </c>
      <c r="AA110" s="13">
        <f>Z110*0.07</f>
        <v>1.680360241507721</v>
      </c>
    </row>
    <row r="111" spans="1:27">
      <c r="H111" s="241"/>
      <c r="Q111" s="233"/>
      <c r="R111" s="13">
        <f>Q108*0.07</f>
        <v>0</v>
      </c>
      <c r="T111" s="251"/>
      <c r="U111" s="245">
        <v>30</v>
      </c>
      <c r="V111" s="246">
        <v>130</v>
      </c>
      <c r="W111" s="250">
        <v>25.879319273192799</v>
      </c>
      <c r="X111" s="250">
        <v>27.856865695528132</v>
      </c>
      <c r="Y111" s="255">
        <f t="shared" si="12"/>
        <v>1.9775464223353332</v>
      </c>
      <c r="Z111" s="241">
        <f>Y111/T109</f>
        <v>27.813592437909048</v>
      </c>
    </row>
    <row r="112" spans="1:27" ht="15.75">
      <c r="Q112" s="233"/>
      <c r="R112" s="13">
        <f>Q109*0.07</f>
        <v>0</v>
      </c>
      <c r="T112" s="251">
        <f>0.0733-0.0019</f>
        <v>7.1400000000000005E-2</v>
      </c>
      <c r="U112" s="226">
        <v>20</v>
      </c>
      <c r="V112" s="227">
        <v>100</v>
      </c>
      <c r="W112" s="244">
        <v>25.977270363406575</v>
      </c>
      <c r="X112" s="244">
        <v>27.344172587643399</v>
      </c>
      <c r="Y112" s="254">
        <f t="shared" si="12"/>
        <v>1.3669022242368243</v>
      </c>
      <c r="Z112" s="241">
        <f>Y112/T112</f>
        <v>19.144288854857482</v>
      </c>
    </row>
    <row r="113" spans="8:27">
      <c r="Q113" s="233"/>
      <c r="T113" s="251">
        <f>1000*T112/20*3.9</f>
        <v>13.923</v>
      </c>
      <c r="U113" s="245">
        <v>20</v>
      </c>
      <c r="V113" s="246">
        <v>130</v>
      </c>
      <c r="W113" s="247">
        <v>25.740410968089702</v>
      </c>
      <c r="X113" s="247">
        <v>27.333928038712031</v>
      </c>
      <c r="Y113" s="255">
        <f t="shared" si="12"/>
        <v>1.5935170706223296</v>
      </c>
      <c r="Z113" s="241">
        <f>Y113/T112</f>
        <v>22.318166255214699</v>
      </c>
    </row>
    <row r="114" spans="8:27">
      <c r="Q114" s="233"/>
      <c r="R114" s="13">
        <f>Q114*0.07</f>
        <v>0</v>
      </c>
      <c r="T114" s="232"/>
      <c r="U114" s="245">
        <v>30</v>
      </c>
      <c r="V114" s="246">
        <v>130</v>
      </c>
      <c r="W114" s="250">
        <v>25.974290130990148</v>
      </c>
      <c r="X114" s="250">
        <v>27.710320544858</v>
      </c>
      <c r="Y114" s="255">
        <f t="shared" si="12"/>
        <v>1.7360304138678515</v>
      </c>
      <c r="Z114" s="241">
        <f>Y114/T112</f>
        <v>24.314151454731814</v>
      </c>
    </row>
    <row r="115" spans="8:27" ht="15.75">
      <c r="H115" s="241"/>
      <c r="Q115" s="233"/>
      <c r="R115" s="13">
        <f>Q115*0.07</f>
        <v>0</v>
      </c>
      <c r="T115" s="251">
        <f>0.0912-0.0173</f>
        <v>7.3900000000000007E-2</v>
      </c>
      <c r="U115" s="226">
        <v>20</v>
      </c>
      <c r="V115" s="227">
        <v>100</v>
      </c>
      <c r="W115" s="244">
        <v>24.711396667742498</v>
      </c>
      <c r="X115" s="244">
        <v>25.990308880228348</v>
      </c>
      <c r="Y115" s="254">
        <f t="shared" ref="Y115:Y123" si="13">X115-W115</f>
        <v>1.2789122124858494</v>
      </c>
      <c r="Z115" s="241">
        <f>Y115/T115</f>
        <v>17.305983930796337</v>
      </c>
    </row>
    <row r="116" spans="8:27">
      <c r="H116" s="241"/>
      <c r="Q116" s="233"/>
      <c r="T116" s="251">
        <f>1000*T115/20*3.9</f>
        <v>14.410500000000001</v>
      </c>
      <c r="U116" s="245">
        <v>20</v>
      </c>
      <c r="V116" s="246">
        <v>130</v>
      </c>
      <c r="W116" s="247">
        <v>26.511708319884999</v>
      </c>
      <c r="X116" s="247">
        <v>28.247600570178101</v>
      </c>
      <c r="Y116" s="255">
        <f t="shared" si="13"/>
        <v>1.7358922502931016</v>
      </c>
      <c r="Z116" s="241">
        <f>Y116/T115</f>
        <v>23.489746282721264</v>
      </c>
    </row>
    <row r="117" spans="8:27">
      <c r="H117" s="241"/>
      <c r="U117" s="245">
        <v>30</v>
      </c>
      <c r="V117" s="246">
        <v>130</v>
      </c>
      <c r="W117" s="250">
        <v>26.331452359643709</v>
      </c>
      <c r="X117" s="250">
        <v>28.300337481518799</v>
      </c>
      <c r="Y117" s="255">
        <f t="shared" si="13"/>
        <v>1.9688851218750898</v>
      </c>
      <c r="Z117" s="241">
        <f>Y117/T115</f>
        <v>26.642559159338155</v>
      </c>
    </row>
    <row r="118" spans="8:27" ht="15.75">
      <c r="H118" s="241"/>
      <c r="T118" s="241">
        <f>0.0884-0.0185</f>
        <v>6.9900000000000004E-2</v>
      </c>
      <c r="U118" s="226">
        <v>20</v>
      </c>
      <c r="V118" s="227">
        <v>100</v>
      </c>
      <c r="W118" s="244">
        <v>24.92496892362648</v>
      </c>
      <c r="X118" s="244">
        <v>25.981833844294183</v>
      </c>
      <c r="Y118" s="254">
        <f t="shared" si="13"/>
        <v>1.056864920667703</v>
      </c>
      <c r="Z118" s="241">
        <f>Y118/T118</f>
        <v>15.119669823572288</v>
      </c>
    </row>
    <row r="119" spans="8:27">
      <c r="H119" s="241"/>
      <c r="T119" s="241">
        <f>1000*T118/20*3.9</f>
        <v>13.6305</v>
      </c>
      <c r="U119" s="245">
        <v>20</v>
      </c>
      <c r="V119" s="246">
        <v>130</v>
      </c>
      <c r="W119" s="247">
        <v>26.176387141727627</v>
      </c>
      <c r="X119" s="247">
        <v>27.32815383840525</v>
      </c>
      <c r="Y119" s="255">
        <f t="shared" si="13"/>
        <v>1.1517666966776225</v>
      </c>
      <c r="Z119" s="241">
        <f>Y119/T118</f>
        <v>16.477349022569708</v>
      </c>
    </row>
    <row r="120" spans="8:27">
      <c r="H120" s="241"/>
      <c r="U120" s="248">
        <v>30</v>
      </c>
      <c r="V120" s="249">
        <v>130</v>
      </c>
      <c r="W120" s="250">
        <v>26.307796764838503</v>
      </c>
      <c r="X120" s="250">
        <v>27.506502122074501</v>
      </c>
      <c r="Y120" s="255">
        <f t="shared" si="13"/>
        <v>1.1987053572359976</v>
      </c>
      <c r="Z120" s="241">
        <f>Y120/T118</f>
        <v>17.148860618540738</v>
      </c>
    </row>
    <row r="121" spans="8:27" ht="15.75">
      <c r="H121" s="241"/>
      <c r="T121" s="241">
        <f>0.0766-0.0056</f>
        <v>7.1000000000000008E-2</v>
      </c>
      <c r="U121" s="226">
        <v>20</v>
      </c>
      <c r="V121" s="227">
        <v>100</v>
      </c>
      <c r="W121" s="244">
        <v>25.20483137397953</v>
      </c>
      <c r="X121" s="244">
        <v>26.420649017134298</v>
      </c>
      <c r="Y121" s="254">
        <f t="shared" si="13"/>
        <v>1.215817643154768</v>
      </c>
      <c r="Z121" s="241">
        <f>Y121/T121</f>
        <v>17.124192157109409</v>
      </c>
    </row>
    <row r="122" spans="8:27">
      <c r="H122" s="241"/>
      <c r="I122" s="228"/>
      <c r="Q122" s="233"/>
      <c r="T122" s="241">
        <f>1000*T121/20*3.9</f>
        <v>13.845000000000002</v>
      </c>
      <c r="U122" s="245">
        <v>20</v>
      </c>
      <c r="V122" s="246">
        <v>130</v>
      </c>
      <c r="W122" s="247">
        <v>25.456591931378401</v>
      </c>
      <c r="X122" s="247">
        <v>26.999117553181506</v>
      </c>
      <c r="Y122" s="255">
        <f t="shared" si="13"/>
        <v>1.5425256218031045</v>
      </c>
      <c r="Z122" s="241">
        <f>Y122/T121</f>
        <v>21.725712983142316</v>
      </c>
    </row>
    <row r="123" spans="8:27">
      <c r="H123" s="241"/>
      <c r="I123" s="228"/>
      <c r="Q123" s="233"/>
      <c r="R123" s="13">
        <v>1.2002475116135443</v>
      </c>
      <c r="U123" s="248">
        <v>30</v>
      </c>
      <c r="V123" s="249">
        <v>130</v>
      </c>
      <c r="W123" s="250">
        <v>25.638548322829497</v>
      </c>
      <c r="X123" s="250">
        <v>27.437094535654499</v>
      </c>
      <c r="Y123" s="256">
        <f t="shared" si="13"/>
        <v>1.798546212825002</v>
      </c>
      <c r="Z123" s="241">
        <f>Y123/T121</f>
        <v>25.33163680035214</v>
      </c>
    </row>
    <row r="124" spans="8:27">
      <c r="H124" s="241"/>
      <c r="I124" s="228"/>
      <c r="Q124" s="233"/>
      <c r="R124" s="13">
        <v>1.6419038865442734</v>
      </c>
      <c r="T124" s="241"/>
      <c r="Z124" s="241"/>
    </row>
    <row r="125" spans="8:27">
      <c r="H125" s="241"/>
      <c r="Q125" s="233"/>
      <c r="T125" s="13" t="s">
        <v>20</v>
      </c>
    </row>
    <row r="126" spans="8:27" ht="18.75">
      <c r="H126" s="241"/>
      <c r="Q126" s="233"/>
      <c r="R126" s="13">
        <f>Q122*0.07</f>
        <v>0</v>
      </c>
      <c r="T126" s="241"/>
      <c r="U126" s="223" t="s">
        <v>0</v>
      </c>
      <c r="V126" s="224" t="s">
        <v>1</v>
      </c>
      <c r="W126" s="224" t="s">
        <v>17</v>
      </c>
      <c r="X126" s="224" t="s">
        <v>6</v>
      </c>
      <c r="Y126" s="225" t="s">
        <v>7</v>
      </c>
    </row>
    <row r="127" spans="8:27" ht="15.75">
      <c r="H127" s="241"/>
      <c r="Q127" s="233"/>
      <c r="R127" s="13">
        <f>Q123*0.07</f>
        <v>0</v>
      </c>
      <c r="T127" s="241">
        <f>0.0795-0.0062</f>
        <v>7.3300000000000004E-2</v>
      </c>
      <c r="U127" s="226">
        <v>20</v>
      </c>
      <c r="V127" s="227">
        <v>100</v>
      </c>
      <c r="W127" s="244">
        <v>24.759379759989958</v>
      </c>
      <c r="X127" s="244">
        <v>26.267491475790202</v>
      </c>
      <c r="Y127" s="254">
        <f t="shared" ref="Y127:Y138" si="14">X127-W127</f>
        <v>1.5081117158002435</v>
      </c>
      <c r="Z127" s="241">
        <f>Y127/T127</f>
        <v>20.574511811735928</v>
      </c>
      <c r="AA127" s="13">
        <f>Z127*0.07</f>
        <v>1.4402158268215151</v>
      </c>
    </row>
    <row r="128" spans="8:27">
      <c r="H128" s="241"/>
      <c r="Q128" s="233"/>
      <c r="T128" s="241">
        <f>1000*T127/20*8.1</f>
        <v>29.686499999999999</v>
      </c>
      <c r="U128" s="245">
        <v>20</v>
      </c>
      <c r="V128" s="246">
        <v>130</v>
      </c>
      <c r="W128" s="247">
        <v>25.097170477936899</v>
      </c>
      <c r="X128" s="247">
        <v>26.888848953774499</v>
      </c>
      <c r="Y128" s="255">
        <f t="shared" si="14"/>
        <v>1.7916784758375996</v>
      </c>
      <c r="Z128" s="241">
        <f>Y128/T127</f>
        <v>24.443089711290579</v>
      </c>
    </row>
    <row r="129" spans="8:26">
      <c r="H129" s="241"/>
      <c r="Q129" s="233"/>
      <c r="T129" s="251"/>
      <c r="U129" s="245">
        <v>30</v>
      </c>
      <c r="V129" s="246">
        <v>130</v>
      </c>
      <c r="W129" s="250">
        <v>25.098660594145095</v>
      </c>
      <c r="X129" s="250">
        <v>27.311203766536952</v>
      </c>
      <c r="Y129" s="256">
        <f t="shared" si="14"/>
        <v>2.2125431723918574</v>
      </c>
      <c r="Z129" s="241">
        <f>Y129/T127</f>
        <v>30.184763606983047</v>
      </c>
    </row>
    <row r="130" spans="8:26" ht="15.75">
      <c r="H130" s="241"/>
      <c r="Q130" s="233"/>
      <c r="T130" s="251">
        <f>0.0796-0.0095</f>
        <v>7.010000000000001E-2</v>
      </c>
      <c r="U130" s="226">
        <v>20</v>
      </c>
      <c r="V130" s="227">
        <v>100</v>
      </c>
      <c r="W130" s="244">
        <v>25.099964445827261</v>
      </c>
      <c r="X130" s="244">
        <v>26.640744605108775</v>
      </c>
      <c r="Y130" s="254">
        <f t="shared" si="14"/>
        <v>1.540780159281514</v>
      </c>
      <c r="Z130" s="241">
        <f>Y130/T130</f>
        <v>21.979745496169954</v>
      </c>
    </row>
    <row r="131" spans="8:26">
      <c r="T131" s="241">
        <f>1000*T130/20*8.1</f>
        <v>28.390500000000003</v>
      </c>
      <c r="U131" s="245">
        <v>20</v>
      </c>
      <c r="V131" s="246">
        <v>130</v>
      </c>
      <c r="W131" s="247">
        <v>24.599099135345181</v>
      </c>
      <c r="X131" s="247">
        <v>26.6446561601553</v>
      </c>
      <c r="Y131" s="255">
        <f t="shared" si="14"/>
        <v>2.0455570248101189</v>
      </c>
      <c r="Z131" s="241">
        <f>Y131/T130</f>
        <v>29.180556701998839</v>
      </c>
    </row>
    <row r="132" spans="8:26">
      <c r="Q132" s="233"/>
      <c r="T132" s="232"/>
      <c r="U132" s="245">
        <v>30</v>
      </c>
      <c r="V132" s="246">
        <v>130</v>
      </c>
      <c r="W132" s="250">
        <v>24.76636467971591</v>
      </c>
      <c r="X132" s="250">
        <v>26.973133651800957</v>
      </c>
      <c r="Y132" s="256">
        <f t="shared" si="14"/>
        <v>2.2067689720850474</v>
      </c>
      <c r="Z132" s="241">
        <f>Y132/T130</f>
        <v>31.480299173823781</v>
      </c>
    </row>
    <row r="133" spans="8:26" ht="15.75">
      <c r="H133" s="309"/>
      <c r="Q133" s="233"/>
      <c r="T133" s="251">
        <f>0.0735-0.0032</f>
        <v>7.0300000000000001E-2</v>
      </c>
      <c r="U133" s="226">
        <v>20</v>
      </c>
      <c r="V133" s="227">
        <v>100</v>
      </c>
      <c r="W133" s="244">
        <v>24.41767748699651</v>
      </c>
      <c r="X133" s="244">
        <v>25.961158481905379</v>
      </c>
      <c r="Y133" s="254">
        <f t="shared" si="14"/>
        <v>1.5434809949088688</v>
      </c>
      <c r="Z133" s="241">
        <f>Y133/T133</f>
        <v>21.955632929002402</v>
      </c>
    </row>
    <row r="134" spans="8:26">
      <c r="H134" s="245">
        <f>F93/$A$93</f>
        <v>30.949900394099096</v>
      </c>
      <c r="Q134" s="233"/>
      <c r="T134" s="241">
        <f>1000*T133/20*8.1</f>
        <v>28.471499999999995</v>
      </c>
      <c r="U134" s="245">
        <v>20</v>
      </c>
      <c r="V134" s="246">
        <v>130</v>
      </c>
      <c r="W134" s="247">
        <v>24.763663844088551</v>
      </c>
      <c r="X134" s="247">
        <v>26.574713830632806</v>
      </c>
      <c r="Y134" s="255">
        <f t="shared" si="14"/>
        <v>1.8110499865442549</v>
      </c>
      <c r="Z134" s="241">
        <f>Y134/T133</f>
        <v>25.761735228225533</v>
      </c>
    </row>
    <row r="135" spans="8:26">
      <c r="H135" s="245">
        <f>F94/$A$93</f>
        <v>40.994976461151772</v>
      </c>
      <c r="Q135" s="233"/>
      <c r="U135" s="245">
        <v>30</v>
      </c>
      <c r="V135" s="246">
        <v>130</v>
      </c>
      <c r="W135" s="250">
        <v>25.101361429772453</v>
      </c>
      <c r="X135" s="250">
        <v>26.976952069999999</v>
      </c>
      <c r="Y135" s="255">
        <f t="shared" si="14"/>
        <v>1.8755906402275464</v>
      </c>
      <c r="Z135" s="241">
        <f>Y135/T133</f>
        <v>26.679809960562537</v>
      </c>
    </row>
    <row r="136" spans="8:26" ht="15.75">
      <c r="H136" s="245">
        <f>F95/$A$95</f>
        <v>43.449767930250033</v>
      </c>
      <c r="Q136" s="233"/>
      <c r="T136" s="241">
        <f>0.0725-0.0028</f>
        <v>6.9699999999999998E-2</v>
      </c>
      <c r="U136" s="226">
        <v>20</v>
      </c>
      <c r="V136" s="227">
        <v>100</v>
      </c>
      <c r="W136" s="244">
        <v>24.420750851675933</v>
      </c>
      <c r="X136" s="244">
        <v>25.970099179154577</v>
      </c>
      <c r="Y136" s="254">
        <f t="shared" si="14"/>
        <v>1.5493483274786435</v>
      </c>
      <c r="Z136" s="241">
        <f>Y136/T136</f>
        <v>22.228813880611817</v>
      </c>
    </row>
    <row r="137" spans="8:26">
      <c r="H137" s="245">
        <f>F96/$A$96</f>
        <v>30.511780461240225</v>
      </c>
      <c r="I137" s="228">
        <v>30.900053518975717</v>
      </c>
      <c r="Q137" s="233"/>
      <c r="T137" s="241">
        <f>1000*T136/20*8.1</f>
        <v>28.2285</v>
      </c>
      <c r="U137" s="245">
        <v>20</v>
      </c>
      <c r="V137" s="246">
        <v>130</v>
      </c>
      <c r="W137" s="247">
        <v>25.096425419832801</v>
      </c>
      <c r="X137" s="247">
        <v>26.970712212962646</v>
      </c>
      <c r="Y137" s="255">
        <f t="shared" si="14"/>
        <v>1.8742867931298441</v>
      </c>
      <c r="Z137" s="241">
        <f>Y137/T136</f>
        <v>26.890771780915987</v>
      </c>
    </row>
    <row r="138" spans="8:26">
      <c r="H138" s="245">
        <f>F97/$A$96</f>
        <v>40.092020221606681</v>
      </c>
      <c r="I138" s="228">
        <v>40.428047557008824</v>
      </c>
      <c r="U138" s="248">
        <v>30</v>
      </c>
      <c r="V138" s="249">
        <v>130</v>
      </c>
      <c r="W138" s="250">
        <v>24.757889643781773</v>
      </c>
      <c r="X138" s="250">
        <v>26.980025439263912</v>
      </c>
      <c r="Y138" s="255">
        <f t="shared" si="14"/>
        <v>2.2221357954821386</v>
      </c>
      <c r="Z138" s="241">
        <f>Y138/T136</f>
        <v>31.881431785970424</v>
      </c>
    </row>
    <row r="139" spans="8:26">
      <c r="H139" s="245">
        <f>F98/$A$96</f>
        <v>42.56608788734701</v>
      </c>
      <c r="I139" s="228">
        <v>43.512750910751905</v>
      </c>
      <c r="T139" s="14">
        <v>42310</v>
      </c>
      <c r="U139" s="13" t="s">
        <v>22</v>
      </c>
    </row>
    <row r="140" spans="8:26" ht="18.75">
      <c r="H140" s="245">
        <f>F99/$A$99</f>
        <v>30.856118411724253</v>
      </c>
      <c r="Q140" s="233"/>
      <c r="T140" s="241"/>
      <c r="U140" s="223" t="s">
        <v>0</v>
      </c>
      <c r="V140" s="224" t="s">
        <v>1</v>
      </c>
      <c r="W140" s="224" t="s">
        <v>17</v>
      </c>
      <c r="X140" s="224" t="s">
        <v>6</v>
      </c>
      <c r="Y140" s="225" t="s">
        <v>7</v>
      </c>
    </row>
    <row r="141" spans="8:26" ht="15.75">
      <c r="H141" s="245">
        <f>F100/$A$99</f>
        <v>39.639082929036242</v>
      </c>
      <c r="Q141" s="233"/>
      <c r="T141" s="241">
        <f>0.0936-0.0239</f>
        <v>6.9699999999999998E-2</v>
      </c>
      <c r="U141" s="226">
        <v>20</v>
      </c>
      <c r="V141" s="227">
        <v>100</v>
      </c>
      <c r="W141" s="259">
        <v>24.089572524402893</v>
      </c>
      <c r="X141" s="258">
        <v>25.445298877078223</v>
      </c>
      <c r="Y141" s="254">
        <f t="shared" ref="Y141:Y143" si="15">X141-W141</f>
        <v>1.3557263526753296</v>
      </c>
      <c r="Z141" s="241">
        <f>Y141/T141</f>
        <v>19.450880239244327</v>
      </c>
    </row>
    <row r="142" spans="8:26">
      <c r="H142" s="245">
        <f>F101/$A$99</f>
        <v>44.309154624277461</v>
      </c>
      <c r="Q142" s="233"/>
      <c r="T142" s="241">
        <f>1000*T141/20*8.1</f>
        <v>28.2285</v>
      </c>
      <c r="U142" s="245">
        <v>20</v>
      </c>
      <c r="V142" s="246">
        <v>130</v>
      </c>
      <c r="W142" s="247"/>
      <c r="X142" s="247"/>
      <c r="Y142" s="255">
        <f t="shared" si="15"/>
        <v>0</v>
      </c>
      <c r="Z142" s="241">
        <f>Y142/T141</f>
        <v>0</v>
      </c>
    </row>
    <row r="143" spans="8:26">
      <c r="H143" s="245">
        <f>F102/$A$102</f>
        <v>31.282414808839288</v>
      </c>
      <c r="T143" s="251"/>
      <c r="U143" s="245">
        <v>30</v>
      </c>
      <c r="V143" s="246">
        <v>130</v>
      </c>
      <c r="W143" s="250"/>
      <c r="X143" s="250"/>
      <c r="Y143" s="256">
        <f t="shared" si="15"/>
        <v>0</v>
      </c>
      <c r="Z143" s="241">
        <f>Y143/T141</f>
        <v>0</v>
      </c>
    </row>
    <row r="144" spans="8:26">
      <c r="H144" s="245" t="e">
        <f>F103/$A$102</f>
        <v>#REF!</v>
      </c>
    </row>
    <row r="145" spans="1:26">
      <c r="H145" s="245">
        <f>F104/$A$102</f>
        <v>43.725993201133129</v>
      </c>
      <c r="Q145" s="233"/>
    </row>
    <row r="146" spans="1:26">
      <c r="B146" s="241"/>
      <c r="C146" s="246"/>
      <c r="D146" s="246"/>
      <c r="E146" s="247"/>
      <c r="F146" s="247"/>
      <c r="G146" s="246"/>
      <c r="H146" s="246"/>
      <c r="Q146" s="233"/>
    </row>
    <row r="147" spans="1:26">
      <c r="B147" s="232"/>
      <c r="C147" s="241" t="s">
        <v>43</v>
      </c>
      <c r="D147" s="221"/>
      <c r="E147" s="221"/>
      <c r="F147" s="221"/>
      <c r="G147" s="221"/>
      <c r="H147" s="272"/>
      <c r="Q147" s="233"/>
    </row>
    <row r="148" spans="1:26" ht="18.75">
      <c r="B148" s="232"/>
      <c r="C148" s="302" t="s">
        <v>0</v>
      </c>
      <c r="D148" s="303" t="s">
        <v>1</v>
      </c>
      <c r="E148" s="303" t="s">
        <v>8</v>
      </c>
      <c r="F148" s="303" t="s">
        <v>6</v>
      </c>
      <c r="G148" s="304" t="s">
        <v>7</v>
      </c>
      <c r="H148" s="232"/>
      <c r="Q148" s="233"/>
    </row>
    <row r="149" spans="1:26" ht="15.75">
      <c r="B149" s="232">
        <f>0.1036-0.0275</f>
        <v>7.6100000000000001E-2</v>
      </c>
      <c r="C149" s="48">
        <v>20</v>
      </c>
      <c r="D149" s="52">
        <v>100</v>
      </c>
      <c r="E149" s="305">
        <v>23.746287002938001</v>
      </c>
      <c r="F149" s="305">
        <v>25.445578273867266</v>
      </c>
      <c r="G149" s="306">
        <f t="shared" ref="G149:G154" si="16">F149-E149</f>
        <v>1.6992912709292654</v>
      </c>
      <c r="H149" s="232">
        <f>G149/$B$149</f>
        <v>22.329714466876023</v>
      </c>
      <c r="Q149" s="233"/>
    </row>
    <row r="150" spans="1:26" ht="15.75">
      <c r="B150" s="232">
        <f>1000*B149/20*16</f>
        <v>60.879999999999995</v>
      </c>
      <c r="C150" s="34">
        <v>20</v>
      </c>
      <c r="D150" s="39">
        <v>130</v>
      </c>
      <c r="E150" s="305">
        <v>24.094601666605566</v>
      </c>
      <c r="F150" s="305">
        <v>25.965721962792987</v>
      </c>
      <c r="G150" s="93">
        <f t="shared" si="16"/>
        <v>1.8711202961874207</v>
      </c>
      <c r="H150" s="232">
        <f>G150/B149</f>
        <v>24.587651723882008</v>
      </c>
      <c r="Q150" s="233"/>
    </row>
    <row r="151" spans="1:26" ht="15.75">
      <c r="B151" s="232"/>
      <c r="C151" s="42">
        <v>30</v>
      </c>
      <c r="D151" s="43">
        <v>130</v>
      </c>
      <c r="E151" s="307">
        <v>23.8089857353471</v>
      </c>
      <c r="F151" s="307">
        <v>25.615637786128399</v>
      </c>
      <c r="G151" s="308">
        <f t="shared" si="16"/>
        <v>1.8066520507812989</v>
      </c>
      <c r="H151" s="232">
        <f>G151/B149</f>
        <v>23.740500010266739</v>
      </c>
      <c r="Q151" s="233"/>
    </row>
    <row r="152" spans="1:26" ht="15.75">
      <c r="B152" s="232">
        <f>0.0778-0.0055</f>
        <v>7.2299999999999989E-2</v>
      </c>
      <c r="C152" s="48">
        <v>20</v>
      </c>
      <c r="D152" s="52">
        <v>100</v>
      </c>
      <c r="E152" s="305">
        <v>23.759418652023001</v>
      </c>
      <c r="F152" s="305">
        <v>25.559385899268733</v>
      </c>
      <c r="G152" s="306">
        <f t="shared" si="16"/>
        <v>1.799967247245732</v>
      </c>
      <c r="H152" s="232">
        <f t="shared" ref="H152:H157" si="17">G152/$B$152</f>
        <v>24.895812548350378</v>
      </c>
      <c r="Q152" s="233"/>
    </row>
    <row r="153" spans="1:26" ht="15.75">
      <c r="B153" s="232">
        <f>1000*B152/20*16</f>
        <v>57.839999999999989</v>
      </c>
      <c r="C153" s="34">
        <v>20</v>
      </c>
      <c r="D153" s="39">
        <v>130</v>
      </c>
      <c r="E153" s="305">
        <v>23.74973289666967</v>
      </c>
      <c r="F153" s="305">
        <v>26.145187833618383</v>
      </c>
      <c r="G153" s="93">
        <f t="shared" si="16"/>
        <v>2.3954549369487133</v>
      </c>
      <c r="H153" s="232">
        <f t="shared" si="17"/>
        <v>33.132156804269897</v>
      </c>
    </row>
    <row r="154" spans="1:26" ht="15.75">
      <c r="B154" s="232"/>
      <c r="C154" s="42">
        <v>30</v>
      </c>
      <c r="D154" s="43">
        <v>130</v>
      </c>
      <c r="E154" s="307">
        <v>24.064706210178517</v>
      </c>
      <c r="F154" s="307">
        <v>26.659836719026369</v>
      </c>
      <c r="G154" s="308">
        <f t="shared" si="16"/>
        <v>2.595130508847852</v>
      </c>
      <c r="H154" s="232">
        <f t="shared" si="17"/>
        <v>35.893921284202662</v>
      </c>
    </row>
    <row r="155" spans="1:26" ht="15.75">
      <c r="B155" s="232">
        <f>0.0948-0.0215</f>
        <v>7.3300000000000004E-2</v>
      </c>
      <c r="C155" s="48">
        <v>20</v>
      </c>
      <c r="D155" s="52">
        <v>100</v>
      </c>
      <c r="E155" s="292">
        <v>24.102145379909601</v>
      </c>
      <c r="F155" s="292">
        <v>24.993979930518872</v>
      </c>
      <c r="G155" s="306">
        <f t="shared" ref="G155:G158" si="18">F155-E155</f>
        <v>0.8918345506092713</v>
      </c>
      <c r="H155" s="232">
        <f t="shared" si="17"/>
        <v>12.335194337610947</v>
      </c>
    </row>
    <row r="156" spans="1:26" ht="15.75">
      <c r="B156" s="232">
        <f>1000*B155/20*16</f>
        <v>58.64</v>
      </c>
      <c r="C156" s="34">
        <v>20</v>
      </c>
      <c r="D156" s="39">
        <v>130</v>
      </c>
      <c r="E156" s="292">
        <v>24.15942172166239</v>
      </c>
      <c r="F156" s="292">
        <v>25.413354510864874</v>
      </c>
      <c r="G156" s="93">
        <f t="shared" si="18"/>
        <v>1.2539327892024836</v>
      </c>
      <c r="H156" s="232">
        <f t="shared" si="17"/>
        <v>17.343468730324812</v>
      </c>
      <c r="S156" s="14">
        <v>42316</v>
      </c>
      <c r="T156" s="13" t="s">
        <v>19</v>
      </c>
      <c r="V156" s="13" t="s">
        <v>45</v>
      </c>
    </row>
    <row r="157" spans="1:26" ht="16.5">
      <c r="A157" s="232"/>
      <c r="B157" s="232"/>
      <c r="C157" s="42">
        <v>30</v>
      </c>
      <c r="D157" s="43">
        <v>130</v>
      </c>
      <c r="E157" s="307"/>
      <c r="F157" s="307"/>
      <c r="G157" s="308">
        <f t="shared" si="18"/>
        <v>0</v>
      </c>
      <c r="H157" s="232">
        <f t="shared" si="17"/>
        <v>0</v>
      </c>
      <c r="U157" s="40" t="s">
        <v>0</v>
      </c>
      <c r="V157" s="289" t="s">
        <v>1</v>
      </c>
      <c r="W157" s="289" t="s">
        <v>44</v>
      </c>
      <c r="X157" s="289" t="s">
        <v>6</v>
      </c>
      <c r="Y157" s="266" t="s">
        <v>7</v>
      </c>
    </row>
    <row r="158" spans="1:26" ht="15.75">
      <c r="A158" s="271">
        <v>42312</v>
      </c>
      <c r="B158" s="13">
        <f>0.0833-0.0085</f>
        <v>7.4800000000000005E-2</v>
      </c>
      <c r="C158" s="13">
        <v>20</v>
      </c>
      <c r="D158" s="13">
        <v>100</v>
      </c>
      <c r="E158" s="292">
        <v>23.745076283519037</v>
      </c>
      <c r="F158" s="292">
        <v>24.432485516815511</v>
      </c>
      <c r="G158" s="308">
        <f t="shared" si="18"/>
        <v>0.6874092332964743</v>
      </c>
      <c r="T158" s="13">
        <f>0.0829-0.0113</f>
        <v>7.1599999999999997E-2</v>
      </c>
      <c r="U158" s="290">
        <v>20</v>
      </c>
      <c r="V158" s="291">
        <v>100</v>
      </c>
      <c r="W158" s="13">
        <v>23.724587185656251</v>
      </c>
      <c r="X158" s="13">
        <v>24.9753985092281</v>
      </c>
      <c r="Y158" s="261">
        <f t="shared" ref="Y158:Y162" si="19">X158-W158</f>
        <v>1.250811323571849</v>
      </c>
      <c r="Z158" s="13">
        <f>Y158/T158</f>
        <v>17.469431893461579</v>
      </c>
    </row>
    <row r="159" spans="1:26">
      <c r="A159" s="232"/>
      <c r="B159" s="275"/>
      <c r="C159" s="275" t="s">
        <v>38</v>
      </c>
      <c r="D159" s="275"/>
      <c r="E159" s="275"/>
      <c r="F159" s="275"/>
      <c r="G159" s="275"/>
      <c r="H159" s="275"/>
      <c r="T159" s="13">
        <f>1000*T158/20*4</f>
        <v>14.319999999999999</v>
      </c>
      <c r="U159" s="32">
        <v>20</v>
      </c>
      <c r="V159" s="33">
        <v>130</v>
      </c>
      <c r="W159" s="13">
        <v>23.760722503705168</v>
      </c>
      <c r="X159" s="13">
        <v>25.459175584267125</v>
      </c>
      <c r="Y159" s="35">
        <f t="shared" si="19"/>
        <v>1.6984530805619578</v>
      </c>
      <c r="Z159" s="13">
        <f>Y159/T158</f>
        <v>23.721411739692147</v>
      </c>
    </row>
    <row r="160" spans="1:26" ht="18.75">
      <c r="A160" s="232"/>
      <c r="B160" s="275"/>
      <c r="C160" s="276" t="s">
        <v>0</v>
      </c>
      <c r="D160" s="277" t="s">
        <v>1</v>
      </c>
      <c r="E160" s="277" t="s">
        <v>10</v>
      </c>
      <c r="F160" s="277" t="s">
        <v>6</v>
      </c>
      <c r="G160" s="278" t="s">
        <v>7</v>
      </c>
      <c r="H160" s="275"/>
      <c r="U160" s="32">
        <v>30</v>
      </c>
      <c r="V160" s="33">
        <v>130</v>
      </c>
      <c r="W160" s="15">
        <v>23.75736974223673</v>
      </c>
      <c r="X160" s="15">
        <v>25.622157044539286</v>
      </c>
      <c r="Y160" s="35">
        <f t="shared" si="19"/>
        <v>1.8647873023025561</v>
      </c>
      <c r="Z160" s="13">
        <f>Y160/T158</f>
        <v>26.044515395287096</v>
      </c>
    </row>
    <row r="161" spans="1:26">
      <c r="A161" s="271">
        <v>42313</v>
      </c>
      <c r="B161" s="275">
        <f>0.0786-0.007</f>
        <v>7.1599999999999997E-2</v>
      </c>
      <c r="C161" s="283">
        <v>20</v>
      </c>
      <c r="D161" s="284">
        <v>100</v>
      </c>
      <c r="E161" s="204">
        <v>23.576134360000001</v>
      </c>
      <c r="F161" s="204">
        <v>25.448744770809686</v>
      </c>
      <c r="G161" s="285">
        <f t="shared" ref="G161:G169" si="20">F161-E161</f>
        <v>1.8726104108096848</v>
      </c>
      <c r="H161" s="275">
        <f>G161/$B$161</f>
        <v>26.153776687286101</v>
      </c>
      <c r="T161" s="237">
        <f>0.0813-0.0104</f>
        <v>7.0899999999999991E-2</v>
      </c>
      <c r="U161" s="290">
        <v>20</v>
      </c>
      <c r="V161" s="291">
        <v>100</v>
      </c>
      <c r="W161" s="292">
        <v>23.595505869120714</v>
      </c>
      <c r="X161" s="292">
        <v>24.437142129966144</v>
      </c>
      <c r="Y161" s="261">
        <f t="shared" si="19"/>
        <v>0.84163626084542997</v>
      </c>
      <c r="Z161" s="13">
        <f>Y161/T161</f>
        <v>11.870751210795911</v>
      </c>
    </row>
    <row r="162" spans="1:26">
      <c r="B162" s="275">
        <f>1000*B161/20*8</f>
        <v>28.639999999999997</v>
      </c>
      <c r="C162" s="279">
        <v>20</v>
      </c>
      <c r="D162" s="280">
        <v>130</v>
      </c>
      <c r="E162" s="204">
        <v>23.581722294194837</v>
      </c>
      <c r="F162" s="204">
        <v>25.959016439856082</v>
      </c>
      <c r="G162" s="286">
        <f t="shared" si="20"/>
        <v>2.3772941456612458</v>
      </c>
      <c r="H162" s="275">
        <f>G162/$B$161</f>
        <v>33.202432201972705</v>
      </c>
      <c r="T162" s="13">
        <f>1000*T161/20*4</f>
        <v>14.179999999999998</v>
      </c>
      <c r="U162" s="32">
        <v>20</v>
      </c>
      <c r="V162" s="33">
        <v>130</v>
      </c>
      <c r="W162" s="292">
        <v>23.767334894379079</v>
      </c>
      <c r="X162" s="292">
        <v>25.090558087262998</v>
      </c>
      <c r="Y162" s="35">
        <f t="shared" si="19"/>
        <v>1.3232231928839191</v>
      </c>
      <c r="Z162" s="13">
        <f>Y162/T161</f>
        <v>18.663232621776011</v>
      </c>
    </row>
    <row r="163" spans="1:26">
      <c r="B163" s="275"/>
      <c r="C163" s="281">
        <v>30</v>
      </c>
      <c r="D163" s="282">
        <v>130</v>
      </c>
      <c r="E163" s="206">
        <v>23.692270290390862</v>
      </c>
      <c r="F163" s="206">
        <v>26.300811845112555</v>
      </c>
      <c r="G163" s="287">
        <f t="shared" si="20"/>
        <v>2.6085415547216932</v>
      </c>
      <c r="H163" s="275">
        <f>G163/$B$161</f>
        <v>36.432144619018061</v>
      </c>
      <c r="U163" s="36">
        <v>30</v>
      </c>
      <c r="V163" s="37">
        <v>130</v>
      </c>
      <c r="W163" s="293">
        <v>24.099072015230178</v>
      </c>
      <c r="X163" s="293">
        <v>25.467743752464283</v>
      </c>
      <c r="Y163" s="38">
        <f t="shared" ref="Y163" si="21">X163-W163</f>
        <v>1.3686717372341057</v>
      </c>
      <c r="Z163" s="13">
        <f>Y163/T161</f>
        <v>19.304255814303328</v>
      </c>
    </row>
    <row r="164" spans="1:26">
      <c r="A164" s="14">
        <v>42316</v>
      </c>
      <c r="B164" s="275">
        <f>0.0765-0.0057</f>
        <v>7.0800000000000002E-2</v>
      </c>
      <c r="C164" s="283">
        <v>20</v>
      </c>
      <c r="D164" s="284">
        <v>100</v>
      </c>
      <c r="E164" s="204">
        <v>24.082960133728982</v>
      </c>
      <c r="F164" s="204">
        <v>25.955756810650637</v>
      </c>
      <c r="G164" s="285">
        <f t="shared" si="20"/>
        <v>1.8727966769216557</v>
      </c>
      <c r="H164" s="275">
        <f>G164/$B$164</f>
        <v>26.451930464995137</v>
      </c>
      <c r="I164" s="315">
        <v>25.751709820709817</v>
      </c>
    </row>
    <row r="165" spans="1:26">
      <c r="B165" s="275">
        <f>1000*B164/20*8</f>
        <v>28.32</v>
      </c>
      <c r="C165" s="279">
        <v>20</v>
      </c>
      <c r="D165" s="280">
        <v>130</v>
      </c>
      <c r="E165" s="204">
        <v>23.758859858444914</v>
      </c>
      <c r="F165" s="204">
        <v>26.14136941083488</v>
      </c>
      <c r="G165" s="286">
        <f t="shared" si="20"/>
        <v>2.3825095523899655</v>
      </c>
      <c r="H165" s="275">
        <f>G165/$B$164</f>
        <v>33.651264864265052</v>
      </c>
      <c r="I165" s="315">
        <v>32.950814189864481</v>
      </c>
      <c r="T165" s="13" t="s">
        <v>42</v>
      </c>
      <c r="W165" s="13" t="s">
        <v>41</v>
      </c>
    </row>
    <row r="166" spans="1:26" ht="16.5">
      <c r="B166" s="273"/>
      <c r="C166" s="281">
        <v>30</v>
      </c>
      <c r="D166" s="282">
        <v>130</v>
      </c>
      <c r="E166" s="206">
        <v>23.756438419606603</v>
      </c>
      <c r="F166" s="206">
        <v>26.30714483899742</v>
      </c>
      <c r="G166" s="287">
        <f t="shared" si="20"/>
        <v>2.5507064193908171</v>
      </c>
      <c r="H166" s="275">
        <f>G166/$B$164</f>
        <v>36.026926827553915</v>
      </c>
      <c r="I166" s="315">
        <v>35.78512715673515</v>
      </c>
      <c r="U166" s="40" t="s">
        <v>0</v>
      </c>
      <c r="V166" s="289" t="s">
        <v>1</v>
      </c>
      <c r="W166" s="289" t="s">
        <v>44</v>
      </c>
      <c r="X166" s="289" t="s">
        <v>6</v>
      </c>
      <c r="Y166" s="266" t="s">
        <v>7</v>
      </c>
    </row>
    <row r="167" spans="1:26">
      <c r="B167" s="275">
        <f>0.0871-0.0126</f>
        <v>7.4499999999999997E-2</v>
      </c>
      <c r="C167" s="283">
        <v>20</v>
      </c>
      <c r="D167" s="284">
        <v>100</v>
      </c>
      <c r="E167" s="204">
        <v>23.745635077097123</v>
      </c>
      <c r="F167" s="204">
        <v>25.582017039180815</v>
      </c>
      <c r="G167" s="285">
        <f t="shared" si="20"/>
        <v>1.8363819620836921</v>
      </c>
      <c r="H167" s="275">
        <f>G167/$B$167</f>
        <v>24.649422309848216</v>
      </c>
      <c r="T167" s="13">
        <f>0.0695-0.0008</f>
        <v>6.8700000000000011E-2</v>
      </c>
      <c r="U167" s="290">
        <v>20</v>
      </c>
      <c r="V167" s="291">
        <v>100</v>
      </c>
      <c r="W167" s="292">
        <v>24.098513221652091</v>
      </c>
      <c r="X167" s="292">
        <v>24.783035354795192</v>
      </c>
      <c r="Y167" s="261">
        <f t="shared" ref="Y167:Y169" si="22">X167-W167</f>
        <v>0.68452213314310129</v>
      </c>
      <c r="Z167" s="13">
        <f>Y167/T167</f>
        <v>9.9639320690407747</v>
      </c>
    </row>
    <row r="168" spans="1:26">
      <c r="A168" s="271">
        <v>42313</v>
      </c>
      <c r="B168" s="275">
        <f>1000*B167/20*8</f>
        <v>29.8</v>
      </c>
      <c r="C168" s="279">
        <v>20</v>
      </c>
      <c r="D168" s="280">
        <v>130</v>
      </c>
      <c r="E168" s="204">
        <v>23.749174100000001</v>
      </c>
      <c r="F168" s="204">
        <v>26.133080639999999</v>
      </c>
      <c r="G168" s="286">
        <f t="shared" si="20"/>
        <v>2.3839065399999981</v>
      </c>
      <c r="H168" s="275">
        <f>G168/$B$167</f>
        <v>31.998745503355682</v>
      </c>
      <c r="T168" s="13">
        <f>1000*T167/20*8</f>
        <v>27.480000000000008</v>
      </c>
      <c r="U168" s="32">
        <v>20</v>
      </c>
      <c r="V168" s="33">
        <v>130</v>
      </c>
      <c r="W168" s="292">
        <v>23.767893687957137</v>
      </c>
      <c r="X168" s="292">
        <v>25.124923892314662</v>
      </c>
      <c r="Y168" s="35">
        <f t="shared" si="22"/>
        <v>1.3570302043575246</v>
      </c>
      <c r="Z168" s="13">
        <f>Y168/T167</f>
        <v>19.752986962991621</v>
      </c>
    </row>
    <row r="169" spans="1:26">
      <c r="A169" s="232"/>
      <c r="B169" s="273"/>
      <c r="C169" s="281">
        <v>30</v>
      </c>
      <c r="D169" s="282">
        <v>130</v>
      </c>
      <c r="E169" s="206">
        <v>23.757276609973704</v>
      </c>
      <c r="F169" s="206">
        <v>26.357051706734399</v>
      </c>
      <c r="G169" s="287">
        <f t="shared" si="20"/>
        <v>2.5997750967606947</v>
      </c>
      <c r="H169" s="275">
        <f>G169/$B$167</f>
        <v>34.89631002363349</v>
      </c>
      <c r="U169" s="32">
        <v>30</v>
      </c>
      <c r="V169" s="33">
        <v>130</v>
      </c>
      <c r="W169" s="293">
        <v>24.434348162075764</v>
      </c>
      <c r="X169" s="293">
        <v>25.639665909985645</v>
      </c>
      <c r="Y169" s="35">
        <f t="shared" si="22"/>
        <v>1.2053177479098807</v>
      </c>
      <c r="Z169" s="13">
        <f>Y169/T167</f>
        <v>17.544654263608159</v>
      </c>
    </row>
    <row r="170" spans="1:26">
      <c r="A170" s="232"/>
      <c r="B170" s="13" t="s">
        <v>47</v>
      </c>
      <c r="T170" s="13">
        <f>0.0814-0.0068</f>
        <v>7.46E-2</v>
      </c>
      <c r="U170" s="290">
        <v>20</v>
      </c>
      <c r="V170" s="291">
        <v>100</v>
      </c>
      <c r="W170" s="292">
        <v>23.759139255233958</v>
      </c>
      <c r="X170" s="292">
        <v>24.672114829547098</v>
      </c>
      <c r="Y170" s="261">
        <f t="shared" ref="Y170:Y172" si="23">X170-W170</f>
        <v>0.91297557431314047</v>
      </c>
      <c r="Z170" s="13">
        <f>Y170/T170</f>
        <v>12.238278476047459</v>
      </c>
    </row>
    <row r="171" spans="1:26" ht="18.75">
      <c r="A171" s="232"/>
      <c r="B171" s="275"/>
      <c r="C171" s="276" t="s">
        <v>0</v>
      </c>
      <c r="D171" s="277" t="s">
        <v>1</v>
      </c>
      <c r="E171" s="277" t="s">
        <v>10</v>
      </c>
      <c r="F171" s="277" t="s">
        <v>6</v>
      </c>
      <c r="G171" s="278" t="s">
        <v>7</v>
      </c>
      <c r="H171" s="275"/>
      <c r="T171" s="13">
        <f>1000*T170/20*8</f>
        <v>29.839999999999996</v>
      </c>
      <c r="U171" s="32">
        <v>20</v>
      </c>
      <c r="V171" s="33">
        <v>130</v>
      </c>
      <c r="W171" s="292">
        <v>23.761095032757236</v>
      </c>
      <c r="X171" s="292">
        <v>25.122223056687304</v>
      </c>
      <c r="Y171" s="35">
        <f t="shared" si="23"/>
        <v>1.3611280239300676</v>
      </c>
      <c r="Z171" s="13">
        <f>Y171/T170</f>
        <v>18.245683966890986</v>
      </c>
    </row>
    <row r="172" spans="1:26">
      <c r="A172" s="232"/>
      <c r="B172" s="275">
        <f>0.0767-0.0058</f>
        <v>7.0900000000000005E-2</v>
      </c>
      <c r="C172" s="283">
        <v>20</v>
      </c>
      <c r="D172" s="284">
        <v>100</v>
      </c>
      <c r="E172" s="204">
        <v>23.916160250673318</v>
      </c>
      <c r="F172" s="204">
        <v>26.29662089</v>
      </c>
      <c r="G172" s="285">
        <f t="shared" ref="G172:G174" si="24">F172-E172</f>
        <v>2.3804606393266816</v>
      </c>
      <c r="H172" s="275">
        <f>G172/$B$172</f>
        <v>33.574903234508909</v>
      </c>
      <c r="U172" s="36">
        <v>30</v>
      </c>
      <c r="V172" s="37">
        <v>130</v>
      </c>
      <c r="W172" s="293">
        <v>24.10205225</v>
      </c>
      <c r="X172" s="293">
        <v>25.480409740233991</v>
      </c>
      <c r="Y172" s="38">
        <f t="shared" si="23"/>
        <v>1.3783574902339915</v>
      </c>
      <c r="Z172" s="13">
        <f>Y172/T170</f>
        <v>18.476641960241171</v>
      </c>
    </row>
    <row r="173" spans="1:26">
      <c r="A173" s="232"/>
      <c r="B173" s="275">
        <f>1000*B172/20*16</f>
        <v>56.720000000000006</v>
      </c>
      <c r="C173" s="279">
        <v>20</v>
      </c>
      <c r="D173" s="280">
        <v>130</v>
      </c>
      <c r="E173" s="204">
        <v>24.21674616</v>
      </c>
      <c r="F173" s="204">
        <v>27.496172170000001</v>
      </c>
      <c r="G173" s="286">
        <f t="shared" si="24"/>
        <v>3.2794260100000017</v>
      </c>
      <c r="H173" s="275">
        <f t="shared" ref="H173:H174" si="25">G173/$B$172</f>
        <v>46.254245557122729</v>
      </c>
      <c r="T173" s="13" t="s">
        <v>39</v>
      </c>
      <c r="W173" s="13" t="s">
        <v>40</v>
      </c>
    </row>
    <row r="174" spans="1:26" ht="16.5">
      <c r="A174" s="232"/>
      <c r="B174" s="275"/>
      <c r="C174" s="281">
        <v>30</v>
      </c>
      <c r="D174" s="282">
        <v>130</v>
      </c>
      <c r="E174" s="206">
        <v>24.316746160000001</v>
      </c>
      <c r="F174" s="206">
        <v>28.071721700000001</v>
      </c>
      <c r="G174" s="287">
        <f t="shared" si="24"/>
        <v>3.7549755400000002</v>
      </c>
      <c r="H174" s="275">
        <f t="shared" si="25"/>
        <v>52.961573201692524</v>
      </c>
      <c r="U174" s="40" t="s">
        <v>0</v>
      </c>
      <c r="V174" s="289" t="s">
        <v>1</v>
      </c>
      <c r="W174" s="289" t="s">
        <v>44</v>
      </c>
      <c r="X174" s="289" t="s">
        <v>6</v>
      </c>
      <c r="Y174" s="266" t="s">
        <v>7</v>
      </c>
    </row>
    <row r="175" spans="1:26">
      <c r="A175" s="232"/>
      <c r="B175" s="13" t="s">
        <v>52</v>
      </c>
      <c r="T175" s="13">
        <f>0.0778-0.0068</f>
        <v>7.0999999999999994E-2</v>
      </c>
      <c r="U175" s="290">
        <v>20</v>
      </c>
      <c r="V175" s="291">
        <v>100</v>
      </c>
      <c r="W175" s="292">
        <v>23.588334684868745</v>
      </c>
      <c r="X175" s="292">
        <v>24.439470436541463</v>
      </c>
      <c r="Y175" s="261">
        <f t="shared" ref="Y175:Y177" si="26">X175-W175</f>
        <v>0.85113575167271804</v>
      </c>
      <c r="Z175" s="13">
        <f>Y175/T175</f>
        <v>11.987827488348142</v>
      </c>
    </row>
    <row r="176" spans="1:26" ht="18.75">
      <c r="A176" s="13" t="s">
        <v>51</v>
      </c>
      <c r="B176" s="351">
        <v>42327</v>
      </c>
      <c r="C176" s="276" t="s">
        <v>0</v>
      </c>
      <c r="D176" s="277" t="s">
        <v>1</v>
      </c>
      <c r="E176" s="277" t="s">
        <v>10</v>
      </c>
      <c r="F176" s="277" t="s">
        <v>6</v>
      </c>
      <c r="G176" s="278" t="s">
        <v>7</v>
      </c>
      <c r="H176" s="275">
        <f>0.07/20*19.7</f>
        <v>6.8950000000000011E-2</v>
      </c>
      <c r="T176" s="13">
        <f>1000*T175/20*12.5</f>
        <v>44.375</v>
      </c>
      <c r="U176" s="32">
        <v>20</v>
      </c>
      <c r="V176" s="33">
        <v>130</v>
      </c>
      <c r="W176" s="292">
        <v>23.75336505492718</v>
      </c>
      <c r="X176" s="292">
        <v>24.777354286751407</v>
      </c>
      <c r="Y176" s="35">
        <f t="shared" si="26"/>
        <v>1.0239892318242276</v>
      </c>
      <c r="Z176" s="13">
        <f>Y176/T175</f>
        <v>14.422383546820109</v>
      </c>
    </row>
    <row r="177" spans="1:27">
      <c r="A177" s="232" t="s">
        <v>53</v>
      </c>
      <c r="B177" s="232">
        <f>0.114-0.0252</f>
        <v>8.8800000000000004E-2</v>
      </c>
      <c r="C177" s="294">
        <v>20</v>
      </c>
      <c r="D177" s="295">
        <v>100</v>
      </c>
      <c r="E177" s="13">
        <v>23.764820323277743</v>
      </c>
      <c r="F177" s="13">
        <v>27.322472770361468</v>
      </c>
      <c r="G177" s="296">
        <f t="shared" ref="G177:G179" si="27">F177-E177</f>
        <v>3.5576524470837256</v>
      </c>
      <c r="H177" s="232">
        <f>G177/$B$177</f>
        <v>40.063653683375286</v>
      </c>
      <c r="I177" s="13">
        <f>H177*0.07</f>
        <v>2.8044557578362701</v>
      </c>
      <c r="U177" s="32">
        <v>30</v>
      </c>
      <c r="V177" s="33">
        <v>130</v>
      </c>
      <c r="W177" s="293">
        <v>23.750384822510778</v>
      </c>
      <c r="X177" s="293">
        <v>25.116355724117501</v>
      </c>
      <c r="Y177" s="35">
        <f t="shared" si="26"/>
        <v>1.3659709016067225</v>
      </c>
      <c r="Z177" s="13">
        <f>Y177/T175</f>
        <v>19.239026783193278</v>
      </c>
    </row>
    <row r="178" spans="1:27">
      <c r="A178" s="232"/>
      <c r="B178" s="232">
        <f>1000*B177/20*19.7</f>
        <v>87.467999999999989</v>
      </c>
      <c r="C178" s="34">
        <v>20</v>
      </c>
      <c r="D178" s="39">
        <v>130</v>
      </c>
      <c r="E178" s="13">
        <v>24.438911642963401</v>
      </c>
      <c r="F178" s="13">
        <v>28.866885087900464</v>
      </c>
      <c r="G178" s="297">
        <f t="shared" si="27"/>
        <v>4.4279734449370629</v>
      </c>
      <c r="H178" s="232">
        <f t="shared" ref="H178:H179" si="28">G178/$B$177</f>
        <v>49.864565821363321</v>
      </c>
      <c r="I178" s="13">
        <f>H178*0.07</f>
        <v>3.490519607495433</v>
      </c>
      <c r="S178" s="14">
        <v>42317</v>
      </c>
      <c r="T178" s="13">
        <f>0.0748-0.0043</f>
        <v>7.0500000000000007E-2</v>
      </c>
      <c r="U178" s="290">
        <v>20</v>
      </c>
      <c r="V178" s="291">
        <v>100</v>
      </c>
      <c r="W178" s="292">
        <v>22.710376841448351</v>
      </c>
      <c r="X178" s="292">
        <v>23.760722503705168</v>
      </c>
      <c r="Y178" s="261">
        <f t="shared" ref="Y178:Y180" si="29">X178-W178</f>
        <v>1.0503456622568166</v>
      </c>
      <c r="Z178" s="13">
        <f>Y178/T178</f>
        <v>14.89852003201158</v>
      </c>
    </row>
    <row r="179" spans="1:27">
      <c r="A179" s="232"/>
      <c r="B179" s="232"/>
      <c r="C179" s="42">
        <v>30</v>
      </c>
      <c r="D179" s="43">
        <v>130</v>
      </c>
      <c r="E179" s="15">
        <v>25.454518969999999</v>
      </c>
      <c r="F179" s="15">
        <v>30.227919979567535</v>
      </c>
      <c r="G179" s="298">
        <f t="shared" si="27"/>
        <v>4.7734010095675359</v>
      </c>
      <c r="H179" s="232">
        <f t="shared" si="28"/>
        <v>53.754515873508282</v>
      </c>
      <c r="I179" s="13">
        <f>H179*0.07</f>
        <v>3.7628161111455802</v>
      </c>
      <c r="T179" s="13">
        <f>1000*T178/20*12.5</f>
        <v>44.0625</v>
      </c>
      <c r="U179" s="32">
        <v>20</v>
      </c>
      <c r="V179" s="33">
        <v>130</v>
      </c>
      <c r="W179" s="17">
        <v>22.89692076426272</v>
      </c>
      <c r="X179" s="17">
        <v>24.094974195657631</v>
      </c>
      <c r="Y179" s="35">
        <f t="shared" si="29"/>
        <v>1.1980534313949107</v>
      </c>
      <c r="Z179" s="13">
        <f>Y179/T178</f>
        <v>16.99366569354483</v>
      </c>
    </row>
    <row r="180" spans="1:27">
      <c r="A180" s="14">
        <v>42328</v>
      </c>
      <c r="B180" s="275">
        <f>0.0749-0.0036</f>
        <v>7.1299999999999988E-2</v>
      </c>
      <c r="C180" s="283">
        <v>20</v>
      </c>
      <c r="D180" s="284">
        <v>100</v>
      </c>
      <c r="E180" s="204">
        <v>22.895523780317529</v>
      </c>
      <c r="F180" s="204">
        <v>25.104993588029963</v>
      </c>
      <c r="G180" s="285">
        <f t="shared" ref="G180:G183" si="30">F180-E180</f>
        <v>2.2094698077124342</v>
      </c>
      <c r="H180" s="275">
        <f>G180/$B$180</f>
        <v>30.988356349403009</v>
      </c>
      <c r="U180" s="36">
        <v>30</v>
      </c>
      <c r="V180" s="37">
        <v>130</v>
      </c>
      <c r="W180" s="12">
        <v>23.238995566308237</v>
      </c>
      <c r="X180" s="12">
        <v>24.741218968702491</v>
      </c>
      <c r="Y180" s="38">
        <f t="shared" si="29"/>
        <v>1.5022234023942538</v>
      </c>
      <c r="Z180" s="13">
        <f>Y180/T178</f>
        <v>21.308133367294378</v>
      </c>
    </row>
    <row r="181" spans="1:27">
      <c r="A181" s="13" t="s">
        <v>60</v>
      </c>
      <c r="B181" s="275">
        <f>1000*B180/20*19.7</f>
        <v>70.230499999999978</v>
      </c>
      <c r="C181" s="279">
        <v>20</v>
      </c>
      <c r="D181" s="280">
        <v>130</v>
      </c>
      <c r="E181" s="204">
        <v>23.228937281902862</v>
      </c>
      <c r="F181" s="204">
        <v>25.963766190000001</v>
      </c>
      <c r="G181" s="286">
        <f t="shared" si="30"/>
        <v>2.7348289080971391</v>
      </c>
      <c r="H181" s="275">
        <f>G181/$B$180</f>
        <v>38.356646677379238</v>
      </c>
    </row>
    <row r="182" spans="1:27">
      <c r="B182" s="275"/>
      <c r="C182" s="279">
        <v>30</v>
      </c>
      <c r="D182" s="280">
        <v>130</v>
      </c>
      <c r="E182" s="205">
        <v>23.582374219999998</v>
      </c>
      <c r="F182" s="205">
        <v>26.64493556</v>
      </c>
      <c r="G182" s="286">
        <f t="shared" si="30"/>
        <v>3.062561340000002</v>
      </c>
      <c r="H182" s="275">
        <f>G182/$B$180</f>
        <v>42.953174474053334</v>
      </c>
      <c r="S182" s="14">
        <v>42325</v>
      </c>
      <c r="T182" s="13" t="s">
        <v>42</v>
      </c>
      <c r="W182" s="13" t="s">
        <v>40</v>
      </c>
    </row>
    <row r="183" spans="1:27" ht="16.5">
      <c r="C183" s="281">
        <v>40</v>
      </c>
      <c r="D183" s="282">
        <v>130</v>
      </c>
      <c r="E183" s="206">
        <v>23.693481009810032</v>
      </c>
      <c r="F183" s="206">
        <v>26.980677365104995</v>
      </c>
      <c r="G183" s="287">
        <f t="shared" si="30"/>
        <v>3.287196355294963</v>
      </c>
      <c r="H183" s="275">
        <f>G183/$B$180</f>
        <v>46.103735698386586</v>
      </c>
      <c r="U183" s="40" t="s">
        <v>0</v>
      </c>
      <c r="V183" s="341" t="s">
        <v>1</v>
      </c>
      <c r="W183" s="341" t="s">
        <v>44</v>
      </c>
      <c r="X183" s="341" t="s">
        <v>6</v>
      </c>
      <c r="Y183" s="266" t="s">
        <v>7</v>
      </c>
    </row>
    <row r="184" spans="1:27">
      <c r="B184" s="275">
        <f>0.0752-0.0055</f>
        <v>6.9699999999999998E-2</v>
      </c>
      <c r="C184" s="283">
        <v>20</v>
      </c>
      <c r="D184" s="284">
        <v>100</v>
      </c>
      <c r="E184" s="204">
        <v>23.745728209360145</v>
      </c>
      <c r="F184" s="204">
        <v>25.965349433740947</v>
      </c>
      <c r="G184" s="285">
        <f t="shared" ref="G184:G188" si="31">F184-E184</f>
        <v>2.219621224380802</v>
      </c>
      <c r="H184" s="275">
        <f>G184/$B$184</f>
        <v>31.845354725692999</v>
      </c>
      <c r="S184" s="13" t="s">
        <v>51</v>
      </c>
      <c r="T184" s="13">
        <f>0.0731-0.0028</f>
        <v>7.0300000000000001E-2</v>
      </c>
      <c r="U184" s="290">
        <v>20</v>
      </c>
      <c r="V184" s="291">
        <v>100</v>
      </c>
      <c r="W184" s="343">
        <v>23.609010047257552</v>
      </c>
      <c r="X184" s="342">
        <v>24.873373649917475</v>
      </c>
      <c r="Y184" s="261">
        <f t="shared" ref="Y184:Y189" si="32">X184-W184</f>
        <v>1.2643636026599232</v>
      </c>
      <c r="Z184" s="13">
        <f>Y184/T184</f>
        <v>17.985257505831054</v>
      </c>
    </row>
    <row r="185" spans="1:27">
      <c r="B185" s="275">
        <f>1000*B184/20*19.7</f>
        <v>68.654499999999999</v>
      </c>
      <c r="C185" s="279">
        <v>20</v>
      </c>
      <c r="D185" s="280">
        <v>130</v>
      </c>
      <c r="E185" s="204">
        <v>24.093763476238461</v>
      </c>
      <c r="F185" s="204">
        <v>26.756787404822564</v>
      </c>
      <c r="G185" s="286">
        <f t="shared" si="31"/>
        <v>2.6630239285841029</v>
      </c>
      <c r="H185" s="275">
        <f t="shared" ref="H185:H187" si="33">G185/$B$184</f>
        <v>38.206943021292723</v>
      </c>
      <c r="T185" s="13">
        <f>1000*T184/20*8.3</f>
        <v>29.174499999999998</v>
      </c>
      <c r="U185" s="32">
        <v>20</v>
      </c>
      <c r="V185" s="33">
        <v>130</v>
      </c>
      <c r="W185" s="345">
        <v>23.7056813362647</v>
      </c>
      <c r="X185" s="344">
        <v>25.400967919884209</v>
      </c>
      <c r="Y185" s="35">
        <f t="shared" si="32"/>
        <v>1.6952865836195095</v>
      </c>
      <c r="Z185" s="13">
        <f>Y185/T184</f>
        <v>24.115029638968839</v>
      </c>
    </row>
    <row r="186" spans="1:27">
      <c r="B186" s="275"/>
      <c r="C186" s="279">
        <v>30</v>
      </c>
      <c r="D186" s="280">
        <v>130</v>
      </c>
      <c r="E186" s="205">
        <v>24.092832153608335</v>
      </c>
      <c r="F186" s="205">
        <v>27.259142831512857</v>
      </c>
      <c r="G186" s="286">
        <f t="shared" si="31"/>
        <v>3.1663106779045229</v>
      </c>
      <c r="H186" s="275">
        <f t="shared" si="33"/>
        <v>45.427699826463744</v>
      </c>
      <c r="U186" s="32">
        <v>30</v>
      </c>
      <c r="V186" s="33">
        <v>130</v>
      </c>
      <c r="W186" s="12">
        <v>23.57799700367433</v>
      </c>
      <c r="X186" s="12">
        <v>25.451166209648026</v>
      </c>
      <c r="Y186" s="35">
        <f t="shared" si="32"/>
        <v>1.8731692059736957</v>
      </c>
      <c r="Z186" s="13">
        <f>Y186/T184</f>
        <v>26.645365661076752</v>
      </c>
    </row>
    <row r="187" spans="1:27">
      <c r="C187" s="281">
        <v>40</v>
      </c>
      <c r="D187" s="282">
        <v>130</v>
      </c>
      <c r="E187" s="206">
        <v>24.084170853148152</v>
      </c>
      <c r="F187" s="206">
        <v>27.440285083072485</v>
      </c>
      <c r="G187" s="287">
        <f t="shared" si="31"/>
        <v>3.3561142299243336</v>
      </c>
      <c r="H187" s="275">
        <f t="shared" si="33"/>
        <v>48.150849783706363</v>
      </c>
      <c r="T187" s="13">
        <f>0.0751-0.0061</f>
        <v>6.9000000000000006E-2</v>
      </c>
      <c r="U187" s="290">
        <v>20</v>
      </c>
      <c r="V187" s="291">
        <v>100</v>
      </c>
      <c r="W187" s="347">
        <v>23.238809301782215</v>
      </c>
      <c r="X187" s="346">
        <v>24.703593534445385</v>
      </c>
      <c r="Y187" s="261">
        <f t="shared" si="32"/>
        <v>1.4647842326631704</v>
      </c>
      <c r="Z187" s="13">
        <f>Y187/T187</f>
        <v>21.22875699511841</v>
      </c>
      <c r="AA187" s="13">
        <f>Z187*0.07</f>
        <v>1.4860129896582888</v>
      </c>
    </row>
    <row r="188" spans="1:27">
      <c r="A188" s="13" t="s">
        <v>59</v>
      </c>
      <c r="B188" s="13">
        <f>0.0907-0.0179</f>
        <v>7.2800000000000004E-2</v>
      </c>
      <c r="C188" s="360">
        <v>20</v>
      </c>
      <c r="D188" s="361">
        <v>100</v>
      </c>
      <c r="E188" s="362">
        <v>21.679309557635175</v>
      </c>
      <c r="F188" s="362">
        <v>23.221579833124874</v>
      </c>
      <c r="G188" s="359">
        <f t="shared" si="31"/>
        <v>1.5422702754896989</v>
      </c>
      <c r="H188" s="275">
        <f>G188/$B$188</f>
        <v>21.185031256726631</v>
      </c>
      <c r="J188" s="369"/>
      <c r="T188" s="13">
        <f>1000*T187/20*8.3</f>
        <v>28.635000000000005</v>
      </c>
      <c r="U188" s="32">
        <v>20</v>
      </c>
      <c r="V188" s="33">
        <v>130</v>
      </c>
      <c r="W188" s="349">
        <v>23.542420479203496</v>
      </c>
      <c r="X188" s="348">
        <v>24.783501016110254</v>
      </c>
      <c r="Y188" s="35">
        <f t="shared" si="32"/>
        <v>1.2410805369067575</v>
      </c>
      <c r="Z188" s="13">
        <f>Y188/T187</f>
        <v>17.98667444792402</v>
      </c>
    </row>
    <row r="189" spans="1:27">
      <c r="B189" s="13" t="s">
        <v>54</v>
      </c>
      <c r="E189" s="13" t="s">
        <v>51</v>
      </c>
      <c r="F189" s="13" t="s">
        <v>58</v>
      </c>
      <c r="U189" s="36">
        <v>30</v>
      </c>
      <c r="V189" s="37">
        <v>130</v>
      </c>
      <c r="W189" s="293"/>
      <c r="X189" s="293"/>
      <c r="Y189" s="38">
        <f t="shared" si="32"/>
        <v>0</v>
      </c>
      <c r="Z189" s="13">
        <f>Y189/T187</f>
        <v>0</v>
      </c>
    </row>
    <row r="190" spans="1:27" ht="18.75">
      <c r="B190" s="351">
        <v>42328</v>
      </c>
      <c r="C190" s="276" t="s">
        <v>0</v>
      </c>
      <c r="D190" s="277" t="s">
        <v>1</v>
      </c>
      <c r="E190" s="277" t="s">
        <v>10</v>
      </c>
      <c r="F190" s="277" t="s">
        <v>6</v>
      </c>
      <c r="G190" s="278" t="s">
        <v>7</v>
      </c>
      <c r="H190" s="275"/>
    </row>
    <row r="191" spans="1:27">
      <c r="B191" s="275">
        <f>0.0742-0.0042</f>
        <v>7.0000000000000007E-2</v>
      </c>
      <c r="C191" s="283">
        <v>20</v>
      </c>
      <c r="D191" s="284">
        <v>100</v>
      </c>
      <c r="E191" s="204">
        <v>23.749453499880651</v>
      </c>
      <c r="F191" s="204">
        <v>25.624299086588554</v>
      </c>
      <c r="G191" s="285">
        <f t="shared" ref="G191:G194" si="34">F191-E191</f>
        <v>1.8748455867079024</v>
      </c>
      <c r="H191" s="275">
        <f>G191/$B$191</f>
        <v>26.783508381541459</v>
      </c>
    </row>
    <row r="192" spans="1:27">
      <c r="B192" s="275">
        <f>1000*B191/20*19.7</f>
        <v>68.95</v>
      </c>
      <c r="C192" s="279">
        <v>20</v>
      </c>
      <c r="D192" s="280">
        <v>130</v>
      </c>
      <c r="E192" s="204">
        <v>23.939443316426484</v>
      </c>
      <c r="F192" s="204">
        <v>26.647077599999999</v>
      </c>
      <c r="G192" s="286">
        <f t="shared" si="34"/>
        <v>2.7076342835735154</v>
      </c>
      <c r="H192" s="275">
        <f t="shared" ref="H192:H194" si="35">G192/$B$191</f>
        <v>38.680489765335928</v>
      </c>
      <c r="S192" s="13" t="s">
        <v>55</v>
      </c>
      <c r="V192" s="13" t="s">
        <v>40</v>
      </c>
      <c r="W192" s="13" t="s">
        <v>51</v>
      </c>
    </row>
    <row r="193" spans="2:26" ht="16.5">
      <c r="B193" s="275"/>
      <c r="C193" s="279">
        <v>30</v>
      </c>
      <c r="D193" s="280">
        <v>130</v>
      </c>
      <c r="E193" s="205">
        <v>24.097023105443906</v>
      </c>
      <c r="F193" s="205">
        <v>27.109013623536448</v>
      </c>
      <c r="G193" s="286">
        <f t="shared" si="34"/>
        <v>3.0119905180925421</v>
      </c>
      <c r="H193" s="275">
        <f t="shared" si="35"/>
        <v>43.0284359727506</v>
      </c>
      <c r="S193" s="14">
        <v>42328</v>
      </c>
      <c r="U193" s="40" t="s">
        <v>0</v>
      </c>
      <c r="V193" s="350" t="s">
        <v>1</v>
      </c>
      <c r="W193" s="350" t="s">
        <v>44</v>
      </c>
      <c r="X193" s="350" t="s">
        <v>6</v>
      </c>
      <c r="Y193" s="266" t="s">
        <v>7</v>
      </c>
    </row>
    <row r="194" spans="2:26">
      <c r="C194" s="281">
        <v>40</v>
      </c>
      <c r="D194" s="282">
        <v>130</v>
      </c>
      <c r="E194" s="206">
        <v>24.092739021345313</v>
      </c>
      <c r="F194" s="206">
        <v>27.415046239796069</v>
      </c>
      <c r="G194" s="287">
        <f t="shared" si="34"/>
        <v>3.3223072184507565</v>
      </c>
      <c r="H194" s="275">
        <f t="shared" si="35"/>
        <v>47.461531692153663</v>
      </c>
      <c r="S194" s="13" t="s">
        <v>57</v>
      </c>
      <c r="T194" s="13">
        <f>0.0889-0.0162</f>
        <v>7.2700000000000015E-2</v>
      </c>
      <c r="U194" s="290">
        <v>20</v>
      </c>
      <c r="V194" s="291">
        <v>100</v>
      </c>
      <c r="W194" s="354">
        <v>23.582839881350981</v>
      </c>
      <c r="X194" s="353">
        <v>24.748948946532547</v>
      </c>
      <c r="Y194" s="261">
        <f t="shared" ref="Y194:Y196" si="36">X194-W194</f>
        <v>1.1661090651815655</v>
      </c>
      <c r="Z194" s="13">
        <f>Y194/T194</f>
        <v>16.040014651740925</v>
      </c>
    </row>
    <row r="195" spans="2:26">
      <c r="T195" s="13">
        <f>1000*T194/20*13</f>
        <v>47.25500000000001</v>
      </c>
      <c r="U195" s="32">
        <v>20</v>
      </c>
      <c r="V195" s="33">
        <v>130</v>
      </c>
      <c r="W195" s="355">
        <v>23.755786493765491</v>
      </c>
      <c r="X195" s="292">
        <v>25.387370610000001</v>
      </c>
      <c r="Y195" s="35">
        <f t="shared" si="36"/>
        <v>1.6315841162345102</v>
      </c>
      <c r="Z195" s="13">
        <f>Y195/T194</f>
        <v>22.442697609828194</v>
      </c>
    </row>
    <row r="196" spans="2:26">
      <c r="B196" s="13" t="s">
        <v>52</v>
      </c>
      <c r="D196" s="13" t="s">
        <v>62</v>
      </c>
      <c r="U196" s="36">
        <v>30</v>
      </c>
      <c r="V196" s="37">
        <v>130</v>
      </c>
      <c r="W196" s="12">
        <v>24.096464311865819</v>
      </c>
      <c r="X196" s="12">
        <v>25.630725212736444</v>
      </c>
      <c r="Y196" s="38">
        <f t="shared" si="36"/>
        <v>1.5342609008706241</v>
      </c>
      <c r="Z196" s="13">
        <f>Y196/T194</f>
        <v>21.104001387491387</v>
      </c>
    </row>
    <row r="197" spans="2:26" ht="18.75">
      <c r="B197" s="351">
        <v>42332</v>
      </c>
      <c r="C197" s="276" t="s">
        <v>0</v>
      </c>
      <c r="D197" s="277" t="s">
        <v>1</v>
      </c>
      <c r="E197" s="277" t="s">
        <v>10</v>
      </c>
      <c r="F197" s="277" t="s">
        <v>6</v>
      </c>
      <c r="G197" s="278" t="s">
        <v>7</v>
      </c>
      <c r="H197" s="275"/>
    </row>
    <row r="198" spans="2:26">
      <c r="B198" s="232">
        <f>0.0906-0.0169</f>
        <v>7.3700000000000002E-2</v>
      </c>
      <c r="C198" s="294">
        <v>20</v>
      </c>
      <c r="D198" s="295">
        <v>100</v>
      </c>
      <c r="E198" s="13">
        <v>21.867995520000001</v>
      </c>
      <c r="F198" s="13">
        <v>23.240392549999999</v>
      </c>
      <c r="G198" s="296">
        <f>F198-E198</f>
        <v>1.3723970299999984</v>
      </c>
      <c r="H198" s="232">
        <f>G198/$B$198</f>
        <v>18.621397964721822</v>
      </c>
    </row>
    <row r="199" spans="2:26">
      <c r="B199" s="232">
        <f>1000*B198/20*16</f>
        <v>58.96</v>
      </c>
      <c r="C199" s="34">
        <v>20</v>
      </c>
      <c r="D199" s="39">
        <v>130</v>
      </c>
      <c r="E199" s="292">
        <v>23.233221366001455</v>
      </c>
      <c r="F199" s="13">
        <v>25.101454560000001</v>
      </c>
      <c r="G199" s="297">
        <f t="shared" ref="G199:G200" si="37">F199-E199</f>
        <v>1.8682331939985453</v>
      </c>
      <c r="H199" s="232">
        <f t="shared" ref="H199:H200" si="38">G199/$B$198</f>
        <v>25.349161383969406</v>
      </c>
    </row>
    <row r="200" spans="2:26">
      <c r="B200" s="232"/>
      <c r="C200" s="34">
        <v>30</v>
      </c>
      <c r="D200" s="39">
        <v>130</v>
      </c>
      <c r="E200" s="352">
        <v>23.581908559999999</v>
      </c>
      <c r="F200" s="352">
        <v>25.534240189999998</v>
      </c>
      <c r="G200" s="297">
        <f t="shared" si="37"/>
        <v>1.9523316299999998</v>
      </c>
      <c r="H200" s="232">
        <f t="shared" si="38"/>
        <v>26.490252781546808</v>
      </c>
    </row>
    <row r="201" spans="2:26">
      <c r="C201" s="295"/>
      <c r="D201" s="295"/>
      <c r="E201" s="370"/>
      <c r="F201" s="370"/>
      <c r="G201" s="295"/>
      <c r="H201" s="232"/>
    </row>
    <row r="203" spans="2:26">
      <c r="B203" s="275"/>
      <c r="H203" s="275"/>
    </row>
    <row r="204" spans="2:26">
      <c r="B204" s="275"/>
      <c r="H204" s="275"/>
    </row>
    <row r="205" spans="2:26">
      <c r="B205" s="275"/>
      <c r="H205" s="275"/>
    </row>
    <row r="206" spans="2:26">
      <c r="B206" s="275"/>
      <c r="H206" s="275"/>
    </row>
    <row r="207" spans="2:26">
      <c r="H207" s="275"/>
    </row>
  </sheetData>
  <phoneticPr fontId="1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2"/>
  <sheetViews>
    <sheetView topLeftCell="A55" workbookViewId="0">
      <selection activeCell="K74" sqref="K74"/>
    </sheetView>
  </sheetViews>
  <sheetFormatPr defaultRowHeight="15"/>
  <sheetData>
    <row r="1" spans="1:20">
      <c r="A1" s="470" t="s">
        <v>380</v>
      </c>
      <c r="B1" s="62"/>
      <c r="C1" s="62"/>
      <c r="D1" s="62"/>
      <c r="E1" s="62"/>
      <c r="F1" s="62"/>
      <c r="G1" s="62"/>
      <c r="H1" s="62"/>
      <c r="I1" s="62"/>
      <c r="J1" t="s">
        <v>297</v>
      </c>
    </row>
    <row r="2" spans="1:20">
      <c r="A2" s="461" t="s">
        <v>381</v>
      </c>
    </row>
    <row r="3" spans="1:20" ht="18.75">
      <c r="B3" s="465"/>
      <c r="C3" s="466"/>
      <c r="D3" s="323" t="s">
        <v>0</v>
      </c>
      <c r="E3" s="324" t="s">
        <v>1</v>
      </c>
      <c r="F3" s="324" t="s">
        <v>49</v>
      </c>
      <c r="G3" s="324" t="s">
        <v>6</v>
      </c>
      <c r="H3" s="325" t="s">
        <v>7</v>
      </c>
      <c r="I3" s="233"/>
    </row>
    <row r="4" spans="1:20" ht="15.75">
      <c r="B4" s="465" t="s">
        <v>382</v>
      </c>
      <c r="C4" s="466">
        <f>0.1039-0.0038</f>
        <v>0.10010000000000001</v>
      </c>
      <c r="D4" s="326">
        <v>20</v>
      </c>
      <c r="E4" s="327">
        <v>100</v>
      </c>
      <c r="F4" s="465">
        <v>23.280232177986601</v>
      </c>
      <c r="G4" s="465">
        <v>24.869624308921399</v>
      </c>
      <c r="H4" s="328">
        <f t="shared" ref="H4:H6" si="0">G4-F4</f>
        <v>1.5893921309347974</v>
      </c>
      <c r="I4" s="233"/>
    </row>
    <row r="5" spans="1:20">
      <c r="B5" s="465" t="s">
        <v>383</v>
      </c>
      <c r="C5" s="465">
        <f>0.3*0.1</f>
        <v>0.03</v>
      </c>
      <c r="D5" s="329">
        <v>15</v>
      </c>
      <c r="E5" s="330">
        <v>133</v>
      </c>
      <c r="F5" s="465">
        <v>23.755693361502495</v>
      </c>
      <c r="G5" s="465">
        <v>25.506949365553201</v>
      </c>
      <c r="H5" s="331">
        <f t="shared" si="0"/>
        <v>1.7512560040507061</v>
      </c>
      <c r="I5" s="233"/>
    </row>
    <row r="6" spans="1:20">
      <c r="B6" s="465" t="s">
        <v>353</v>
      </c>
      <c r="C6" s="465" t="s">
        <v>88</v>
      </c>
      <c r="D6" s="332">
        <v>30</v>
      </c>
      <c r="E6" s="333">
        <v>130</v>
      </c>
      <c r="F6" s="522">
        <v>23.756810948658643</v>
      </c>
      <c r="G6" s="522">
        <v>26.447440919127502</v>
      </c>
      <c r="H6" s="334">
        <f t="shared" si="0"/>
        <v>2.6906299704688585</v>
      </c>
      <c r="I6" s="233"/>
    </row>
    <row r="7" spans="1:20" s="461" customFormat="1">
      <c r="C7" s="233"/>
      <c r="D7" s="235"/>
      <c r="E7" s="235"/>
      <c r="F7" s="521"/>
      <c r="G7" s="521"/>
      <c r="H7" s="235"/>
      <c r="I7" s="233"/>
    </row>
    <row r="8" spans="1:20" s="461" customFormat="1">
      <c r="C8" s="233"/>
      <c r="D8" s="235"/>
      <c r="E8" s="235"/>
      <c r="F8" s="521"/>
      <c r="G8" s="521"/>
      <c r="H8" s="235"/>
      <c r="I8" s="233"/>
    </row>
    <row r="9" spans="1:20" s="461" customFormat="1">
      <c r="A9" s="1" t="s">
        <v>384</v>
      </c>
      <c r="C9" s="233"/>
      <c r="D9" s="235"/>
      <c r="E9" s="235"/>
      <c r="F9" s="521"/>
      <c r="G9" s="521"/>
      <c r="H9" s="235"/>
      <c r="I9" s="233"/>
    </row>
    <row r="10" spans="1:20">
      <c r="C10" s="369"/>
      <c r="F10" s="322"/>
      <c r="G10" s="321"/>
    </row>
    <row r="11" spans="1:20" ht="18.75">
      <c r="B11" s="465"/>
      <c r="C11" s="466"/>
      <c r="D11" s="323" t="s">
        <v>0</v>
      </c>
      <c r="E11" s="324" t="s">
        <v>1</v>
      </c>
      <c r="F11" s="324" t="s">
        <v>49</v>
      </c>
      <c r="G11" s="324" t="s">
        <v>6</v>
      </c>
      <c r="H11" s="325" t="s">
        <v>7</v>
      </c>
      <c r="I11" s="466"/>
      <c r="J11" s="465"/>
      <c r="K11" s="465"/>
      <c r="L11" s="323" t="s">
        <v>0</v>
      </c>
      <c r="M11" s="324" t="s">
        <v>1</v>
      </c>
      <c r="N11" s="324" t="s">
        <v>49</v>
      </c>
      <c r="O11" s="324" t="s">
        <v>6</v>
      </c>
      <c r="P11" s="325" t="s">
        <v>7</v>
      </c>
    </row>
    <row r="12" spans="1:20" ht="15.75">
      <c r="B12" s="465" t="s">
        <v>382</v>
      </c>
      <c r="C12" s="466">
        <f>0.1091-0.0018</f>
        <v>0.10730000000000001</v>
      </c>
      <c r="D12" s="326">
        <v>20</v>
      </c>
      <c r="E12" s="327">
        <v>100</v>
      </c>
      <c r="F12" s="465">
        <v>23.230613659999999</v>
      </c>
      <c r="G12" s="465">
        <v>24.786033499999998</v>
      </c>
      <c r="H12" s="328">
        <f t="shared" ref="H12:H14" si="1">G12-F12</f>
        <v>1.555419839999999</v>
      </c>
      <c r="I12" s="466">
        <f>H12/$C$12</f>
        <v>14.495991053122077</v>
      </c>
      <c r="J12" s="465" t="s">
        <v>382</v>
      </c>
      <c r="K12" s="466">
        <f>0.1022-0.0013</f>
        <v>0.1009</v>
      </c>
      <c r="L12" s="326">
        <v>20</v>
      </c>
      <c r="M12" s="327">
        <v>100</v>
      </c>
      <c r="N12" s="465">
        <v>23.236630609999999</v>
      </c>
      <c r="O12" s="465">
        <v>24.698033500000001</v>
      </c>
      <c r="P12" s="328">
        <f t="shared" ref="P12:P14" si="2">O12-N12</f>
        <v>1.4614028900000022</v>
      </c>
    </row>
    <row r="13" spans="1:20">
      <c r="B13" s="465" t="s">
        <v>383</v>
      </c>
      <c r="C13" s="466">
        <f>0.3*0.1</f>
        <v>0.03</v>
      </c>
      <c r="D13" s="329">
        <v>15</v>
      </c>
      <c r="E13" s="330">
        <v>133</v>
      </c>
      <c r="F13" s="465">
        <v>23.257556933615</v>
      </c>
      <c r="G13" s="465">
        <v>25.069493655532</v>
      </c>
      <c r="H13" s="331">
        <f t="shared" si="1"/>
        <v>1.8119367219170002</v>
      </c>
      <c r="I13" s="466">
        <f t="shared" ref="I13:I14" si="3">H13/$C$4</f>
        <v>18.101265953216782</v>
      </c>
      <c r="J13" s="465" t="s">
        <v>383</v>
      </c>
      <c r="K13" s="466">
        <f>0.3*0.1</f>
        <v>0.03</v>
      </c>
      <c r="L13" s="329">
        <v>15</v>
      </c>
      <c r="M13" s="330">
        <v>133</v>
      </c>
      <c r="N13" s="465">
        <v>23.257556933615</v>
      </c>
      <c r="O13" s="465">
        <v>24.96555329493</v>
      </c>
      <c r="P13" s="331">
        <f t="shared" si="2"/>
        <v>1.7079963613150007</v>
      </c>
    </row>
    <row r="14" spans="1:20">
      <c r="B14" s="465" t="s">
        <v>353</v>
      </c>
      <c r="C14" s="465" t="s">
        <v>88</v>
      </c>
      <c r="D14" s="332">
        <v>30</v>
      </c>
      <c r="E14" s="333">
        <v>130</v>
      </c>
      <c r="F14" s="522">
        <v>23.756810948658643</v>
      </c>
      <c r="G14" s="522">
        <v>26.409191275447402</v>
      </c>
      <c r="H14" s="334">
        <f t="shared" si="1"/>
        <v>2.6523803267887587</v>
      </c>
      <c r="I14" s="466">
        <f t="shared" si="3"/>
        <v>26.497305961925658</v>
      </c>
      <c r="J14" s="465" t="s">
        <v>353</v>
      </c>
      <c r="K14" s="466" t="s">
        <v>63</v>
      </c>
      <c r="L14" s="332">
        <v>30</v>
      </c>
      <c r="M14" s="333">
        <v>130</v>
      </c>
      <c r="N14" s="522">
        <v>23.756810948658643</v>
      </c>
      <c r="O14" s="522">
        <v>26.409191275447402</v>
      </c>
      <c r="P14" s="334">
        <f t="shared" si="2"/>
        <v>2.6523803267887587</v>
      </c>
    </row>
    <row r="15" spans="1:20">
      <c r="B15" s="461"/>
    </row>
    <row r="16" spans="1:20">
      <c r="A16" s="465"/>
      <c r="B16" s="465"/>
      <c r="C16" s="465"/>
      <c r="D16" s="465"/>
      <c r="E16" s="465"/>
      <c r="F16" s="465"/>
      <c r="G16" s="465"/>
      <c r="H16" s="465"/>
      <c r="I16" s="465"/>
      <c r="J16" s="465"/>
      <c r="K16" s="465"/>
      <c r="L16" s="465"/>
      <c r="M16" s="465"/>
      <c r="N16" s="465"/>
      <c r="O16" s="465"/>
      <c r="P16" s="465"/>
      <c r="Q16" s="465"/>
      <c r="R16" s="440"/>
      <c r="S16" s="440"/>
      <c r="T16" s="440"/>
    </row>
    <row r="17" spans="1:21" ht="18.75">
      <c r="A17" s="465"/>
      <c r="B17" s="465"/>
      <c r="C17" s="466"/>
      <c r="D17" s="323" t="s">
        <v>0</v>
      </c>
      <c r="E17" s="324" t="s">
        <v>1</v>
      </c>
      <c r="F17" s="324" t="s">
        <v>49</v>
      </c>
      <c r="G17" s="324" t="s">
        <v>6</v>
      </c>
      <c r="H17" s="325" t="s">
        <v>7</v>
      </c>
      <c r="I17" s="466"/>
      <c r="J17" s="465"/>
      <c r="K17" s="466"/>
      <c r="L17" s="323" t="s">
        <v>0</v>
      </c>
      <c r="M17" s="324" t="s">
        <v>1</v>
      </c>
      <c r="N17" s="324" t="s">
        <v>49</v>
      </c>
      <c r="O17" s="324" t="s">
        <v>6</v>
      </c>
      <c r="P17" s="325" t="s">
        <v>7</v>
      </c>
      <c r="Q17" s="465"/>
      <c r="R17" s="440"/>
      <c r="S17" s="440"/>
      <c r="T17" s="440"/>
    </row>
    <row r="18" spans="1:21" ht="15.75">
      <c r="A18" s="465"/>
      <c r="B18" s="465" t="s">
        <v>382</v>
      </c>
      <c r="C18" s="466">
        <v>9.8299999999999998E-2</v>
      </c>
      <c r="D18" s="326">
        <v>20</v>
      </c>
      <c r="E18" s="327">
        <v>100</v>
      </c>
      <c r="F18" s="466">
        <v>22.214633809999999</v>
      </c>
      <c r="G18" s="466">
        <v>23.978555799999999</v>
      </c>
      <c r="H18" s="356">
        <f t="shared" ref="H18:H23" si="4">G18-F18</f>
        <v>1.7639219900000001</v>
      </c>
      <c r="I18" s="466">
        <f>H18/$C$18</f>
        <v>17.944272533062055</v>
      </c>
      <c r="J18" s="465" t="s">
        <v>382</v>
      </c>
      <c r="K18" s="466">
        <v>9.7600000000000006E-2</v>
      </c>
      <c r="L18" s="326">
        <v>20</v>
      </c>
      <c r="M18" s="327">
        <v>100</v>
      </c>
      <c r="N18" s="466">
        <v>22.196633810000002</v>
      </c>
      <c r="O18" s="466">
        <v>23.955878500000001</v>
      </c>
      <c r="P18" s="356">
        <f t="shared" ref="P18:P20" si="5">O18-N18</f>
        <v>1.7592446899999992</v>
      </c>
      <c r="Q18" s="465"/>
      <c r="R18" s="440"/>
      <c r="S18" s="440"/>
      <c r="T18" s="440"/>
    </row>
    <row r="19" spans="1:21" ht="15.75">
      <c r="A19" s="465"/>
      <c r="B19" s="465" t="s">
        <v>383</v>
      </c>
      <c r="C19" s="466">
        <f>0.3*0.2</f>
        <v>0.06</v>
      </c>
      <c r="D19" s="329">
        <v>15</v>
      </c>
      <c r="E19" s="330">
        <v>133</v>
      </c>
      <c r="F19" s="330">
        <v>22.205599979999999</v>
      </c>
      <c r="G19" s="466">
        <v>24.559232389999998</v>
      </c>
      <c r="H19" s="46">
        <f t="shared" si="4"/>
        <v>2.3536324099999995</v>
      </c>
      <c r="I19" s="466">
        <f t="shared" ref="I19:I20" si="6">H19/$C$18</f>
        <v>23.943361241098671</v>
      </c>
      <c r="J19" s="465" t="s">
        <v>383</v>
      </c>
      <c r="K19" s="466">
        <f>0.3*0.2</f>
        <v>0.06</v>
      </c>
      <c r="L19" s="329">
        <v>15</v>
      </c>
      <c r="M19" s="330">
        <v>133</v>
      </c>
      <c r="N19" s="330">
        <v>22.211599979999999</v>
      </c>
      <c r="O19" s="466">
        <v>24.532395919999999</v>
      </c>
      <c r="P19" s="46">
        <f t="shared" si="5"/>
        <v>2.32079594</v>
      </c>
      <c r="Q19" s="465"/>
      <c r="R19" s="440"/>
      <c r="S19" s="440"/>
      <c r="T19" s="440"/>
    </row>
    <row r="20" spans="1:21" ht="15.75">
      <c r="A20" s="465"/>
      <c r="B20" s="465" t="s">
        <v>353</v>
      </c>
      <c r="C20" s="465" t="s">
        <v>64</v>
      </c>
      <c r="D20" s="332">
        <v>30</v>
      </c>
      <c r="E20" s="333">
        <v>130</v>
      </c>
      <c r="F20" s="333">
        <v>21.846575099999999</v>
      </c>
      <c r="G20" s="333">
        <v>24.573433519999998</v>
      </c>
      <c r="H20" s="358">
        <f t="shared" si="4"/>
        <v>2.7268584199999992</v>
      </c>
      <c r="I20" s="466">
        <f t="shared" si="6"/>
        <v>27.740167039674457</v>
      </c>
      <c r="J20" s="465" t="s">
        <v>353</v>
      </c>
      <c r="K20" s="466">
        <f>K19/K18</f>
        <v>0.61475409836065564</v>
      </c>
      <c r="L20" s="332">
        <v>30</v>
      </c>
      <c r="M20" s="333">
        <v>130</v>
      </c>
      <c r="N20" s="333">
        <v>21.846575099999999</v>
      </c>
      <c r="O20" s="333">
        <v>24.573433519999998</v>
      </c>
      <c r="P20" s="358">
        <f t="shared" si="5"/>
        <v>2.7268584199999992</v>
      </c>
      <c r="Q20" s="465"/>
      <c r="R20" s="440"/>
      <c r="S20" s="440"/>
      <c r="T20" s="440"/>
    </row>
    <row r="21" spans="1:21" ht="15.75">
      <c r="A21" s="465"/>
      <c r="B21" s="465" t="s">
        <v>382</v>
      </c>
      <c r="C21" s="466">
        <v>9.98E-2</v>
      </c>
      <c r="D21" s="326">
        <v>20</v>
      </c>
      <c r="E21" s="327">
        <v>100</v>
      </c>
      <c r="F21" s="466">
        <v>22.204854919999999</v>
      </c>
      <c r="G21" s="466">
        <v>23.925957050000001</v>
      </c>
      <c r="H21" s="356">
        <f t="shared" si="4"/>
        <v>1.721102130000002</v>
      </c>
      <c r="I21" s="466">
        <f>H21/$C$21</f>
        <v>17.245512324649319</v>
      </c>
      <c r="J21" s="466"/>
      <c r="K21" s="465"/>
      <c r="L21" s="465"/>
      <c r="M21" s="465"/>
      <c r="N21" s="465"/>
      <c r="O21" s="465"/>
      <c r="P21" s="466"/>
      <c r="Q21" s="465"/>
      <c r="R21" s="440"/>
      <c r="S21" s="440"/>
      <c r="T21" s="440"/>
    </row>
    <row r="22" spans="1:21" ht="15.75">
      <c r="A22" s="465"/>
      <c r="B22" s="465" t="s">
        <v>383</v>
      </c>
      <c r="C22" s="466">
        <f>0.3*0.2</f>
        <v>0.06</v>
      </c>
      <c r="D22" s="329">
        <v>15</v>
      </c>
      <c r="E22" s="330">
        <v>133</v>
      </c>
      <c r="F22" s="330">
        <v>21.851697380000001</v>
      </c>
      <c r="G22" s="330">
        <v>24.218878997497502</v>
      </c>
      <c r="H22" s="46">
        <f t="shared" si="4"/>
        <v>2.3671816174975007</v>
      </c>
      <c r="I22" s="466">
        <f t="shared" ref="I22:I23" si="7">H22/$C$21</f>
        <v>23.719254684343696</v>
      </c>
      <c r="J22" s="466"/>
      <c r="K22" s="465"/>
      <c r="L22" s="465"/>
      <c r="M22" s="465"/>
      <c r="N22" s="465"/>
      <c r="O22" s="465"/>
      <c r="P22" s="466"/>
      <c r="Q22" s="465"/>
      <c r="R22" s="440"/>
      <c r="S22" s="440"/>
      <c r="T22" s="440"/>
    </row>
    <row r="23" spans="1:21" ht="15.75">
      <c r="A23" s="465"/>
      <c r="B23" s="465" t="s">
        <v>353</v>
      </c>
      <c r="C23" s="465" t="s">
        <v>64</v>
      </c>
      <c r="D23" s="332">
        <v>30</v>
      </c>
      <c r="E23" s="333">
        <v>130</v>
      </c>
      <c r="F23" s="333">
        <v>21.746830450000001</v>
      </c>
      <c r="G23" s="522">
        <v>24.576320620000001</v>
      </c>
      <c r="H23" s="358">
        <f t="shared" si="4"/>
        <v>2.8294901699999997</v>
      </c>
      <c r="I23" s="466">
        <f t="shared" si="7"/>
        <v>28.351604909819635</v>
      </c>
      <c r="J23" s="466"/>
      <c r="K23" s="465"/>
      <c r="L23" s="465"/>
      <c r="M23" s="465"/>
      <c r="N23" s="465"/>
      <c r="O23" s="465"/>
      <c r="P23" s="466"/>
      <c r="Q23" s="465"/>
      <c r="R23" s="440"/>
      <c r="S23" s="440"/>
      <c r="T23" s="440"/>
    </row>
    <row r="24" spans="1:21">
      <c r="A24" s="465"/>
      <c r="B24" s="465"/>
      <c r="C24" s="465"/>
      <c r="D24" s="465"/>
      <c r="E24" s="465"/>
      <c r="F24" s="465"/>
      <c r="G24" s="465"/>
      <c r="H24" s="465"/>
      <c r="I24" s="465"/>
      <c r="J24" s="466"/>
      <c r="K24" s="465"/>
      <c r="L24" s="465"/>
      <c r="M24" s="465"/>
      <c r="N24" s="465"/>
      <c r="O24" s="465"/>
      <c r="P24" s="466"/>
      <c r="Q24" s="465"/>
      <c r="R24" s="440"/>
      <c r="S24" s="440"/>
      <c r="T24" s="440"/>
    </row>
    <row r="25" spans="1:21" ht="18.75">
      <c r="A25" s="465"/>
      <c r="B25" s="465"/>
      <c r="C25" s="466"/>
      <c r="D25" s="323" t="s">
        <v>0</v>
      </c>
      <c r="E25" s="324" t="s">
        <v>1</v>
      </c>
      <c r="F25" s="324" t="s">
        <v>49</v>
      </c>
      <c r="G25" s="324" t="s">
        <v>6</v>
      </c>
      <c r="H25" s="325" t="s">
        <v>7</v>
      </c>
      <c r="I25" s="466"/>
      <c r="J25" s="465"/>
      <c r="K25" s="466"/>
      <c r="L25" s="323" t="s">
        <v>0</v>
      </c>
      <c r="M25" s="324" t="s">
        <v>1</v>
      </c>
      <c r="N25" s="324" t="s">
        <v>49</v>
      </c>
      <c r="O25" s="324" t="s">
        <v>6</v>
      </c>
      <c r="P25" s="325" t="s">
        <v>7</v>
      </c>
      <c r="Q25" s="465"/>
      <c r="R25" s="440"/>
      <c r="S25" s="440"/>
      <c r="T25" s="440"/>
    </row>
    <row r="26" spans="1:21" ht="15.75">
      <c r="A26" s="465"/>
      <c r="B26" s="465" t="s">
        <v>382</v>
      </c>
      <c r="C26" s="466">
        <v>0.1045</v>
      </c>
      <c r="D26" s="326">
        <v>20</v>
      </c>
      <c r="E26" s="327">
        <v>100</v>
      </c>
      <c r="F26" s="466">
        <v>22.199360110000001</v>
      </c>
      <c r="G26" s="466">
        <v>24.58758963</v>
      </c>
      <c r="H26" s="356">
        <f t="shared" ref="H26:H31" si="8">G26-F26</f>
        <v>2.3882295199999994</v>
      </c>
      <c r="I26" s="466">
        <f>H26/$C$26</f>
        <v>22.853871004784686</v>
      </c>
      <c r="J26" s="465" t="s">
        <v>382</v>
      </c>
      <c r="K26" s="466">
        <v>9.9099999999999994E-2</v>
      </c>
      <c r="L26" s="326">
        <v>20</v>
      </c>
      <c r="M26" s="327">
        <v>100</v>
      </c>
      <c r="N26" s="466">
        <v>22.36011199</v>
      </c>
      <c r="O26" s="466">
        <v>24.896358750000001</v>
      </c>
      <c r="P26" s="356">
        <f>O26-N26</f>
        <v>2.5362467600000009</v>
      </c>
      <c r="Q26" s="465"/>
      <c r="R26" s="440"/>
      <c r="S26" s="440"/>
      <c r="T26" s="440"/>
    </row>
    <row r="27" spans="1:21" ht="15.75">
      <c r="A27" s="465"/>
      <c r="B27" s="465" t="s">
        <v>383</v>
      </c>
      <c r="C27" s="466">
        <f>0.3*0.4</f>
        <v>0.12</v>
      </c>
      <c r="D27" s="329">
        <v>15</v>
      </c>
      <c r="E27" s="330">
        <v>133</v>
      </c>
      <c r="F27" s="330">
        <v>21.850672920000001</v>
      </c>
      <c r="G27" s="466">
        <v>24.996926899999998</v>
      </c>
      <c r="H27" s="46">
        <f t="shared" si="8"/>
        <v>3.1462539799999973</v>
      </c>
      <c r="I27" s="466">
        <f t="shared" ref="I27:I28" si="9">H27/$C$26</f>
        <v>30.107693588516721</v>
      </c>
      <c r="J27" s="465" t="s">
        <v>383</v>
      </c>
      <c r="K27" s="466">
        <f>0.3*0.4</f>
        <v>0.12</v>
      </c>
      <c r="L27" s="329">
        <v>15</v>
      </c>
      <c r="M27" s="330">
        <v>133</v>
      </c>
      <c r="N27" s="330">
        <v>21.729285059999999</v>
      </c>
      <c r="O27" s="466">
        <v>24.9609269</v>
      </c>
      <c r="P27" s="46">
        <f>O27-N27</f>
        <v>3.2316418400000018</v>
      </c>
      <c r="Q27" s="465"/>
      <c r="R27" s="440"/>
      <c r="S27" s="440"/>
      <c r="T27" s="440"/>
    </row>
    <row r="28" spans="1:21" ht="15.75">
      <c r="A28" s="465"/>
      <c r="B28" s="465" t="s">
        <v>353</v>
      </c>
      <c r="C28" s="465" t="s">
        <v>75</v>
      </c>
      <c r="D28" s="332">
        <v>30</v>
      </c>
      <c r="E28" s="333">
        <v>130</v>
      </c>
      <c r="F28" s="333">
        <v>21.80587937</v>
      </c>
      <c r="G28" s="333">
        <v>24.58379832</v>
      </c>
      <c r="H28" s="358">
        <f t="shared" si="8"/>
        <v>2.7779189500000001</v>
      </c>
      <c r="I28" s="466">
        <f t="shared" si="9"/>
        <v>26.582956459330145</v>
      </c>
      <c r="J28" s="465" t="s">
        <v>353</v>
      </c>
      <c r="K28" s="465" t="s">
        <v>75</v>
      </c>
      <c r="L28" s="332">
        <v>30</v>
      </c>
      <c r="M28" s="333">
        <v>130</v>
      </c>
      <c r="N28" s="333">
        <v>21.80587937</v>
      </c>
      <c r="O28" s="333">
        <v>24.08379832</v>
      </c>
      <c r="P28" s="358">
        <f>O28-N28</f>
        <v>2.2779189500000001</v>
      </c>
      <c r="Q28" s="465"/>
    </row>
    <row r="29" spans="1:21" ht="15.75">
      <c r="A29" s="465"/>
      <c r="B29" s="465" t="s">
        <v>382</v>
      </c>
      <c r="C29" s="466">
        <v>9.7799999999999998E-2</v>
      </c>
      <c r="D29" s="326">
        <v>20</v>
      </c>
      <c r="E29" s="327">
        <v>100</v>
      </c>
      <c r="F29" s="466">
        <v>22.231360110000001</v>
      </c>
      <c r="G29" s="466">
        <v>24.820589630000001</v>
      </c>
      <c r="H29" s="356">
        <f t="shared" si="8"/>
        <v>2.58922952</v>
      </c>
      <c r="I29" s="466">
        <f>H29/$C$26</f>
        <v>24.777315980861246</v>
      </c>
      <c r="J29" s="465"/>
      <c r="K29" s="465"/>
      <c r="L29" s="465"/>
      <c r="M29" s="465"/>
      <c r="N29" s="465"/>
      <c r="O29" s="465"/>
      <c r="P29" s="465"/>
      <c r="Q29" s="465"/>
    </row>
    <row r="30" spans="1:21" ht="15.75">
      <c r="A30" s="465"/>
      <c r="B30" s="465" t="s">
        <v>383</v>
      </c>
      <c r="C30" s="466">
        <f>0.3*0.4</f>
        <v>0.12</v>
      </c>
      <c r="D30" s="329">
        <v>15</v>
      </c>
      <c r="E30" s="330">
        <v>133</v>
      </c>
      <c r="F30" s="330">
        <v>21.8217292</v>
      </c>
      <c r="G30" s="466">
        <v>25.281926899999998</v>
      </c>
      <c r="H30" s="46">
        <f t="shared" si="8"/>
        <v>3.4601976999999984</v>
      </c>
      <c r="I30" s="466">
        <f t="shared" ref="I30:I31" si="10">H30/$C$26</f>
        <v>33.111939712918648</v>
      </c>
      <c r="J30" s="465"/>
      <c r="K30" s="465"/>
      <c r="L30" s="465"/>
      <c r="M30" s="465"/>
      <c r="N30" s="465"/>
      <c r="O30" s="465"/>
      <c r="P30" s="465"/>
      <c r="Q30" s="465"/>
      <c r="R30" s="386"/>
      <c r="S30" s="386"/>
      <c r="T30" s="386"/>
      <c r="U30" s="386"/>
    </row>
    <row r="31" spans="1:21" ht="15.75">
      <c r="A31" s="465"/>
      <c r="B31" s="465" t="s">
        <v>353</v>
      </c>
      <c r="C31" s="465" t="s">
        <v>75</v>
      </c>
      <c r="D31" s="332">
        <v>30</v>
      </c>
      <c r="E31" s="333">
        <v>130</v>
      </c>
      <c r="F31" s="333">
        <v>21.80587937</v>
      </c>
      <c r="G31" s="333">
        <v>24.08379832</v>
      </c>
      <c r="H31" s="358">
        <f t="shared" si="8"/>
        <v>2.2779189500000001</v>
      </c>
      <c r="I31" s="466">
        <f t="shared" si="10"/>
        <v>21.798267464114833</v>
      </c>
      <c r="J31" s="465"/>
      <c r="K31" s="465"/>
      <c r="L31" s="465"/>
      <c r="M31" s="465"/>
      <c r="N31" s="465"/>
      <c r="O31" s="465"/>
      <c r="P31" s="465"/>
      <c r="Q31" s="465"/>
      <c r="R31" s="386"/>
      <c r="S31" s="386"/>
      <c r="T31" s="386"/>
      <c r="U31" s="386"/>
    </row>
    <row r="32" spans="1:21">
      <c r="R32" s="386"/>
      <c r="S32" s="386"/>
      <c r="T32" s="386"/>
      <c r="U32" s="386"/>
    </row>
    <row r="33" spans="1:22" ht="15.75">
      <c r="B33" s="465"/>
      <c r="C33" s="421"/>
      <c r="D33" s="418" t="s">
        <v>0</v>
      </c>
      <c r="E33" s="419" t="s">
        <v>1</v>
      </c>
      <c r="F33" s="419" t="s">
        <v>11</v>
      </c>
      <c r="G33" s="419" t="s">
        <v>6</v>
      </c>
      <c r="H33" s="420" t="s">
        <v>7</v>
      </c>
      <c r="R33" s="386"/>
      <c r="S33" s="386"/>
      <c r="T33" s="386"/>
      <c r="U33" s="386"/>
    </row>
    <row r="34" spans="1:22" ht="15.75">
      <c r="B34" s="465" t="s">
        <v>382</v>
      </c>
      <c r="C34" s="421">
        <v>0.1087</v>
      </c>
      <c r="D34" s="503">
        <v>20</v>
      </c>
      <c r="E34" s="504">
        <v>100</v>
      </c>
      <c r="F34" s="421">
        <v>22.89729329</v>
      </c>
      <c r="G34" s="421">
        <v>28.108998280000002</v>
      </c>
      <c r="H34" s="493">
        <f>G34-F34</f>
        <v>5.2117049900000012</v>
      </c>
    </row>
    <row r="35" spans="1:22">
      <c r="B35" s="465" t="s">
        <v>383</v>
      </c>
      <c r="C35" s="421">
        <v>0.3</v>
      </c>
      <c r="D35" s="486">
        <v>20</v>
      </c>
      <c r="E35" s="421">
        <v>130</v>
      </c>
      <c r="F35" s="421">
        <v>23.223535609999999</v>
      </c>
      <c r="G35" s="421">
        <v>28.96572196</v>
      </c>
      <c r="H35" s="500">
        <f t="shared" ref="H35:H36" si="11">G35-F35</f>
        <v>5.7421863500000008</v>
      </c>
    </row>
    <row r="36" spans="1:22">
      <c r="B36" s="465" t="s">
        <v>353</v>
      </c>
      <c r="C36" s="523" t="s">
        <v>66</v>
      </c>
      <c r="D36" s="422">
        <v>30</v>
      </c>
      <c r="E36" s="423">
        <v>130</v>
      </c>
      <c r="F36" s="423">
        <v>23.27583091</v>
      </c>
      <c r="G36" s="423">
        <v>28.64227975</v>
      </c>
      <c r="H36" s="494">
        <f t="shared" si="11"/>
        <v>5.3664488400000003</v>
      </c>
    </row>
    <row r="37" spans="1:22" ht="15.75">
      <c r="B37" s="465" t="s">
        <v>382</v>
      </c>
      <c r="C37" s="421">
        <v>0.1075</v>
      </c>
      <c r="D37" s="503">
        <v>20</v>
      </c>
      <c r="E37" s="504">
        <v>100</v>
      </c>
      <c r="F37" s="421">
        <v>22.89775895</v>
      </c>
      <c r="G37" s="421">
        <v>27.97875127</v>
      </c>
      <c r="H37" s="500">
        <f>G37-F37</f>
        <v>5.08099232</v>
      </c>
    </row>
    <row r="38" spans="1:22">
      <c r="B38" s="465" t="s">
        <v>383</v>
      </c>
      <c r="C38" s="421">
        <v>0.3</v>
      </c>
      <c r="D38" s="486">
        <v>20</v>
      </c>
      <c r="E38" s="421">
        <v>130</v>
      </c>
      <c r="F38" s="421">
        <v>22.830054870000001</v>
      </c>
      <c r="G38" s="421">
        <v>28.750607420000001</v>
      </c>
      <c r="H38" s="500">
        <f t="shared" ref="H38:H39" si="12">G38-F38</f>
        <v>5.92055255</v>
      </c>
    </row>
    <row r="39" spans="1:22">
      <c r="B39" s="465" t="s">
        <v>353</v>
      </c>
      <c r="C39" s="523" t="s">
        <v>66</v>
      </c>
      <c r="D39" s="422">
        <v>30</v>
      </c>
      <c r="E39" s="423">
        <v>130</v>
      </c>
      <c r="F39" s="423">
        <v>23.17436485</v>
      </c>
      <c r="G39" s="423">
        <v>26.14702643</v>
      </c>
      <c r="H39" s="494">
        <f t="shared" si="12"/>
        <v>2.9726615800000005</v>
      </c>
    </row>
    <row r="40" spans="1:22">
      <c r="C40" s="461"/>
      <c r="D40" s="461"/>
      <c r="E40" s="461"/>
      <c r="F40" s="461"/>
      <c r="G40" s="461"/>
      <c r="H40" s="461"/>
      <c r="I40" s="461"/>
      <c r="J40" s="440"/>
      <c r="K40" s="440"/>
    </row>
    <row r="41" spans="1:22">
      <c r="C41" s="461"/>
      <c r="D41" s="461"/>
      <c r="E41" s="461"/>
      <c r="F41" s="461"/>
      <c r="G41" s="461"/>
      <c r="H41" s="461"/>
      <c r="I41" s="461"/>
      <c r="J41" s="440"/>
      <c r="K41" s="440"/>
    </row>
    <row r="42" spans="1:22">
      <c r="C42" s="461"/>
      <c r="D42" s="461"/>
      <c r="E42" s="461"/>
      <c r="F42" s="461"/>
      <c r="G42" s="461"/>
      <c r="H42" s="461"/>
      <c r="I42" s="461"/>
    </row>
    <row r="43" spans="1:22">
      <c r="C43" s="461"/>
      <c r="D43" s="461"/>
      <c r="E43" s="461"/>
      <c r="F43" s="461"/>
      <c r="G43" s="461"/>
      <c r="H43" s="461"/>
      <c r="I43" s="461"/>
    </row>
    <row r="44" spans="1:22">
      <c r="C44" s="461"/>
      <c r="D44" s="461"/>
      <c r="E44" s="461"/>
      <c r="F44" s="461"/>
      <c r="G44" s="461"/>
      <c r="H44" s="461"/>
      <c r="I44" s="461"/>
    </row>
    <row r="45" spans="1:22">
      <c r="A45" s="524" t="s">
        <v>385</v>
      </c>
      <c r="B45" s="62"/>
      <c r="C45" s="62"/>
      <c r="D45" s="62"/>
      <c r="E45" s="62"/>
      <c r="F45" s="62"/>
      <c r="G45" s="62"/>
      <c r="H45" s="62"/>
      <c r="I45" s="461" t="s">
        <v>297</v>
      </c>
    </row>
    <row r="46" spans="1:22">
      <c r="A46" s="461" t="s">
        <v>386</v>
      </c>
    </row>
    <row r="47" spans="1:22">
      <c r="I47" s="401"/>
      <c r="J47" s="400"/>
    </row>
    <row r="48" spans="1:22" s="465" customFormat="1" ht="15.75">
      <c r="C48" s="421"/>
      <c r="D48" s="418" t="s">
        <v>0</v>
      </c>
      <c r="E48" s="419" t="s">
        <v>1</v>
      </c>
      <c r="F48" s="419" t="s">
        <v>11</v>
      </c>
      <c r="G48" s="419" t="s">
        <v>6</v>
      </c>
      <c r="H48" s="420" t="s">
        <v>7</v>
      </c>
      <c r="I48" s="421"/>
      <c r="J48" s="421"/>
      <c r="K48" s="418" t="s">
        <v>0</v>
      </c>
      <c r="L48" s="419" t="s">
        <v>1</v>
      </c>
      <c r="M48" s="419" t="s">
        <v>11</v>
      </c>
      <c r="N48" s="419" t="s">
        <v>6</v>
      </c>
      <c r="O48" s="420" t="s">
        <v>7</v>
      </c>
      <c r="Q48" s="421"/>
      <c r="R48" s="418" t="s">
        <v>0</v>
      </c>
      <c r="S48" s="419" t="s">
        <v>1</v>
      </c>
      <c r="T48" s="419" t="s">
        <v>11</v>
      </c>
      <c r="U48" s="419" t="s">
        <v>6</v>
      </c>
      <c r="V48" s="420" t="s">
        <v>7</v>
      </c>
    </row>
    <row r="49" spans="1:22" s="465" customFormat="1" ht="15.75">
      <c r="B49" s="465" t="s">
        <v>382</v>
      </c>
      <c r="C49" s="421">
        <v>9.9000000000000005E-2</v>
      </c>
      <c r="D49" s="503">
        <v>20</v>
      </c>
      <c r="E49" s="504">
        <v>100</v>
      </c>
      <c r="F49" s="421">
        <v>22.556242950000001</v>
      </c>
      <c r="G49" s="421">
        <v>25.760815640000001</v>
      </c>
      <c r="H49" s="505">
        <f>G49-F49</f>
        <v>3.2045726899999991</v>
      </c>
      <c r="I49" s="465" t="s">
        <v>382</v>
      </c>
      <c r="J49" s="465">
        <v>9.6500000000000002E-2</v>
      </c>
      <c r="K49" s="503">
        <v>20</v>
      </c>
      <c r="L49" s="504">
        <v>100</v>
      </c>
      <c r="M49" s="421">
        <v>22.429555619999999</v>
      </c>
      <c r="N49" s="421">
        <v>25.815647599999998</v>
      </c>
      <c r="O49" s="505">
        <f>N49-M49</f>
        <v>3.3860919799999998</v>
      </c>
      <c r="P49" s="465" t="s">
        <v>382</v>
      </c>
      <c r="Q49" s="465">
        <v>9.6799999999999997E-2</v>
      </c>
      <c r="R49" s="503">
        <v>20</v>
      </c>
      <c r="S49" s="504">
        <v>100</v>
      </c>
      <c r="T49" s="421">
        <v>22.487555619999998</v>
      </c>
      <c r="U49" s="421">
        <v>25.769647599999999</v>
      </c>
      <c r="V49" s="505">
        <f>U49-T49</f>
        <v>3.2820919800000006</v>
      </c>
    </row>
    <row r="50" spans="1:22" s="465" customFormat="1" ht="15.75">
      <c r="B50" s="465" t="s">
        <v>383</v>
      </c>
      <c r="C50" s="421">
        <f>0.295*0.8</f>
        <v>0.23599999999999999</v>
      </c>
      <c r="D50" s="486">
        <v>15</v>
      </c>
      <c r="E50" s="421">
        <v>133</v>
      </c>
      <c r="F50" s="421">
        <v>22.547581650000001</v>
      </c>
      <c r="G50" s="421">
        <v>26.579421109999998</v>
      </c>
      <c r="H50" s="506">
        <f t="shared" ref="H50:H51" si="13">G50-F50</f>
        <v>4.0318394599999969</v>
      </c>
      <c r="I50" s="465" t="s">
        <v>383</v>
      </c>
      <c r="J50" s="421">
        <f>0.295*0.8</f>
        <v>0.23599999999999999</v>
      </c>
      <c r="K50" s="486">
        <v>15</v>
      </c>
      <c r="L50" s="421">
        <v>133</v>
      </c>
      <c r="M50" s="421">
        <v>22.581655470000001</v>
      </c>
      <c r="N50" s="421">
        <v>26.421115790000002</v>
      </c>
      <c r="O50" s="506">
        <f t="shared" ref="O50:O51" si="14">N50-M50</f>
        <v>3.8394603200000006</v>
      </c>
      <c r="P50" s="465" t="s">
        <v>383</v>
      </c>
      <c r="Q50" s="421">
        <f>0.295*0.8</f>
        <v>0.23599999999999999</v>
      </c>
      <c r="R50" s="486">
        <v>15</v>
      </c>
      <c r="S50" s="421">
        <v>133</v>
      </c>
      <c r="T50" s="421">
        <v>22.550655469999999</v>
      </c>
      <c r="U50" s="421">
        <v>26.674115789999998</v>
      </c>
      <c r="V50" s="506">
        <f t="shared" ref="V50:V51" si="15">U50-T50</f>
        <v>4.1234603199999995</v>
      </c>
    </row>
    <row r="51" spans="1:22" s="465" customFormat="1" ht="15.75">
      <c r="B51" s="465" t="s">
        <v>353</v>
      </c>
      <c r="C51" s="465" t="s">
        <v>78</v>
      </c>
      <c r="D51" s="422">
        <v>30</v>
      </c>
      <c r="E51" s="423">
        <v>130</v>
      </c>
      <c r="F51" s="423">
        <v>22.551493199999999</v>
      </c>
      <c r="G51" s="423">
        <v>27.425966259999999</v>
      </c>
      <c r="H51" s="507">
        <f t="shared" si="13"/>
        <v>4.8744730599999997</v>
      </c>
      <c r="I51" s="465" t="s">
        <v>353</v>
      </c>
      <c r="J51" s="465" t="s">
        <v>78</v>
      </c>
      <c r="K51" s="422">
        <v>30</v>
      </c>
      <c r="L51" s="423">
        <v>130</v>
      </c>
      <c r="M51" s="423">
        <v>22.551493199999999</v>
      </c>
      <c r="N51" s="423">
        <v>27.425966259999999</v>
      </c>
      <c r="O51" s="507">
        <f t="shared" si="14"/>
        <v>4.8744730599999997</v>
      </c>
      <c r="P51" s="465" t="s">
        <v>353</v>
      </c>
      <c r="Q51" s="465" t="s">
        <v>78</v>
      </c>
      <c r="R51" s="422">
        <v>30</v>
      </c>
      <c r="S51" s="423">
        <v>130</v>
      </c>
      <c r="T51" s="423">
        <v>22.551493199999999</v>
      </c>
      <c r="U51" s="423">
        <v>27.425966259999999</v>
      </c>
      <c r="V51" s="507">
        <f t="shared" si="15"/>
        <v>4.8744730599999997</v>
      </c>
    </row>
    <row r="52" spans="1:22">
      <c r="B52" s="400"/>
      <c r="I52" s="406"/>
      <c r="J52" s="400"/>
    </row>
    <row r="53" spans="1:22">
      <c r="B53" s="400"/>
      <c r="I53" s="406"/>
      <c r="J53" s="400"/>
    </row>
    <row r="54" spans="1:22">
      <c r="A54" s="1">
        <v>42378</v>
      </c>
      <c r="B54" s="461" t="s">
        <v>387</v>
      </c>
      <c r="I54" s="461" t="s">
        <v>297</v>
      </c>
    </row>
    <row r="55" spans="1:22">
      <c r="A55" s="461" t="s">
        <v>386</v>
      </c>
      <c r="I55" s="454"/>
      <c r="J55" s="203"/>
    </row>
    <row r="56" spans="1:22">
      <c r="B56" s="203"/>
      <c r="I56" s="454"/>
      <c r="J56" s="203"/>
    </row>
    <row r="57" spans="1:22" s="465" customFormat="1" ht="18.75">
      <c r="C57" s="466"/>
      <c r="D57" s="323" t="s">
        <v>0</v>
      </c>
      <c r="E57" s="324" t="s">
        <v>1</v>
      </c>
      <c r="F57" s="324" t="s">
        <v>49</v>
      </c>
      <c r="G57" s="324" t="s">
        <v>6</v>
      </c>
      <c r="H57" s="325" t="s">
        <v>7</v>
      </c>
      <c r="I57" s="421"/>
      <c r="J57" s="466"/>
      <c r="K57" s="323" t="s">
        <v>0</v>
      </c>
      <c r="L57" s="324" t="s">
        <v>1</v>
      </c>
      <c r="M57" s="324" t="s">
        <v>49</v>
      </c>
      <c r="N57" s="324" t="s">
        <v>6</v>
      </c>
      <c r="O57" s="325" t="s">
        <v>7</v>
      </c>
      <c r="Q57" s="466"/>
      <c r="R57" s="323" t="s">
        <v>0</v>
      </c>
      <c r="S57" s="324" t="s">
        <v>1</v>
      </c>
      <c r="T57" s="324" t="s">
        <v>49</v>
      </c>
      <c r="U57" s="324" t="s">
        <v>6</v>
      </c>
      <c r="V57" s="325" t="s">
        <v>7</v>
      </c>
    </row>
    <row r="58" spans="1:22" s="465" customFormat="1">
      <c r="B58" s="465" t="s">
        <v>382</v>
      </c>
      <c r="C58" s="466">
        <v>9.8699999999999996E-2</v>
      </c>
      <c r="D58" s="462">
        <v>20</v>
      </c>
      <c r="E58" s="463">
        <v>100</v>
      </c>
      <c r="F58" s="466">
        <v>23.240765079999999</v>
      </c>
      <c r="G58" s="466">
        <v>28.290540180000001</v>
      </c>
      <c r="H58" s="328">
        <f>G58-F58</f>
        <v>5.0497751000000015</v>
      </c>
      <c r="I58" s="465" t="s">
        <v>382</v>
      </c>
      <c r="J58" s="465">
        <v>9.8500000000000004E-2</v>
      </c>
      <c r="K58" s="462">
        <v>20</v>
      </c>
      <c r="L58" s="463">
        <v>100</v>
      </c>
      <c r="M58" s="463">
        <v>23.50824076</v>
      </c>
      <c r="N58" s="463">
        <v>28.540182900000001</v>
      </c>
      <c r="O58" s="328">
        <f>N58-M58</f>
        <v>5.0319421400000017</v>
      </c>
      <c r="P58" s="465" t="s">
        <v>382</v>
      </c>
      <c r="Q58" s="466">
        <v>9.6299999999999997E-2</v>
      </c>
      <c r="R58" s="462">
        <v>20</v>
      </c>
      <c r="S58" s="463">
        <v>100</v>
      </c>
      <c r="T58" s="463">
        <v>23.221765080000001</v>
      </c>
      <c r="U58" s="463">
        <v>28.37454018</v>
      </c>
      <c r="V58" s="328">
        <f>U58-T58</f>
        <v>5.1527750999999995</v>
      </c>
    </row>
    <row r="59" spans="1:22" s="465" customFormat="1">
      <c r="B59" s="465" t="s">
        <v>383</v>
      </c>
      <c r="C59" s="466">
        <v>0.29499999999999998</v>
      </c>
      <c r="D59" s="329">
        <v>15</v>
      </c>
      <c r="E59" s="330">
        <v>133</v>
      </c>
      <c r="F59" s="330">
        <v>23.763982129999999</v>
      </c>
      <c r="G59" s="466">
        <v>29.70621659</v>
      </c>
      <c r="H59" s="331">
        <f>G59-F59</f>
        <v>5.9422344600000017</v>
      </c>
      <c r="I59" s="465" t="s">
        <v>383</v>
      </c>
      <c r="J59" s="466">
        <v>0.29499999999999998</v>
      </c>
      <c r="K59" s="332">
        <v>15</v>
      </c>
      <c r="L59" s="333">
        <v>133</v>
      </c>
      <c r="M59" s="333">
        <v>23.821376390000001</v>
      </c>
      <c r="N59" s="333">
        <v>29.621659699999999</v>
      </c>
      <c r="O59" s="334">
        <f>N59-M59</f>
        <v>5.8002833099999975</v>
      </c>
      <c r="P59" s="465" t="s">
        <v>383</v>
      </c>
      <c r="Q59" s="466">
        <v>0.29499999999999998</v>
      </c>
      <c r="R59" s="332">
        <v>15</v>
      </c>
      <c r="S59" s="333">
        <v>133</v>
      </c>
      <c r="T59" s="333">
        <v>23.52098213</v>
      </c>
      <c r="U59" s="333">
        <v>29.614216590000002</v>
      </c>
      <c r="V59" s="334">
        <f>U59-T59</f>
        <v>6.0932344600000015</v>
      </c>
    </row>
    <row r="60" spans="1:22" s="465" customFormat="1">
      <c r="B60" s="465" t="s">
        <v>353</v>
      </c>
      <c r="C60" s="465" t="s">
        <v>66</v>
      </c>
      <c r="D60" s="329">
        <v>26</v>
      </c>
      <c r="E60" s="330">
        <v>100</v>
      </c>
      <c r="F60" s="330">
        <v>23.596902849999999</v>
      </c>
      <c r="G60" s="330">
        <v>26.326143819999999</v>
      </c>
      <c r="H60" s="331">
        <f>G60-F60</f>
        <v>2.7292409699999993</v>
      </c>
      <c r="I60" s="465" t="s">
        <v>353</v>
      </c>
      <c r="J60" s="465" t="s">
        <v>66</v>
      </c>
      <c r="P60" s="465" t="s">
        <v>353</v>
      </c>
      <c r="Q60" s="465" t="s">
        <v>66</v>
      </c>
    </row>
    <row r="61" spans="1:22" s="465" customFormat="1">
      <c r="D61" s="332">
        <v>20</v>
      </c>
      <c r="E61" s="333">
        <v>130</v>
      </c>
      <c r="F61" s="333">
        <v>24.099351410000001</v>
      </c>
      <c r="G61" s="333">
        <v>27.443544710000001</v>
      </c>
      <c r="H61" s="331">
        <f>G61-F61</f>
        <v>3.3441933000000006</v>
      </c>
      <c r="I61" s="466"/>
    </row>
    <row r="62" spans="1:22">
      <c r="B62" s="428"/>
      <c r="I62" s="320"/>
      <c r="J62" s="432"/>
    </row>
    <row r="63" spans="1:22" s="465" customFormat="1" ht="18.75">
      <c r="C63" s="466"/>
      <c r="D63" s="323" t="s">
        <v>0</v>
      </c>
      <c r="E63" s="324" t="s">
        <v>1</v>
      </c>
      <c r="F63" s="324" t="s">
        <v>49</v>
      </c>
      <c r="G63" s="324" t="s">
        <v>6</v>
      </c>
      <c r="H63" s="325" t="s">
        <v>7</v>
      </c>
      <c r="I63" s="466"/>
    </row>
    <row r="64" spans="1:22" s="465" customFormat="1">
      <c r="B64" s="465" t="s">
        <v>382</v>
      </c>
      <c r="C64" s="466">
        <v>9.8599999999999993E-2</v>
      </c>
      <c r="D64" s="462">
        <v>20</v>
      </c>
      <c r="E64" s="463">
        <v>100</v>
      </c>
      <c r="F64" s="466">
        <v>23.245607960000001</v>
      </c>
      <c r="G64" s="466">
        <v>31.50957549</v>
      </c>
      <c r="H64" s="328">
        <f t="shared" ref="H64:H69" si="16">G64-F64</f>
        <v>8.2639675299999986</v>
      </c>
      <c r="I64" s="466"/>
    </row>
    <row r="65" spans="1:10" s="465" customFormat="1">
      <c r="B65" s="465" t="s">
        <v>383</v>
      </c>
      <c r="C65" s="466">
        <f>0.295*2</f>
        <v>0.59</v>
      </c>
      <c r="D65" s="332">
        <v>15</v>
      </c>
      <c r="E65" s="333">
        <v>133</v>
      </c>
      <c r="F65" s="333">
        <v>24.397302499999999</v>
      </c>
      <c r="G65" s="333">
        <v>34.12979747</v>
      </c>
      <c r="H65" s="334">
        <f t="shared" si="16"/>
        <v>9.7324949700000012</v>
      </c>
      <c r="I65" s="466"/>
    </row>
    <row r="66" spans="1:10" s="465" customFormat="1">
      <c r="B66" s="465" t="s">
        <v>353</v>
      </c>
      <c r="C66" s="465" t="s">
        <v>67</v>
      </c>
      <c r="D66" s="329">
        <v>26</v>
      </c>
      <c r="E66" s="330">
        <v>100</v>
      </c>
      <c r="F66" s="330">
        <v>23.763982129999999</v>
      </c>
      <c r="G66" s="330">
        <v>32.568303049999997</v>
      </c>
      <c r="H66" s="331">
        <f t="shared" si="16"/>
        <v>8.8043209199999986</v>
      </c>
      <c r="I66" s="466"/>
    </row>
    <row r="67" spans="1:10" s="465" customFormat="1">
      <c r="D67" s="332">
        <v>20</v>
      </c>
      <c r="E67" s="333">
        <v>130</v>
      </c>
      <c r="F67" s="333">
        <v>24.46796891</v>
      </c>
      <c r="G67" s="333">
        <v>33.843470000000003</v>
      </c>
      <c r="H67" s="334">
        <f t="shared" si="16"/>
        <v>9.3755010900000038</v>
      </c>
      <c r="I67" s="466"/>
    </row>
    <row r="68" spans="1:10" s="465" customFormat="1">
      <c r="B68" s="465" t="s">
        <v>382</v>
      </c>
      <c r="C68" s="466">
        <v>8.7800000000000003E-2</v>
      </c>
      <c r="D68" s="329">
        <v>26</v>
      </c>
      <c r="E68" s="330">
        <v>100</v>
      </c>
      <c r="F68" s="330">
        <v>23.758021670000002</v>
      </c>
      <c r="G68" s="330">
        <v>31.957601539999999</v>
      </c>
      <c r="H68" s="331">
        <f t="shared" si="16"/>
        <v>8.1995798699999973</v>
      </c>
      <c r="I68" s="466"/>
    </row>
    <row r="69" spans="1:10" s="465" customFormat="1">
      <c r="B69" s="465" t="s">
        <v>383</v>
      </c>
      <c r="C69" s="466">
        <f>0.295*2</f>
        <v>0.59</v>
      </c>
      <c r="D69" s="332">
        <v>20</v>
      </c>
      <c r="E69" s="333">
        <v>130</v>
      </c>
      <c r="F69" s="333">
        <v>24.253578439999998</v>
      </c>
      <c r="G69" s="333">
        <v>33.37695514</v>
      </c>
      <c r="H69" s="334">
        <f t="shared" si="16"/>
        <v>9.1233767000000014</v>
      </c>
      <c r="I69" s="466"/>
    </row>
    <row r="70" spans="1:10" s="465" customFormat="1">
      <c r="B70" s="465" t="s">
        <v>353</v>
      </c>
      <c r="C70" s="465" t="s">
        <v>67</v>
      </c>
      <c r="I70" s="466"/>
    </row>
    <row r="71" spans="1:10">
      <c r="I71" s="320"/>
      <c r="J71" s="439"/>
    </row>
    <row r="73" spans="1:10" ht="18.75">
      <c r="A73" s="465"/>
      <c r="B73" s="465"/>
      <c r="C73" s="466"/>
      <c r="D73" s="323" t="s">
        <v>0</v>
      </c>
      <c r="E73" s="324" t="s">
        <v>1</v>
      </c>
      <c r="F73" s="324" t="s">
        <v>49</v>
      </c>
      <c r="G73" s="324" t="s">
        <v>6</v>
      </c>
      <c r="H73" s="325" t="s">
        <v>7</v>
      </c>
    </row>
    <row r="74" spans="1:10">
      <c r="A74" s="465"/>
      <c r="B74" s="465" t="s">
        <v>382</v>
      </c>
      <c r="C74" s="466">
        <v>9.6199999999999994E-2</v>
      </c>
      <c r="D74" s="462">
        <v>20</v>
      </c>
      <c r="E74" s="463">
        <v>100</v>
      </c>
      <c r="F74" s="463">
        <v>23.516540760000002</v>
      </c>
      <c r="G74" s="463">
        <v>29.639182900000002</v>
      </c>
      <c r="H74" s="328">
        <f>G74-F74</f>
        <v>6.12264214</v>
      </c>
    </row>
    <row r="75" spans="1:10">
      <c r="A75" s="465"/>
      <c r="B75" s="465" t="s">
        <v>383</v>
      </c>
      <c r="C75" s="466">
        <f>0.295*1</f>
        <v>0.29499999999999998</v>
      </c>
      <c r="D75" s="332">
        <v>15</v>
      </c>
      <c r="E75" s="333">
        <v>133</v>
      </c>
      <c r="F75" s="333">
        <v>23.821376390000001</v>
      </c>
      <c r="G75" s="333">
        <v>31.32216597</v>
      </c>
      <c r="H75" s="334">
        <f>G75-F75</f>
        <v>7.5007895799999993</v>
      </c>
    </row>
    <row r="76" spans="1:10" ht="18.75">
      <c r="A76" s="465"/>
      <c r="B76" s="465" t="s">
        <v>353</v>
      </c>
      <c r="C76" s="465" t="s">
        <v>103</v>
      </c>
      <c r="D76" s="323" t="s">
        <v>0</v>
      </c>
      <c r="E76" s="324" t="s">
        <v>1</v>
      </c>
      <c r="F76" s="324" t="s">
        <v>49</v>
      </c>
      <c r="G76" s="324" t="s">
        <v>6</v>
      </c>
      <c r="H76" s="325" t="s">
        <v>7</v>
      </c>
    </row>
    <row r="77" spans="1:10">
      <c r="A77" s="465"/>
      <c r="B77" s="465" t="s">
        <v>382</v>
      </c>
      <c r="C77" s="466">
        <v>9.7799999999999998E-2</v>
      </c>
      <c r="D77" s="462">
        <v>20</v>
      </c>
      <c r="E77" s="463">
        <v>100</v>
      </c>
      <c r="F77" s="463">
        <v>23.22346508</v>
      </c>
      <c r="G77" s="463">
        <v>29.036840179999999</v>
      </c>
      <c r="H77" s="328">
        <f>G77-F77</f>
        <v>5.8133750999999982</v>
      </c>
    </row>
    <row r="78" spans="1:10">
      <c r="A78" s="465"/>
      <c r="B78" s="465" t="s">
        <v>383</v>
      </c>
      <c r="C78" s="466">
        <f>0.295*1</f>
        <v>0.29499999999999998</v>
      </c>
      <c r="D78" s="332">
        <v>15</v>
      </c>
      <c r="E78" s="333">
        <v>133</v>
      </c>
      <c r="F78" s="333">
        <v>23.237982129999999</v>
      </c>
      <c r="G78" s="333">
        <v>30.190216589999999</v>
      </c>
      <c r="H78" s="334">
        <f>G78-F78</f>
        <v>6.9522344599999997</v>
      </c>
    </row>
    <row r="79" spans="1:10" ht="18.75">
      <c r="A79" s="465"/>
      <c r="B79" s="465" t="s">
        <v>353</v>
      </c>
      <c r="C79" s="465" t="s">
        <v>103</v>
      </c>
      <c r="D79" s="323" t="s">
        <v>0</v>
      </c>
      <c r="E79" s="324" t="s">
        <v>1</v>
      </c>
      <c r="F79" s="324" t="s">
        <v>49</v>
      </c>
      <c r="G79" s="324" t="s">
        <v>6</v>
      </c>
      <c r="H79" s="325" t="s">
        <v>7</v>
      </c>
    </row>
    <row r="80" spans="1:10">
      <c r="A80" s="465"/>
      <c r="B80" s="465" t="s">
        <v>382</v>
      </c>
      <c r="C80" s="466">
        <v>9.6199999999999994E-2</v>
      </c>
      <c r="D80" s="462">
        <v>20</v>
      </c>
      <c r="E80" s="463">
        <v>100</v>
      </c>
      <c r="F80" s="466">
        <v>23.211065080000001</v>
      </c>
      <c r="G80" s="466">
        <v>29.314540180000002</v>
      </c>
      <c r="H80" s="328">
        <f>G80-F80</f>
        <v>6.1034751000000007</v>
      </c>
    </row>
    <row r="81" spans="1:8">
      <c r="A81" s="465"/>
      <c r="B81" s="465" t="s">
        <v>383</v>
      </c>
      <c r="C81" s="466">
        <f>0.295*1</f>
        <v>0.29499999999999998</v>
      </c>
      <c r="D81" s="332">
        <v>15</v>
      </c>
      <c r="E81" s="333">
        <v>133</v>
      </c>
      <c r="F81" s="333">
        <v>23.236982130000001</v>
      </c>
      <c r="G81" s="333">
        <v>30.542216589999999</v>
      </c>
      <c r="H81" s="334">
        <f>G81-F81</f>
        <v>7.3052344599999977</v>
      </c>
    </row>
    <row r="82" spans="1:8">
      <c r="A82" s="465"/>
      <c r="B82" s="465" t="s">
        <v>353</v>
      </c>
      <c r="C82" s="465" t="s">
        <v>103</v>
      </c>
      <c r="D82" s="465"/>
      <c r="E82" s="465"/>
      <c r="F82" s="465"/>
      <c r="G82" s="465"/>
      <c r="H82" s="465"/>
    </row>
  </sheetData>
  <phoneticPr fontId="1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Z66"/>
  <sheetViews>
    <sheetView topLeftCell="A7" workbookViewId="0">
      <selection activeCell="U24" sqref="U24"/>
    </sheetView>
  </sheetViews>
  <sheetFormatPr defaultRowHeight="15"/>
  <sheetData>
    <row r="4" spans="2:20">
      <c r="G4" s="461"/>
      <c r="H4" s="461"/>
      <c r="I4" s="461"/>
      <c r="J4" s="461"/>
      <c r="K4" s="461"/>
      <c r="L4" s="461"/>
      <c r="M4" s="461"/>
      <c r="N4" s="461"/>
      <c r="O4" s="461"/>
      <c r="P4" s="461"/>
    </row>
    <row r="5" spans="2:20">
      <c r="B5" s="525" t="s">
        <v>388</v>
      </c>
      <c r="C5" s="525"/>
      <c r="D5" s="525"/>
      <c r="E5" s="525"/>
      <c r="F5" s="62"/>
      <c r="G5" s="461"/>
      <c r="H5" s="461"/>
      <c r="I5" s="461"/>
      <c r="J5" s="461"/>
      <c r="K5" s="461"/>
      <c r="L5" s="461"/>
      <c r="M5" s="461"/>
      <c r="N5" s="461"/>
      <c r="O5" s="461"/>
      <c r="P5" s="461"/>
    </row>
    <row r="6" spans="2:20" ht="15.75">
      <c r="B6" s="47"/>
      <c r="C6" s="323" t="s">
        <v>0</v>
      </c>
      <c r="D6" s="324" t="s">
        <v>1</v>
      </c>
      <c r="E6" s="325" t="s">
        <v>7</v>
      </c>
      <c r="F6" s="47"/>
      <c r="G6" s="461"/>
      <c r="H6" s="461"/>
      <c r="I6" s="461"/>
      <c r="J6" s="461"/>
      <c r="K6" s="461"/>
      <c r="L6" s="461"/>
      <c r="M6" s="461"/>
      <c r="N6" s="461"/>
      <c r="O6" s="461"/>
      <c r="P6" s="461"/>
      <c r="Q6" s="248"/>
      <c r="R6" s="402"/>
      <c r="S6" s="402"/>
      <c r="T6" s="253"/>
    </row>
    <row r="7" spans="2:20">
      <c r="B7" s="320">
        <f>C7*D7</f>
        <v>1400</v>
      </c>
      <c r="C7" s="422">
        <v>20</v>
      </c>
      <c r="D7" s="423">
        <v>70</v>
      </c>
      <c r="E7" s="334">
        <v>2.7183444900000033</v>
      </c>
      <c r="F7" s="423" t="s">
        <v>145</v>
      </c>
      <c r="G7" s="461"/>
      <c r="H7" s="461"/>
      <c r="I7" s="461"/>
      <c r="J7" s="461"/>
      <c r="K7" s="461"/>
      <c r="L7" s="461"/>
      <c r="M7" s="461"/>
      <c r="N7" s="461"/>
      <c r="O7" s="461"/>
      <c r="P7" s="461"/>
    </row>
    <row r="8" spans="2:20">
      <c r="B8" s="320">
        <f>C8*D8</f>
        <v>2100</v>
      </c>
      <c r="C8" s="422">
        <v>30</v>
      </c>
      <c r="D8" s="423">
        <v>70</v>
      </c>
      <c r="E8" s="334">
        <v>2.7213247200000019</v>
      </c>
      <c r="F8" s="423" t="s">
        <v>146</v>
      </c>
      <c r="G8" s="461"/>
      <c r="H8" s="461"/>
      <c r="I8" s="461"/>
      <c r="J8" s="461"/>
      <c r="K8" s="461"/>
      <c r="L8" s="461"/>
      <c r="M8" s="461"/>
      <c r="N8" s="461"/>
      <c r="O8" s="461"/>
      <c r="P8" s="461"/>
    </row>
    <row r="9" spans="2:20">
      <c r="B9" s="320">
        <f t="shared" ref="B9:B19" si="0">C9*D9</f>
        <v>2250</v>
      </c>
      <c r="C9" s="486">
        <v>30</v>
      </c>
      <c r="D9" s="421">
        <v>75</v>
      </c>
      <c r="E9" s="328">
        <v>2.724770620000001</v>
      </c>
      <c r="F9" s="421" t="s">
        <v>147</v>
      </c>
      <c r="G9" s="461"/>
      <c r="H9" s="461"/>
      <c r="I9" s="461"/>
      <c r="J9" s="461"/>
      <c r="K9" s="461"/>
      <c r="L9" s="461"/>
      <c r="M9" s="461"/>
      <c r="N9" s="461"/>
      <c r="O9" s="461"/>
      <c r="P9" s="461"/>
    </row>
    <row r="10" spans="2:20">
      <c r="B10" s="320">
        <f t="shared" si="0"/>
        <v>2610</v>
      </c>
      <c r="C10" s="422">
        <v>30</v>
      </c>
      <c r="D10" s="423">
        <v>87</v>
      </c>
      <c r="E10" s="334">
        <v>3.2404439600000003</v>
      </c>
      <c r="F10" s="423" t="s">
        <v>148</v>
      </c>
      <c r="G10" s="461"/>
      <c r="H10" s="461"/>
      <c r="I10" s="461"/>
      <c r="J10" s="461"/>
      <c r="K10" s="461"/>
      <c r="L10" s="461"/>
      <c r="M10" s="461"/>
      <c r="N10" s="461"/>
      <c r="O10" s="461"/>
      <c r="P10" s="461"/>
    </row>
    <row r="11" spans="2:20">
      <c r="B11" s="320">
        <f t="shared" si="0"/>
        <v>1395</v>
      </c>
      <c r="C11" s="486">
        <v>15</v>
      </c>
      <c r="D11" s="421">
        <v>93</v>
      </c>
      <c r="E11" s="328">
        <v>2.9306379499999999</v>
      </c>
      <c r="F11" s="421" t="s">
        <v>149</v>
      </c>
      <c r="G11" s="461"/>
      <c r="H11" s="461"/>
      <c r="I11" s="461"/>
      <c r="J11" s="461"/>
      <c r="K11" s="461"/>
      <c r="L11" s="461"/>
      <c r="M11" s="461"/>
      <c r="N11" s="461"/>
      <c r="O11" s="461"/>
      <c r="P11" s="461"/>
    </row>
    <row r="12" spans="2:20">
      <c r="B12" s="320">
        <f t="shared" si="0"/>
        <v>2000</v>
      </c>
      <c r="C12" s="462">
        <v>20</v>
      </c>
      <c r="D12" s="463">
        <v>100</v>
      </c>
      <c r="E12" s="328">
        <v>3.1063335000000016</v>
      </c>
      <c r="F12" s="463" t="s">
        <v>150</v>
      </c>
      <c r="G12" s="461"/>
      <c r="H12" s="461"/>
      <c r="I12" s="461"/>
      <c r="J12" s="461"/>
      <c r="K12" s="461"/>
      <c r="L12" s="461"/>
      <c r="M12" s="461"/>
      <c r="N12" s="461"/>
      <c r="O12" s="461"/>
      <c r="P12" s="461"/>
    </row>
    <row r="13" spans="2:20">
      <c r="B13" s="320">
        <f t="shared" si="0"/>
        <v>3000</v>
      </c>
      <c r="C13" s="422">
        <v>30</v>
      </c>
      <c r="D13" s="423">
        <v>100</v>
      </c>
      <c r="E13" s="334">
        <v>3.7493186499999993</v>
      </c>
      <c r="F13" s="423" t="s">
        <v>151</v>
      </c>
      <c r="G13" s="461"/>
      <c r="H13" s="461"/>
      <c r="I13" s="461"/>
      <c r="J13" s="461"/>
      <c r="K13" s="461"/>
      <c r="L13" s="461"/>
      <c r="M13" s="461"/>
      <c r="N13" s="461"/>
      <c r="O13" s="461"/>
      <c r="P13" s="461"/>
    </row>
    <row r="14" spans="2:20">
      <c r="B14" s="320">
        <f t="shared" si="0"/>
        <v>2600</v>
      </c>
      <c r="C14" s="332">
        <v>20</v>
      </c>
      <c r="D14" s="333">
        <v>130</v>
      </c>
      <c r="E14" s="334">
        <v>4.4463204999999988</v>
      </c>
      <c r="F14" s="333" t="s">
        <v>152</v>
      </c>
      <c r="G14" s="461"/>
      <c r="H14" s="461"/>
      <c r="I14" s="461"/>
      <c r="J14" s="461"/>
      <c r="K14" s="461"/>
      <c r="M14" s="461"/>
      <c r="N14" s="461"/>
      <c r="O14" s="461"/>
      <c r="P14" s="461"/>
    </row>
    <row r="15" spans="2:20">
      <c r="B15" s="320">
        <f>C15*D15</f>
        <v>1995</v>
      </c>
      <c r="C15" s="332">
        <v>15</v>
      </c>
      <c r="D15" s="333">
        <v>133</v>
      </c>
      <c r="E15" s="334">
        <v>3.5974199300000009</v>
      </c>
      <c r="F15" s="333" t="s">
        <v>153</v>
      </c>
      <c r="G15" s="461"/>
      <c r="H15" s="461"/>
      <c r="I15" s="461"/>
      <c r="J15" s="461"/>
      <c r="K15" s="461"/>
      <c r="L15" s="461"/>
      <c r="M15" s="461"/>
      <c r="N15" s="461"/>
      <c r="O15" s="461"/>
      <c r="P15" s="461"/>
    </row>
    <row r="16" spans="2:20">
      <c r="B16" s="320">
        <f>C16*D16</f>
        <v>2235</v>
      </c>
      <c r="C16" s="486">
        <v>15</v>
      </c>
      <c r="D16" s="421">
        <v>149</v>
      </c>
      <c r="E16" s="328">
        <v>4.44240894</v>
      </c>
      <c r="F16" s="421" t="s">
        <v>154</v>
      </c>
      <c r="G16" s="461"/>
      <c r="H16" s="461"/>
      <c r="I16" s="461"/>
      <c r="J16" s="461"/>
      <c r="K16" s="461"/>
      <c r="L16" s="461"/>
      <c r="M16" s="461"/>
      <c r="N16" s="461"/>
      <c r="O16" s="461"/>
      <c r="P16" s="461"/>
    </row>
    <row r="17" spans="2:26">
      <c r="B17" s="320">
        <f>C17*D17</f>
        <v>2980</v>
      </c>
      <c r="C17" s="486">
        <v>20</v>
      </c>
      <c r="D17" s="421">
        <v>149</v>
      </c>
      <c r="E17" s="328">
        <v>4.9327503058511262</v>
      </c>
      <c r="F17" s="421" t="s">
        <v>155</v>
      </c>
      <c r="G17" s="461"/>
      <c r="H17" s="461"/>
      <c r="I17" s="461"/>
      <c r="J17" s="461"/>
      <c r="K17" s="461"/>
      <c r="L17" s="461"/>
      <c r="M17" s="461"/>
      <c r="N17" s="461"/>
      <c r="O17" s="461"/>
      <c r="P17" s="461"/>
    </row>
    <row r="18" spans="2:26">
      <c r="B18" s="47"/>
      <c r="C18" s="47"/>
      <c r="D18" s="47"/>
      <c r="E18" s="47"/>
      <c r="G18" s="461"/>
      <c r="H18" s="461"/>
      <c r="I18" s="461"/>
      <c r="J18" s="461"/>
      <c r="K18" s="461"/>
      <c r="L18" s="461"/>
      <c r="M18" s="461"/>
      <c r="N18" s="461"/>
      <c r="O18" s="461"/>
      <c r="P18" s="461"/>
    </row>
    <row r="19" spans="2:26">
      <c r="B19" s="320">
        <f t="shared" si="0"/>
        <v>4470</v>
      </c>
      <c r="C19" s="462">
        <v>30</v>
      </c>
      <c r="D19" s="463">
        <v>149</v>
      </c>
      <c r="E19" s="328">
        <v>5.96055797</v>
      </c>
      <c r="G19" s="461"/>
      <c r="H19" s="461"/>
      <c r="I19" s="461"/>
      <c r="J19" s="461"/>
      <c r="K19" s="461"/>
      <c r="L19" s="461"/>
      <c r="M19" s="461"/>
      <c r="N19" s="461"/>
      <c r="O19" s="461"/>
      <c r="P19" s="461"/>
    </row>
    <row r="20" spans="2:26">
      <c r="B20" s="320">
        <f>C20*D20</f>
        <v>3900</v>
      </c>
      <c r="C20" s="486">
        <v>30</v>
      </c>
      <c r="D20" s="421">
        <v>130</v>
      </c>
      <c r="E20" s="328">
        <v>5.2911232600000027</v>
      </c>
      <c r="G20" s="461"/>
      <c r="H20" s="461"/>
      <c r="I20" s="461"/>
      <c r="J20" s="461"/>
      <c r="K20" s="461"/>
      <c r="L20" s="461"/>
      <c r="M20" s="461"/>
      <c r="N20" s="461"/>
      <c r="O20" s="461"/>
      <c r="P20" s="461"/>
    </row>
    <row r="21" spans="2:26">
      <c r="G21" s="461"/>
      <c r="H21" s="461"/>
      <c r="I21" s="461"/>
      <c r="J21" s="461"/>
      <c r="K21" s="461"/>
      <c r="L21" s="461"/>
      <c r="M21" s="461"/>
      <c r="N21" s="461"/>
      <c r="O21" s="461"/>
      <c r="P21" s="461"/>
    </row>
    <row r="22" spans="2:26">
      <c r="B22" s="525" t="s">
        <v>388</v>
      </c>
      <c r="C22" s="525"/>
      <c r="D22" s="525"/>
      <c r="E22" s="525"/>
      <c r="F22" s="62"/>
      <c r="G22" s="461"/>
      <c r="H22" s="461"/>
      <c r="I22" s="461"/>
      <c r="J22" s="461"/>
      <c r="K22" s="461"/>
      <c r="L22" s="461"/>
      <c r="M22" s="461"/>
    </row>
    <row r="23" spans="2:26">
      <c r="B23" s="13"/>
      <c r="C23" s="402"/>
      <c r="D23" s="403"/>
      <c r="E23" s="249"/>
      <c r="F23" s="250"/>
      <c r="G23" s="256"/>
      <c r="H23" s="461"/>
      <c r="I23" s="461"/>
      <c r="J23" s="461"/>
      <c r="K23" s="461"/>
      <c r="L23" s="461"/>
      <c r="M23" s="461"/>
      <c r="O23" s="13" t="s">
        <v>389</v>
      </c>
      <c r="P23" s="13"/>
      <c r="Q23" s="13"/>
      <c r="R23" s="13"/>
      <c r="S23" s="13"/>
      <c r="U23" s="13" t="s">
        <v>390</v>
      </c>
    </row>
    <row r="24" spans="2:26" ht="18.75">
      <c r="B24" s="13"/>
      <c r="C24" s="223" t="s">
        <v>0</v>
      </c>
      <c r="D24" s="224" t="s">
        <v>1</v>
      </c>
      <c r="E24" s="224" t="s">
        <v>17</v>
      </c>
      <c r="F24" s="224" t="s">
        <v>6</v>
      </c>
      <c r="G24" s="225" t="s">
        <v>7</v>
      </c>
      <c r="H24" s="223" t="s">
        <v>0</v>
      </c>
      <c r="I24" s="224" t="s">
        <v>1</v>
      </c>
      <c r="J24" s="224" t="s">
        <v>17</v>
      </c>
      <c r="K24" s="224" t="s">
        <v>6</v>
      </c>
      <c r="L24" s="225" t="s">
        <v>7</v>
      </c>
      <c r="M24" s="461"/>
      <c r="O24" s="223" t="s">
        <v>0</v>
      </c>
      <c r="P24" s="224" t="s">
        <v>1</v>
      </c>
      <c r="Q24" s="224" t="s">
        <v>17</v>
      </c>
      <c r="R24" s="224" t="s">
        <v>6</v>
      </c>
      <c r="S24" s="225" t="s">
        <v>7</v>
      </c>
      <c r="V24" s="223" t="s">
        <v>0</v>
      </c>
      <c r="W24" s="224" t="s">
        <v>1</v>
      </c>
      <c r="X24" s="224" t="s">
        <v>17</v>
      </c>
      <c r="Y24" s="224" t="s">
        <v>6</v>
      </c>
      <c r="Z24" s="225" t="s">
        <v>7</v>
      </c>
    </row>
    <row r="25" spans="2:26">
      <c r="B25" s="241">
        <f>0.1017</f>
        <v>0.1017</v>
      </c>
      <c r="C25" s="404">
        <v>20</v>
      </c>
      <c r="D25" s="405">
        <v>70</v>
      </c>
      <c r="E25" s="249">
        <v>25.456754149999998</v>
      </c>
      <c r="F25" s="250">
        <v>28.175098640000002</v>
      </c>
      <c r="G25" s="256">
        <f t="shared" ref="G25:G37" si="1">F25-E25</f>
        <v>2.7183444900000033</v>
      </c>
      <c r="H25" s="404">
        <v>20</v>
      </c>
      <c r="I25" s="405">
        <v>70</v>
      </c>
      <c r="J25" s="249">
        <v>25.445019479999999</v>
      </c>
      <c r="K25" s="250">
        <v>27.496164440000001</v>
      </c>
      <c r="L25" s="256">
        <f>K25-J25</f>
        <v>2.051144960000002</v>
      </c>
      <c r="M25" s="461"/>
      <c r="O25" s="403">
        <v>20</v>
      </c>
      <c r="P25" s="403">
        <v>70</v>
      </c>
      <c r="Q25" s="13">
        <v>24.761428670000001</v>
      </c>
      <c r="R25" s="13">
        <v>26.300159919999999</v>
      </c>
      <c r="S25" s="13">
        <f t="shared" ref="S25:S37" si="2">R25-Q25</f>
        <v>1.5387312499999979</v>
      </c>
      <c r="U25" s="241">
        <f>0.0986</f>
        <v>9.8599999999999993E-2</v>
      </c>
      <c r="V25" s="403">
        <v>20</v>
      </c>
      <c r="W25" s="403">
        <v>70</v>
      </c>
      <c r="X25" s="13">
        <v>25.620201269999999</v>
      </c>
      <c r="Y25" s="13">
        <v>26.973785580000001</v>
      </c>
      <c r="Z25" s="13">
        <f t="shared" ref="Z25:Z37" si="3">Y25-X25</f>
        <v>1.3535843100000022</v>
      </c>
    </row>
    <row r="26" spans="2:26">
      <c r="B26" s="241">
        <f t="shared" ref="B26:B37" si="4">C26*D26</f>
        <v>2100</v>
      </c>
      <c r="C26" s="402">
        <v>30</v>
      </c>
      <c r="D26" s="403">
        <v>70</v>
      </c>
      <c r="E26" s="246">
        <v>24.766178419999999</v>
      </c>
      <c r="F26" s="241">
        <v>27.487503140000001</v>
      </c>
      <c r="G26" s="254">
        <f t="shared" si="1"/>
        <v>2.7213247200000019</v>
      </c>
      <c r="H26" s="404">
        <v>30</v>
      </c>
      <c r="I26" s="405">
        <v>70</v>
      </c>
      <c r="J26" s="249">
        <v>24.756399529999999</v>
      </c>
      <c r="K26" s="250">
        <v>27.35153004</v>
      </c>
      <c r="L26" s="256">
        <f>K26-J26</f>
        <v>2.5951305100000006</v>
      </c>
      <c r="M26" s="461"/>
      <c r="O26" s="403">
        <v>30</v>
      </c>
      <c r="P26" s="403">
        <v>70</v>
      </c>
      <c r="Q26" s="13">
        <v>25.451725</v>
      </c>
      <c r="R26" s="13">
        <v>26.97825593</v>
      </c>
      <c r="S26" s="13">
        <f t="shared" si="2"/>
        <v>1.5265309299999998</v>
      </c>
      <c r="U26" s="241">
        <f>V34*W34</f>
        <v>1995</v>
      </c>
      <c r="V26" s="403">
        <v>30</v>
      </c>
      <c r="W26" s="403">
        <v>70</v>
      </c>
      <c r="X26" s="13">
        <v>25.622436440000001</v>
      </c>
      <c r="Y26" s="13">
        <v>27.06319255</v>
      </c>
      <c r="Z26" s="13">
        <f t="shared" si="3"/>
        <v>1.4407561099999988</v>
      </c>
    </row>
    <row r="27" spans="2:26">
      <c r="B27" s="241">
        <f t="shared" si="4"/>
        <v>2250</v>
      </c>
      <c r="C27" s="404">
        <v>30</v>
      </c>
      <c r="D27" s="405">
        <v>75</v>
      </c>
      <c r="E27" s="249">
        <v>25.45004862</v>
      </c>
      <c r="F27" s="250">
        <v>28.174819240000001</v>
      </c>
      <c r="G27" s="256">
        <f t="shared" si="1"/>
        <v>2.724770620000001</v>
      </c>
      <c r="H27" s="402">
        <v>30</v>
      </c>
      <c r="I27" s="403">
        <v>75</v>
      </c>
      <c r="J27" s="246">
        <v>24.768134190000001</v>
      </c>
      <c r="K27" s="241">
        <v>27.493184209999999</v>
      </c>
      <c r="L27" s="254">
        <f>K27-J27</f>
        <v>2.7250500199999976</v>
      </c>
      <c r="M27" s="461"/>
      <c r="O27" s="403">
        <v>30</v>
      </c>
      <c r="P27" s="403">
        <v>75</v>
      </c>
      <c r="Q27" s="13">
        <v>25.533308869999999</v>
      </c>
      <c r="R27" s="13">
        <v>27.31697797</v>
      </c>
      <c r="S27" s="13">
        <f t="shared" si="2"/>
        <v>1.7836691000000009</v>
      </c>
      <c r="U27" s="241">
        <f>V30*W30</f>
        <v>2000</v>
      </c>
      <c r="V27" s="403">
        <v>30</v>
      </c>
      <c r="W27" s="403">
        <v>75</v>
      </c>
      <c r="X27" s="13">
        <v>24.75500254</v>
      </c>
      <c r="Y27" s="13">
        <v>26.633759690000002</v>
      </c>
      <c r="Z27" s="13">
        <f t="shared" si="3"/>
        <v>1.878757150000002</v>
      </c>
    </row>
    <row r="28" spans="2:26">
      <c r="B28" s="241">
        <f t="shared" si="4"/>
        <v>2610</v>
      </c>
      <c r="C28" s="402">
        <v>30</v>
      </c>
      <c r="D28" s="403">
        <v>87</v>
      </c>
      <c r="E28" s="246">
        <v>25.61861802</v>
      </c>
      <c r="F28" s="241">
        <v>28.85906198</v>
      </c>
      <c r="G28" s="254">
        <f t="shared" si="1"/>
        <v>3.2404439600000003</v>
      </c>
      <c r="H28" s="404">
        <v>30</v>
      </c>
      <c r="I28" s="405">
        <v>87</v>
      </c>
      <c r="J28" s="249"/>
      <c r="K28" s="250"/>
      <c r="L28" s="256"/>
      <c r="M28" s="461"/>
      <c r="O28" s="253">
        <v>30</v>
      </c>
      <c r="P28" s="252">
        <v>87</v>
      </c>
      <c r="Q28" s="246">
        <v>24.76394324</v>
      </c>
      <c r="R28" s="241">
        <v>26.978069659999999</v>
      </c>
      <c r="S28" s="254">
        <f t="shared" si="2"/>
        <v>2.2141264199999995</v>
      </c>
      <c r="U28" s="241">
        <f>V31*W31</f>
        <v>3000</v>
      </c>
      <c r="V28" s="253">
        <v>30</v>
      </c>
      <c r="W28" s="252">
        <v>87</v>
      </c>
      <c r="X28" s="246">
        <v>25.101268300000001</v>
      </c>
      <c r="Y28" s="241">
        <v>26.97667268</v>
      </c>
      <c r="Z28" s="254">
        <f t="shared" si="3"/>
        <v>1.8754043799999991</v>
      </c>
    </row>
    <row r="29" spans="2:26">
      <c r="B29" s="241">
        <f t="shared" si="4"/>
        <v>1395</v>
      </c>
      <c r="C29" s="404">
        <v>15</v>
      </c>
      <c r="D29" s="405">
        <v>93</v>
      </c>
      <c r="E29" s="249">
        <v>25.44483322</v>
      </c>
      <c r="F29" s="250">
        <v>28.175471170000002</v>
      </c>
      <c r="G29" s="256">
        <f t="shared" si="1"/>
        <v>2.730637950000002</v>
      </c>
      <c r="H29" s="402">
        <v>15</v>
      </c>
      <c r="I29" s="403">
        <v>93</v>
      </c>
      <c r="J29" s="246"/>
      <c r="K29" s="241"/>
      <c r="L29" s="254"/>
      <c r="M29" s="461"/>
      <c r="O29" s="248">
        <v>15</v>
      </c>
      <c r="P29" s="249">
        <v>93</v>
      </c>
      <c r="Q29" s="249">
        <v>25.445019479999999</v>
      </c>
      <c r="R29" s="250">
        <v>26.970339679999999</v>
      </c>
      <c r="S29" s="256">
        <f t="shared" si="2"/>
        <v>1.5253201999999995</v>
      </c>
      <c r="U29" s="241">
        <f>V35*W35</f>
        <v>2235</v>
      </c>
      <c r="V29" s="248">
        <v>15</v>
      </c>
      <c r="W29" s="249">
        <v>93</v>
      </c>
      <c r="X29" s="249">
        <v>25.454053309999999</v>
      </c>
      <c r="Y29" s="250">
        <v>26.972667990000001</v>
      </c>
      <c r="Z29" s="256">
        <f t="shared" si="3"/>
        <v>1.5186146800000024</v>
      </c>
    </row>
    <row r="30" spans="2:26">
      <c r="B30" s="241">
        <f t="shared" si="4"/>
        <v>2000</v>
      </c>
      <c r="C30" s="253">
        <v>20</v>
      </c>
      <c r="D30" s="252">
        <v>100</v>
      </c>
      <c r="E30" s="246">
        <v>25.740528149999999</v>
      </c>
      <c r="F30" s="241">
        <v>28.846861650000001</v>
      </c>
      <c r="G30" s="254">
        <f t="shared" si="1"/>
        <v>3.1063335000000016</v>
      </c>
      <c r="H30" s="253">
        <v>20</v>
      </c>
      <c r="I30" s="252">
        <v>100</v>
      </c>
      <c r="J30" s="246">
        <v>25.100243840000001</v>
      </c>
      <c r="K30" s="241">
        <v>28.172118409999999</v>
      </c>
      <c r="L30" s="254">
        <f>K30-J30</f>
        <v>3.0718745699999985</v>
      </c>
      <c r="M30" s="461"/>
      <c r="O30" s="441">
        <v>20</v>
      </c>
      <c r="P30" s="441">
        <v>100</v>
      </c>
      <c r="Q30" s="246">
        <v>25.101175170000001</v>
      </c>
      <c r="R30" s="241">
        <v>27.226267140000001</v>
      </c>
      <c r="S30" s="254">
        <f t="shared" si="2"/>
        <v>2.1250919699999997</v>
      </c>
      <c r="U30" s="401">
        <f>V36*W36</f>
        <v>2980</v>
      </c>
      <c r="V30" s="441">
        <v>20</v>
      </c>
      <c r="W30" s="441">
        <v>100</v>
      </c>
      <c r="X30" s="246">
        <v>25.45135247</v>
      </c>
      <c r="Y30" s="241">
        <v>28.164574689999998</v>
      </c>
      <c r="Z30" s="254">
        <f t="shared" si="3"/>
        <v>2.7132222199999987</v>
      </c>
    </row>
    <row r="31" spans="2:26">
      <c r="B31" s="241">
        <f t="shared" si="4"/>
        <v>3000</v>
      </c>
      <c r="C31" s="402">
        <v>30</v>
      </c>
      <c r="D31" s="403">
        <v>100</v>
      </c>
      <c r="E31" s="246">
        <v>24.764781429999999</v>
      </c>
      <c r="F31" s="241">
        <v>28.514100079999999</v>
      </c>
      <c r="G31" s="254">
        <f t="shared" si="1"/>
        <v>3.7493186499999993</v>
      </c>
      <c r="H31" s="404">
        <v>30</v>
      </c>
      <c r="I31" s="405">
        <v>100</v>
      </c>
      <c r="J31" s="249"/>
      <c r="K31" s="250"/>
      <c r="L31" s="256"/>
      <c r="O31" s="405">
        <v>30</v>
      </c>
      <c r="P31" s="405">
        <v>100</v>
      </c>
      <c r="Q31" s="249">
        <v>25.440735400000001</v>
      </c>
      <c r="R31" s="250">
        <v>27.495791910000001</v>
      </c>
      <c r="S31" s="256">
        <f t="shared" si="2"/>
        <v>2.05505651</v>
      </c>
      <c r="U31" s="401">
        <f>V32*W32</f>
        <v>2600</v>
      </c>
      <c r="V31" s="405">
        <v>30</v>
      </c>
      <c r="W31" s="405">
        <v>100</v>
      </c>
      <c r="X31" s="249">
        <v>25.106018039999999</v>
      </c>
      <c r="Y31" s="250">
        <v>27.410482760000001</v>
      </c>
      <c r="Z31" s="256">
        <f t="shared" si="3"/>
        <v>2.3044647200000021</v>
      </c>
    </row>
    <row r="32" spans="2:26">
      <c r="B32" s="241">
        <f t="shared" si="4"/>
        <v>2600</v>
      </c>
      <c r="C32" s="248">
        <v>20</v>
      </c>
      <c r="D32" s="249">
        <v>130</v>
      </c>
      <c r="E32" s="249">
        <v>24.75407122</v>
      </c>
      <c r="F32" s="250">
        <v>29.200391719999999</v>
      </c>
      <c r="G32" s="256">
        <f t="shared" si="1"/>
        <v>4.4463204999999988</v>
      </c>
      <c r="H32" s="248">
        <v>20</v>
      </c>
      <c r="I32" s="249">
        <v>130</v>
      </c>
      <c r="J32" s="249">
        <v>24.678634089999999</v>
      </c>
      <c r="K32" s="250">
        <v>28.855150420000001</v>
      </c>
      <c r="L32" s="256">
        <f t="shared" ref="L32:L37" si="5">K32-J32</f>
        <v>4.1765163300000019</v>
      </c>
      <c r="O32" s="403">
        <v>20</v>
      </c>
      <c r="P32" s="403">
        <v>130</v>
      </c>
      <c r="Q32" s="246">
        <v>25.447813450000002</v>
      </c>
      <c r="R32" s="241">
        <v>27.83786671</v>
      </c>
      <c r="S32" s="254">
        <f t="shared" si="2"/>
        <v>2.3900532599999984</v>
      </c>
      <c r="U32" s="401">
        <f>V33*W33</f>
        <v>3900</v>
      </c>
      <c r="V32" s="403">
        <v>20</v>
      </c>
      <c r="W32" s="403">
        <v>130</v>
      </c>
      <c r="X32" s="246">
        <v>25.61861802</v>
      </c>
      <c r="Y32" s="13">
        <v>28.165226619999999</v>
      </c>
      <c r="Z32" s="254">
        <f t="shared" si="3"/>
        <v>2.546608599999999</v>
      </c>
    </row>
    <row r="33" spans="2:26">
      <c r="B33" s="241">
        <f t="shared" si="4"/>
        <v>3900</v>
      </c>
      <c r="C33" s="402">
        <v>30</v>
      </c>
      <c r="D33" s="403">
        <v>130</v>
      </c>
      <c r="E33" s="246">
        <v>24.757330849999999</v>
      </c>
      <c r="F33" s="241">
        <v>30.048454110000002</v>
      </c>
      <c r="G33" s="254">
        <f t="shared" si="1"/>
        <v>5.2911232600000027</v>
      </c>
      <c r="H33" s="402">
        <v>30</v>
      </c>
      <c r="I33" s="403">
        <v>130</v>
      </c>
      <c r="J33" s="246">
        <v>25.444646949999999</v>
      </c>
      <c r="K33" s="241">
        <v>30.05366952</v>
      </c>
      <c r="L33" s="254">
        <f t="shared" si="5"/>
        <v>4.6090225700000005</v>
      </c>
      <c r="O33" s="403">
        <v>30</v>
      </c>
      <c r="P33" s="403">
        <v>130</v>
      </c>
      <c r="Q33" s="249">
        <v>24.756399529999999</v>
      </c>
      <c r="R33" s="250">
        <v>27.825480120000002</v>
      </c>
      <c r="S33" s="256">
        <f t="shared" si="2"/>
        <v>3.0690805900000022</v>
      </c>
      <c r="U33" s="13"/>
      <c r="V33" s="403">
        <v>30</v>
      </c>
      <c r="W33" s="403">
        <v>130</v>
      </c>
      <c r="X33" s="249">
        <v>25.447068389999998</v>
      </c>
      <c r="Y33" s="250">
        <v>28.177520080000001</v>
      </c>
      <c r="Z33" s="256">
        <f t="shared" si="3"/>
        <v>2.7304516900000024</v>
      </c>
    </row>
    <row r="34" spans="2:26">
      <c r="B34" s="241">
        <f t="shared" si="4"/>
        <v>1995</v>
      </c>
      <c r="C34" s="248">
        <v>15</v>
      </c>
      <c r="D34" s="249">
        <v>133</v>
      </c>
      <c r="E34" s="249">
        <v>26.10402337</v>
      </c>
      <c r="F34" s="250">
        <v>29.701443300000001</v>
      </c>
      <c r="G34" s="256">
        <f t="shared" si="1"/>
        <v>3.5974199300000009</v>
      </c>
      <c r="H34" s="248">
        <v>15</v>
      </c>
      <c r="I34" s="249">
        <v>133</v>
      </c>
      <c r="J34" s="249">
        <v>25.44297057</v>
      </c>
      <c r="K34" s="250">
        <v>29.195362580000001</v>
      </c>
      <c r="L34" s="256">
        <f t="shared" si="5"/>
        <v>3.7523920100000012</v>
      </c>
      <c r="O34" s="248">
        <v>15</v>
      </c>
      <c r="P34" s="249">
        <v>133</v>
      </c>
      <c r="Q34" s="249">
        <v>25.106390569999999</v>
      </c>
      <c r="R34" s="250">
        <v>27.504825740000001</v>
      </c>
      <c r="S34" s="256">
        <f t="shared" si="2"/>
        <v>2.3984351700000026</v>
      </c>
      <c r="U34" s="13"/>
      <c r="V34" s="248">
        <v>15</v>
      </c>
      <c r="W34" s="249">
        <v>133</v>
      </c>
      <c r="X34" s="249">
        <v>25.571865620000001</v>
      </c>
      <c r="Y34" s="250">
        <v>27.532579160000001</v>
      </c>
      <c r="Z34" s="256">
        <f t="shared" si="3"/>
        <v>1.9607135400000004</v>
      </c>
    </row>
    <row r="35" spans="2:26">
      <c r="B35" s="241">
        <f t="shared" si="4"/>
        <v>2235</v>
      </c>
      <c r="C35" s="404">
        <v>15</v>
      </c>
      <c r="D35" s="405">
        <v>149</v>
      </c>
      <c r="E35" s="249">
        <v>24.762080600000001</v>
      </c>
      <c r="F35" s="250">
        <v>29.204489540000001</v>
      </c>
      <c r="G35" s="256">
        <f t="shared" si="1"/>
        <v>4.44240894</v>
      </c>
      <c r="H35" s="402">
        <v>15</v>
      </c>
      <c r="I35" s="403">
        <v>149</v>
      </c>
      <c r="J35" s="246">
        <v>24.742504910000001</v>
      </c>
      <c r="K35" s="241">
        <v>29.203278820000001</v>
      </c>
      <c r="L35" s="254">
        <f t="shared" si="5"/>
        <v>4.4607739100000003</v>
      </c>
      <c r="O35" s="441">
        <v>15</v>
      </c>
      <c r="P35" s="441">
        <v>149</v>
      </c>
      <c r="Q35" s="246">
        <v>25.001430511559885</v>
      </c>
      <c r="R35" s="241">
        <v>27.48955205</v>
      </c>
      <c r="S35" s="254">
        <f t="shared" si="2"/>
        <v>2.4881215384401152</v>
      </c>
      <c r="U35" s="13"/>
      <c r="V35" s="441">
        <v>15</v>
      </c>
      <c r="W35" s="441">
        <v>149</v>
      </c>
      <c r="X35" s="246">
        <v>25.960972219999999</v>
      </c>
      <c r="Y35" s="241">
        <v>28.182549219999999</v>
      </c>
      <c r="Z35" s="254">
        <f t="shared" si="3"/>
        <v>2.2215769999999999</v>
      </c>
    </row>
    <row r="36" spans="2:26">
      <c r="B36" s="241">
        <f t="shared" si="4"/>
        <v>2980</v>
      </c>
      <c r="C36" s="253">
        <v>20</v>
      </c>
      <c r="D36" s="252">
        <v>149</v>
      </c>
      <c r="E36" s="246">
        <v>24.758727834148875</v>
      </c>
      <c r="F36" s="241">
        <v>29.691478140000001</v>
      </c>
      <c r="G36" s="254">
        <f t="shared" si="1"/>
        <v>4.9327503058511262</v>
      </c>
      <c r="H36" s="402">
        <v>20</v>
      </c>
      <c r="I36" s="403">
        <v>149</v>
      </c>
      <c r="J36" s="246">
        <v>24.767296002346036</v>
      </c>
      <c r="K36" s="241">
        <v>29.36346631</v>
      </c>
      <c r="L36" s="254">
        <f t="shared" si="5"/>
        <v>4.5961703076539635</v>
      </c>
      <c r="O36" s="405">
        <v>20</v>
      </c>
      <c r="P36" s="405">
        <v>149</v>
      </c>
      <c r="Q36" s="249">
        <v>24.76245312</v>
      </c>
      <c r="R36" s="250">
        <v>27.782918680000002</v>
      </c>
      <c r="S36" s="256">
        <f t="shared" si="2"/>
        <v>3.0204655600000017</v>
      </c>
      <c r="U36" s="13"/>
      <c r="V36" s="405">
        <v>20</v>
      </c>
      <c r="W36" s="405">
        <v>149</v>
      </c>
      <c r="X36" s="249">
        <v>25.622157040000001</v>
      </c>
      <c r="Y36" s="250">
        <v>28.23088486</v>
      </c>
      <c r="Z36" s="256">
        <f t="shared" si="3"/>
        <v>2.6087278199999986</v>
      </c>
    </row>
    <row r="37" spans="2:26">
      <c r="B37" s="241">
        <f t="shared" si="4"/>
        <v>4470</v>
      </c>
      <c r="C37" s="402">
        <v>30</v>
      </c>
      <c r="D37" s="403">
        <v>149</v>
      </c>
      <c r="E37" s="246">
        <v>24.764036369999999</v>
      </c>
      <c r="F37" s="241">
        <v>30.724594339999999</v>
      </c>
      <c r="G37" s="254">
        <f t="shared" si="1"/>
        <v>5.96055797</v>
      </c>
      <c r="H37" s="253">
        <v>30</v>
      </c>
      <c r="I37" s="252">
        <v>149</v>
      </c>
      <c r="J37" s="246">
        <v>25.625137280000001</v>
      </c>
      <c r="K37" s="241">
        <v>31.069928770000001</v>
      </c>
      <c r="L37" s="254">
        <f t="shared" si="5"/>
        <v>5.4447914900000001</v>
      </c>
      <c r="O37" s="253">
        <v>30</v>
      </c>
      <c r="P37" s="252">
        <v>149</v>
      </c>
      <c r="Q37" s="246">
        <v>25.445857669999999</v>
      </c>
      <c r="R37" s="241">
        <v>29.85040068</v>
      </c>
      <c r="S37" s="254">
        <f t="shared" si="2"/>
        <v>4.4045430100000011</v>
      </c>
      <c r="U37" s="13"/>
      <c r="V37" s="253">
        <v>30</v>
      </c>
      <c r="W37" s="252">
        <v>149</v>
      </c>
      <c r="X37" s="246">
        <v>24.759845421305023</v>
      </c>
      <c r="Y37" s="241">
        <v>28.641525990000002</v>
      </c>
      <c r="Z37" s="254">
        <f t="shared" si="3"/>
        <v>3.8816805686949785</v>
      </c>
    </row>
    <row r="52" spans="2:16">
      <c r="B52" s="13"/>
      <c r="C52" s="13"/>
      <c r="J52" s="13"/>
      <c r="K52" s="13"/>
      <c r="L52" s="13"/>
      <c r="M52" s="13"/>
      <c r="N52" s="13"/>
      <c r="O52" s="13"/>
      <c r="P52" s="13"/>
    </row>
    <row r="53" spans="2:16">
      <c r="B53" s="13"/>
      <c r="C53" s="13"/>
      <c r="J53" s="13"/>
      <c r="K53" s="13"/>
    </row>
    <row r="54" spans="2:16">
      <c r="B54" s="13"/>
      <c r="C54" s="13"/>
      <c r="J54" s="13"/>
      <c r="K54" s="241"/>
    </row>
    <row r="55" spans="2:16">
      <c r="B55" s="13"/>
      <c r="C55" s="13"/>
      <c r="J55" s="13"/>
      <c r="K55" s="241"/>
    </row>
    <row r="56" spans="2:16">
      <c r="B56" s="13"/>
      <c r="C56" s="13"/>
      <c r="J56" s="13"/>
      <c r="K56" s="241"/>
    </row>
    <row r="57" spans="2:16">
      <c r="B57" s="13"/>
      <c r="C57" s="13"/>
      <c r="J57" s="13"/>
      <c r="K57" s="241"/>
    </row>
    <row r="58" spans="2:16">
      <c r="B58" s="13"/>
      <c r="C58" s="13"/>
      <c r="J58" s="13"/>
      <c r="K58" s="241"/>
    </row>
    <row r="59" spans="2:16">
      <c r="B59" s="13"/>
      <c r="C59" s="13"/>
      <c r="J59" s="13"/>
      <c r="K59" s="241"/>
    </row>
    <row r="60" spans="2:16">
      <c r="B60" s="13"/>
      <c r="C60" s="13"/>
      <c r="J60" s="13"/>
      <c r="K60" s="241"/>
    </row>
    <row r="61" spans="2:16">
      <c r="B61" s="13"/>
      <c r="C61" s="13"/>
      <c r="J61" s="13"/>
      <c r="K61" s="241"/>
    </row>
    <row r="62" spans="2:16">
      <c r="B62" s="13"/>
      <c r="C62" s="13"/>
      <c r="J62" s="13"/>
      <c r="K62" s="241"/>
    </row>
    <row r="63" spans="2:16">
      <c r="B63" s="13"/>
      <c r="C63" s="13"/>
      <c r="J63" s="13"/>
      <c r="K63" s="241"/>
    </row>
    <row r="64" spans="2:16">
      <c r="B64" s="13"/>
      <c r="C64" s="13"/>
      <c r="J64" s="13"/>
      <c r="K64" s="241"/>
    </row>
    <row r="65" spans="2:11">
      <c r="B65" s="13"/>
      <c r="C65" s="13"/>
      <c r="J65" s="13"/>
      <c r="K65" s="241"/>
    </row>
    <row r="66" spans="2:11">
      <c r="B66" s="13"/>
      <c r="C66" s="13"/>
      <c r="J66" s="13"/>
      <c r="K66" s="241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ReadMe</vt:lpstr>
      <vt:lpstr>Different Mass of matrices</vt:lpstr>
      <vt:lpstr>Soilonly</vt:lpstr>
      <vt:lpstr>Plot</vt:lpstr>
      <vt:lpstr>MWCNT</vt:lpstr>
      <vt:lpstr>SWCNT</vt:lpstr>
      <vt:lpstr>MWCNTCTAB</vt:lpstr>
      <vt:lpstr>COOH</vt:lpstr>
      <vt:lpstr>MW Energy and Time</vt:lpstr>
      <vt:lpstr>HA</vt:lpstr>
      <vt:lpstr>MDL</vt:lpstr>
      <vt:lpstr>40mgMWCNTandSWCNT</vt:lpstr>
      <vt:lpstr>20mgMWCNTandSWCNT</vt:lpstr>
      <vt:lpstr>Other carbon</vt:lpstr>
      <vt:lpstr>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CHLabData</dc:creator>
  <cp:lastModifiedBy>Yang He</cp:lastModifiedBy>
  <cp:lastPrinted>2015-09-21T18:38:04Z</cp:lastPrinted>
  <dcterms:created xsi:type="dcterms:W3CDTF">2015-08-19T19:01:58Z</dcterms:created>
  <dcterms:modified xsi:type="dcterms:W3CDTF">2017-07-11T21:03:13Z</dcterms:modified>
</cp:coreProperties>
</file>